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ate1904="1" codeName="ThisWorkbook"/>
  <mc:AlternateContent xmlns:mc="http://schemas.openxmlformats.org/markup-compatibility/2006">
    <mc:Choice Requires="x15">
      <x15ac:absPath xmlns:x15ac="http://schemas.microsoft.com/office/spreadsheetml/2010/11/ac" url="https://d.docs.live.net/58690f2b9717ef8c/Desktop/"/>
    </mc:Choice>
  </mc:AlternateContent>
  <xr:revisionPtr revIDLastSave="21" documentId="8_{C0719762-5929-414C-B814-1550CE229196}" xr6:coauthVersionLast="47" xr6:coauthVersionMax="47" xr10:uidLastSave="{6B2DED6F-C189-4A57-888A-850AEA7D4343}"/>
  <bookViews>
    <workbookView xWindow="-108" yWindow="-108" windowWidth="23256" windowHeight="12456" tabRatio="772" activeTab="1" xr2:uid="{00000000-000D-0000-FFFF-FFFF00000000}"/>
  </bookViews>
  <sheets>
    <sheet name="Stories to Numbers" sheetId="28" r:id="rId1"/>
    <sheet name="Input sheet" sheetId="11" r:id="rId2"/>
    <sheet name="Sheet1" sheetId="33" r:id="rId3"/>
    <sheet name="Valuation output" sheetId="13" r:id="rId4"/>
    <sheet name="Valuation as picture" sheetId="32" r:id="rId5"/>
    <sheet name="Diagnostics" sheetId="12" r:id="rId6"/>
    <sheet name="Option value" sheetId="14" r:id="rId7"/>
    <sheet name="Synthetic rating" sheetId="20" r:id="rId8"/>
    <sheet name="R&amp; D converter" sheetId="25" r:id="rId9"/>
    <sheet name="Operating lease converter" sheetId="18" r:id="rId10"/>
    <sheet name="Cost of capital worksheet" sheetId="19" r:id="rId11"/>
    <sheet name="Failure Rate worksheet" sheetId="30" r:id="rId12"/>
    <sheet name="Country equity risk premiums" sheetId="23" r:id="rId13"/>
    <sheet name="Industry Averages(US)" sheetId="8" r:id="rId14"/>
    <sheet name="Industry Average Beta (Global)" sheetId="26" r:id="rId15"/>
    <sheet name="Input Stat Distributioons" sheetId="31" r:id="rId16"/>
    <sheet name="Trailing 12 month Worskheet" sheetId="24" r:id="rId17"/>
    <sheet name="Answer keys" sheetId="21" r:id="rId18"/>
  </sheets>
  <calcPr calcId="191029" iterate="1"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 i="19" l="1"/>
  <c r="D193" i="23"/>
  <c r="D189" i="23"/>
  <c r="D187" i="23"/>
  <c r="D184" i="23"/>
  <c r="D183" i="23"/>
  <c r="D180" i="23"/>
  <c r="D179" i="23"/>
  <c r="D177" i="23"/>
  <c r="D173" i="23"/>
  <c r="D172" i="23"/>
  <c r="D167" i="23"/>
  <c r="D165" i="23"/>
  <c r="D164" i="23"/>
  <c r="D160" i="23"/>
  <c r="D154" i="23"/>
  <c r="D153" i="23"/>
  <c r="D152" i="23"/>
  <c r="D148" i="23"/>
  <c r="D141" i="23"/>
  <c r="D138" i="23"/>
  <c r="D133" i="23"/>
  <c r="D121" i="23"/>
  <c r="D120" i="23"/>
  <c r="D117" i="23"/>
  <c r="D113" i="23"/>
  <c r="D112" i="23"/>
  <c r="D109" i="23"/>
  <c r="D106" i="23"/>
  <c r="D105" i="23"/>
  <c r="D100" i="23"/>
  <c r="D94" i="23"/>
  <c r="D93" i="23"/>
  <c r="D91" i="23"/>
  <c r="D81" i="23"/>
  <c r="D72" i="23"/>
  <c r="D70" i="23"/>
  <c r="D64" i="23"/>
  <c r="D60" i="23"/>
  <c r="D57" i="23"/>
  <c r="D50" i="23"/>
  <c r="D45" i="23"/>
  <c r="D40" i="23"/>
  <c r="D33" i="23"/>
  <c r="D31" i="23"/>
  <c r="D11" i="23"/>
  <c r="D10" i="23"/>
  <c r="D6" i="23"/>
  <c r="D195" i="23"/>
  <c r="D194" i="23"/>
  <c r="D192" i="23"/>
  <c r="D191" i="23"/>
  <c r="D190" i="23"/>
  <c r="D188" i="23"/>
  <c r="D186" i="23"/>
  <c r="D185" i="23"/>
  <c r="D182" i="23"/>
  <c r="D181" i="23"/>
  <c r="D178" i="23"/>
  <c r="D176" i="23"/>
  <c r="D175" i="23"/>
  <c r="D174" i="23"/>
  <c r="D171" i="23"/>
  <c r="D170" i="23"/>
  <c r="D169" i="23"/>
  <c r="D168" i="23"/>
  <c r="D166" i="23"/>
  <c r="D163" i="23"/>
  <c r="D162" i="23"/>
  <c r="D161" i="23"/>
  <c r="D159" i="23"/>
  <c r="D158" i="23"/>
  <c r="D157" i="23"/>
  <c r="D156" i="23"/>
  <c r="D155" i="23"/>
  <c r="D151" i="23"/>
  <c r="D150" i="23"/>
  <c r="D149" i="23"/>
  <c r="D147" i="23"/>
  <c r="D146" i="23"/>
  <c r="D145" i="23"/>
  <c r="D144" i="23"/>
  <c r="D143" i="23"/>
  <c r="D142" i="23"/>
  <c r="D140" i="23"/>
  <c r="D139" i="23"/>
  <c r="D137" i="23"/>
  <c r="D136" i="23"/>
  <c r="D135" i="23"/>
  <c r="D134" i="23"/>
  <c r="D132" i="23"/>
  <c r="D131" i="23"/>
  <c r="D130" i="23"/>
  <c r="D129" i="23"/>
  <c r="D128" i="23"/>
  <c r="D127" i="23"/>
  <c r="D126" i="23"/>
  <c r="D125" i="23"/>
  <c r="D124" i="23"/>
  <c r="D123" i="23"/>
  <c r="D122" i="23"/>
  <c r="D119" i="23"/>
  <c r="D118" i="23"/>
  <c r="D116" i="23"/>
  <c r="D115" i="23"/>
  <c r="D114" i="23"/>
  <c r="D111" i="23"/>
  <c r="D110" i="23"/>
  <c r="D108" i="23"/>
  <c r="D107" i="23"/>
  <c r="D104" i="23"/>
  <c r="D103" i="23"/>
  <c r="D102" i="23"/>
  <c r="D101" i="23"/>
  <c r="D99" i="23"/>
  <c r="D98" i="23"/>
  <c r="D97" i="23"/>
  <c r="D96" i="23"/>
  <c r="D95" i="23"/>
  <c r="D92" i="23"/>
  <c r="D90" i="23"/>
  <c r="D89" i="23"/>
  <c r="D88" i="23"/>
  <c r="D87" i="23"/>
  <c r="D86" i="23"/>
  <c r="D85" i="23"/>
  <c r="D84" i="23"/>
  <c r="D83" i="23"/>
  <c r="D82" i="23"/>
  <c r="D80" i="23"/>
  <c r="D79" i="23"/>
  <c r="D78" i="23"/>
  <c r="D77" i="23"/>
  <c r="D76" i="23"/>
  <c r="D75" i="23"/>
  <c r="D74" i="23"/>
  <c r="D73" i="23"/>
  <c r="D71" i="23"/>
  <c r="D69" i="23"/>
  <c r="D68" i="23"/>
  <c r="D67" i="23"/>
  <c r="D66" i="23"/>
  <c r="D65" i="23"/>
  <c r="D63" i="23"/>
  <c r="D62" i="23"/>
  <c r="D61" i="23"/>
  <c r="D59" i="23"/>
  <c r="D58" i="23"/>
  <c r="D56" i="23"/>
  <c r="D55" i="23"/>
  <c r="D54" i="23"/>
  <c r="D53" i="23"/>
  <c r="D52" i="23"/>
  <c r="D51" i="23"/>
  <c r="D49" i="23"/>
  <c r="D48" i="23"/>
  <c r="D47" i="23"/>
  <c r="D46" i="23"/>
  <c r="D44" i="23"/>
  <c r="D43" i="23"/>
  <c r="D42" i="23"/>
  <c r="D41" i="23"/>
  <c r="D39" i="23"/>
  <c r="D38" i="23"/>
  <c r="D37" i="23"/>
  <c r="D36" i="23"/>
  <c r="D35" i="23"/>
  <c r="D34" i="23"/>
  <c r="D32" i="23"/>
  <c r="D30" i="23"/>
  <c r="D29" i="23"/>
  <c r="D28" i="23"/>
  <c r="D27" i="23"/>
  <c r="D26" i="23"/>
  <c r="D25" i="23"/>
  <c r="D24" i="23"/>
  <c r="D23" i="23"/>
  <c r="D22" i="23"/>
  <c r="D21" i="23"/>
  <c r="D20" i="23"/>
  <c r="D19" i="23"/>
  <c r="D18" i="23"/>
  <c r="D17" i="23"/>
  <c r="D16" i="23"/>
  <c r="D15" i="23"/>
  <c r="D14" i="23"/>
  <c r="D13" i="23"/>
  <c r="D12" i="23"/>
  <c r="D9" i="23"/>
  <c r="D8" i="23"/>
  <c r="D7" i="23"/>
  <c r="H38" i="13" l="1"/>
  <c r="F79" i="19"/>
  <c r="F78" i="19"/>
  <c r="F77" i="19"/>
  <c r="F76" i="19"/>
  <c r="E79" i="19"/>
  <c r="E78" i="19"/>
  <c r="E77" i="19"/>
  <c r="E76" i="19"/>
  <c r="D79" i="19"/>
  <c r="D78" i="19"/>
  <c r="D77" i="19"/>
  <c r="D76" i="19"/>
  <c r="C79" i="19"/>
  <c r="C78" i="19"/>
  <c r="C77" i="19"/>
  <c r="C76" i="19"/>
  <c r="B79" i="19"/>
  <c r="B78" i="19"/>
  <c r="B77" i="19"/>
  <c r="B76" i="19"/>
  <c r="F75" i="19"/>
  <c r="E75" i="19"/>
  <c r="D75" i="19"/>
  <c r="C75" i="19"/>
  <c r="B75" i="19"/>
  <c r="H30" i="19" l="1"/>
  <c r="D15" i="20"/>
  <c r="I15" i="19" l="1"/>
  <c r="I14" i="19"/>
  <c r="I13" i="19"/>
  <c r="I12" i="19"/>
  <c r="I11" i="19"/>
  <c r="I10" i="19"/>
  <c r="I9" i="19"/>
  <c r="I8" i="19"/>
  <c r="I7" i="19"/>
  <c r="I6" i="19"/>
  <c r="I5" i="19"/>
  <c r="B72" i="19"/>
  <c r="B201" i="23"/>
  <c r="I21" i="19" s="1"/>
  <c r="D5" i="23"/>
  <c r="B210" i="23"/>
  <c r="B209" i="23"/>
  <c r="I29" i="19" s="1"/>
  <c r="B208" i="23"/>
  <c r="I28" i="19" s="1"/>
  <c r="B207" i="23"/>
  <c r="I27" i="19" s="1"/>
  <c r="B206" i="23"/>
  <c r="I26" i="19" s="1"/>
  <c r="B205" i="23"/>
  <c r="I25" i="19" s="1"/>
  <c r="B204" i="23"/>
  <c r="B203" i="23"/>
  <c r="B202" i="23"/>
  <c r="I22" i="19" s="1"/>
  <c r="G33" i="32"/>
  <c r="D33" i="32"/>
  <c r="O3" i="32"/>
  <c r="A3" i="32"/>
  <c r="A26" i="32"/>
  <c r="A27" i="32"/>
  <c r="A25" i="32"/>
  <c r="A24" i="32"/>
  <c r="A23" i="32"/>
  <c r="A22" i="32"/>
  <c r="A21" i="32"/>
  <c r="A20" i="32"/>
  <c r="A19" i="32"/>
  <c r="A17" i="32"/>
  <c r="A18" i="32"/>
  <c r="A16" i="32"/>
  <c r="A15" i="32"/>
  <c r="K6" i="32"/>
  <c r="H6" i="32"/>
  <c r="E6" i="32"/>
  <c r="O15" i="32"/>
  <c r="N15" i="32"/>
  <c r="M15" i="32"/>
  <c r="L15" i="32"/>
  <c r="K15" i="32"/>
  <c r="J15" i="32"/>
  <c r="I15" i="32"/>
  <c r="H15" i="32"/>
  <c r="G15" i="32"/>
  <c r="F15" i="32"/>
  <c r="E15" i="32"/>
  <c r="I28" i="11"/>
  <c r="N31" i="11"/>
  <c r="M31" i="11"/>
  <c r="L31" i="11"/>
  <c r="N27" i="11"/>
  <c r="M27" i="11"/>
  <c r="L27" i="11"/>
  <c r="N26" i="11"/>
  <c r="M26" i="11"/>
  <c r="L26" i="11"/>
  <c r="L25" i="11"/>
  <c r="N25" i="11"/>
  <c r="M25" i="11"/>
  <c r="C38" i="13"/>
  <c r="E28" i="32" s="1"/>
  <c r="C12" i="28"/>
  <c r="L19" i="30"/>
  <c r="K19" i="30"/>
  <c r="J19" i="30"/>
  <c r="I19" i="30"/>
  <c r="H19" i="30"/>
  <c r="G19" i="30"/>
  <c r="F19" i="30"/>
  <c r="E19" i="30"/>
  <c r="D19" i="30"/>
  <c r="C19" i="30"/>
  <c r="C20" i="30"/>
  <c r="C21" i="30"/>
  <c r="C22" i="30"/>
  <c r="C23" i="30"/>
  <c r="C24" i="30"/>
  <c r="C25" i="30"/>
  <c r="C26" i="30"/>
  <c r="C27" i="30"/>
  <c r="C28" i="30"/>
  <c r="C29" i="30"/>
  <c r="D20" i="30"/>
  <c r="E20" i="30"/>
  <c r="F20" i="30"/>
  <c r="G20" i="30"/>
  <c r="H20" i="30"/>
  <c r="I20" i="30"/>
  <c r="J20" i="30"/>
  <c r="K20" i="30"/>
  <c r="L20" i="30"/>
  <c r="D21" i="30"/>
  <c r="E21" i="30"/>
  <c r="F21" i="30"/>
  <c r="G21" i="30"/>
  <c r="H21" i="30"/>
  <c r="I21" i="30"/>
  <c r="J21" i="30"/>
  <c r="K21" i="30"/>
  <c r="L21" i="30"/>
  <c r="D22" i="30"/>
  <c r="E22" i="30"/>
  <c r="F22" i="30"/>
  <c r="G22" i="30"/>
  <c r="H22" i="30"/>
  <c r="I22" i="30"/>
  <c r="J22" i="30"/>
  <c r="K22" i="30"/>
  <c r="L22" i="30"/>
  <c r="D23" i="30"/>
  <c r="E23" i="30"/>
  <c r="F23" i="30"/>
  <c r="G23" i="30"/>
  <c r="H23" i="30"/>
  <c r="I23" i="30"/>
  <c r="J23" i="30"/>
  <c r="K23" i="30"/>
  <c r="L23" i="30"/>
  <c r="D24" i="30"/>
  <c r="E24" i="30"/>
  <c r="F24" i="30"/>
  <c r="G24" i="30"/>
  <c r="H24" i="30"/>
  <c r="I24" i="30"/>
  <c r="J24" i="30"/>
  <c r="K24" i="30"/>
  <c r="L24" i="30"/>
  <c r="D25" i="30"/>
  <c r="E25" i="30"/>
  <c r="F25" i="30"/>
  <c r="G25" i="30"/>
  <c r="H25" i="30"/>
  <c r="I25" i="30"/>
  <c r="J25" i="30"/>
  <c r="K25" i="30"/>
  <c r="L25" i="30"/>
  <c r="D26" i="30"/>
  <c r="E26" i="30"/>
  <c r="F26" i="30"/>
  <c r="G26" i="30"/>
  <c r="H26" i="30"/>
  <c r="I26" i="30"/>
  <c r="J26" i="30"/>
  <c r="K26" i="30"/>
  <c r="L26" i="30"/>
  <c r="D27" i="30"/>
  <c r="E27" i="30"/>
  <c r="F27" i="30"/>
  <c r="G27" i="30"/>
  <c r="H27" i="30"/>
  <c r="I27" i="30"/>
  <c r="J27" i="30"/>
  <c r="K27" i="30"/>
  <c r="L27" i="30"/>
  <c r="D28" i="30"/>
  <c r="E28" i="30"/>
  <c r="F28" i="30"/>
  <c r="G28" i="30"/>
  <c r="H28" i="30"/>
  <c r="I28" i="30"/>
  <c r="J28" i="30"/>
  <c r="K28" i="30"/>
  <c r="L28" i="30"/>
  <c r="D29" i="30"/>
  <c r="E29" i="30"/>
  <c r="F29" i="30"/>
  <c r="G29" i="30"/>
  <c r="H29" i="30"/>
  <c r="I29" i="30"/>
  <c r="J29" i="30"/>
  <c r="K29" i="30"/>
  <c r="L29" i="30"/>
  <c r="C9" i="28"/>
  <c r="D12" i="28"/>
  <c r="B3" i="13"/>
  <c r="B9" i="28" s="1"/>
  <c r="C2" i="13"/>
  <c r="D3" i="12" s="1"/>
  <c r="D38" i="13"/>
  <c r="E38" i="13" s="1"/>
  <c r="B62" i="11"/>
  <c r="G1" i="28"/>
  <c r="I23" i="19"/>
  <c r="B24" i="19"/>
  <c r="B37" i="19"/>
  <c r="C15" i="18" s="1"/>
  <c r="D2" i="13"/>
  <c r="E3" i="12" s="1"/>
  <c r="H32" i="19"/>
  <c r="J27" i="19" s="1"/>
  <c r="K27" i="11"/>
  <c r="K26" i="11"/>
  <c r="C9" i="32" s="1"/>
  <c r="M2" i="13"/>
  <c r="O16" i="32" s="1"/>
  <c r="P7" i="32" s="1"/>
  <c r="J26" i="11"/>
  <c r="C7" i="20"/>
  <c r="I53" i="19"/>
  <c r="J53" i="19" s="1"/>
  <c r="K53" i="19"/>
  <c r="I54" i="19"/>
  <c r="J54" i="19" s="1"/>
  <c r="K54" i="19"/>
  <c r="I55" i="19"/>
  <c r="J55" i="19" s="1"/>
  <c r="K55" i="19"/>
  <c r="I56" i="19"/>
  <c r="J56" i="19" s="1"/>
  <c r="K56" i="19"/>
  <c r="I57" i="19"/>
  <c r="J57" i="19" s="1"/>
  <c r="K57" i="19"/>
  <c r="I58" i="19"/>
  <c r="L58" i="19" s="1"/>
  <c r="K58" i="19"/>
  <c r="I59" i="19"/>
  <c r="J59" i="19" s="1"/>
  <c r="K59" i="19"/>
  <c r="I60" i="19"/>
  <c r="J60" i="19" s="1"/>
  <c r="K60" i="19"/>
  <c r="I61" i="19"/>
  <c r="K61" i="19"/>
  <c r="I62" i="19"/>
  <c r="J62" i="19" s="1"/>
  <c r="K62" i="19"/>
  <c r="I63" i="19"/>
  <c r="J63" i="19" s="1"/>
  <c r="K63" i="19"/>
  <c r="H64" i="19"/>
  <c r="I52" i="19"/>
  <c r="J52" i="19" s="1"/>
  <c r="K52" i="19"/>
  <c r="I24" i="19"/>
  <c r="E45" i="24"/>
  <c r="E43" i="24"/>
  <c r="E42" i="24"/>
  <c r="E41" i="24"/>
  <c r="C19" i="24"/>
  <c r="D19" i="24"/>
  <c r="G29" i="19"/>
  <c r="G28" i="19"/>
  <c r="G27" i="19"/>
  <c r="G26" i="19"/>
  <c r="G25" i="19"/>
  <c r="G24" i="19"/>
  <c r="G23" i="19"/>
  <c r="G22" i="19"/>
  <c r="G21" i="19"/>
  <c r="J27" i="11"/>
  <c r="B10" i="13"/>
  <c r="J15" i="19"/>
  <c r="K15" i="19" s="1"/>
  <c r="J14" i="19"/>
  <c r="K14" i="19" s="1"/>
  <c r="B19" i="24"/>
  <c r="B6" i="13"/>
  <c r="B11" i="28" s="1"/>
  <c r="D11" i="28" s="1"/>
  <c r="M6" i="13"/>
  <c r="F11" i="28" s="1"/>
  <c r="B22" i="13"/>
  <c r="G33" i="28" s="1"/>
  <c r="G39" i="28"/>
  <c r="B29" i="32" s="1"/>
  <c r="E7" i="24"/>
  <c r="E9" i="24"/>
  <c r="B22" i="18"/>
  <c r="A22" i="18"/>
  <c r="B23" i="18"/>
  <c r="A23" i="18"/>
  <c r="B24" i="18"/>
  <c r="A24" i="18"/>
  <c r="B25" i="18"/>
  <c r="A25" i="18"/>
  <c r="B26" i="18"/>
  <c r="A26" i="18"/>
  <c r="D18" i="18"/>
  <c r="B27" i="18"/>
  <c r="E8" i="24"/>
  <c r="A25" i="25"/>
  <c r="B25" i="25"/>
  <c r="E25" i="25" s="1"/>
  <c r="A12" i="25"/>
  <c r="A13" i="25"/>
  <c r="B26" i="25"/>
  <c r="E26" i="25" s="1"/>
  <c r="B27" i="25"/>
  <c r="E27" i="25" s="1"/>
  <c r="C24" i="25"/>
  <c r="B28" i="25"/>
  <c r="B29" i="25"/>
  <c r="B30" i="25"/>
  <c r="B31" i="25"/>
  <c r="B32" i="25"/>
  <c r="B33" i="25"/>
  <c r="B34" i="25"/>
  <c r="B18" i="19"/>
  <c r="B19" i="19"/>
  <c r="E10" i="24"/>
  <c r="B31" i="19"/>
  <c r="F9" i="20"/>
  <c r="B30" i="19"/>
  <c r="D60" i="19"/>
  <c r="B38" i="19"/>
  <c r="H18" i="19"/>
  <c r="J16" i="19" s="1"/>
  <c r="K16" i="19" s="1"/>
  <c r="J9" i="19"/>
  <c r="K9" i="19" s="1"/>
  <c r="J10" i="19"/>
  <c r="K10" i="19" s="1"/>
  <c r="J11" i="19"/>
  <c r="K11" i="19" s="1"/>
  <c r="J12" i="19"/>
  <c r="K12" i="19" s="1"/>
  <c r="J13" i="19"/>
  <c r="K13" i="19" s="1"/>
  <c r="J17" i="19"/>
  <c r="K17" i="19" s="1"/>
  <c r="D62" i="19"/>
  <c r="B26" i="13"/>
  <c r="B27" i="13"/>
  <c r="B21" i="32" s="1"/>
  <c r="B28" i="13"/>
  <c r="B22" i="32" s="1"/>
  <c r="B32" i="13"/>
  <c r="B26" i="32" s="1"/>
  <c r="D9" i="28"/>
  <c r="A1" i="28"/>
  <c r="F10" i="20"/>
  <c r="I36" i="19"/>
  <c r="K36" i="19" s="1"/>
  <c r="I47" i="19"/>
  <c r="K47" i="19" s="1"/>
  <c r="I46" i="19"/>
  <c r="J46" i="19" s="1"/>
  <c r="I45" i="19"/>
  <c r="L45" i="19" s="1"/>
  <c r="I44" i="19"/>
  <c r="J44" i="19" s="1"/>
  <c r="L44" i="19"/>
  <c r="I43" i="19"/>
  <c r="L43" i="19" s="1"/>
  <c r="I42" i="19"/>
  <c r="L42" i="19" s="1"/>
  <c r="I41" i="19"/>
  <c r="J41" i="19" s="1"/>
  <c r="I40" i="19"/>
  <c r="L40" i="19"/>
  <c r="I39" i="19"/>
  <c r="L39" i="19" s="1"/>
  <c r="I38" i="19"/>
  <c r="K38" i="19" s="1"/>
  <c r="I37" i="19"/>
  <c r="K37" i="19" s="1"/>
  <c r="K31" i="11"/>
  <c r="K30" i="11"/>
  <c r="J31" i="11"/>
  <c r="B31" i="12" s="1"/>
  <c r="J30" i="11"/>
  <c r="K29" i="11"/>
  <c r="K25" i="11"/>
  <c r="C7" i="32" s="1"/>
  <c r="J25" i="11"/>
  <c r="B3" i="12" s="1"/>
  <c r="H48" i="19"/>
  <c r="J29" i="11"/>
  <c r="A27" i="18"/>
  <c r="B34" i="13"/>
  <c r="B11" i="14"/>
  <c r="D16" i="14" s="1"/>
  <c r="B10" i="14"/>
  <c r="D15" i="14" s="1"/>
  <c r="B7" i="14"/>
  <c r="D18" i="14" s="1"/>
  <c r="B6" i="14"/>
  <c r="B19" i="14" s="1"/>
  <c r="B5" i="14"/>
  <c r="B16" i="14"/>
  <c r="B18" i="14" s="1"/>
  <c r="B4" i="14"/>
  <c r="B15" i="14" s="1"/>
  <c r="B9" i="14"/>
  <c r="D17" i="14" s="1"/>
  <c r="D20" i="14" s="1"/>
  <c r="D19" i="14"/>
  <c r="I25" i="11"/>
  <c r="C3" i="12" s="1"/>
  <c r="C25" i="25"/>
  <c r="B24" i="25"/>
  <c r="D24" i="25" s="1"/>
  <c r="B25" i="13"/>
  <c r="B19" i="32" s="1"/>
  <c r="F8" i="20"/>
  <c r="B45" i="19"/>
  <c r="C55" i="19" s="1"/>
  <c r="J58" i="19"/>
  <c r="J61" i="19"/>
  <c r="L61" i="19"/>
  <c r="B23" i="19"/>
  <c r="J40" i="19"/>
  <c r="K41" i="19"/>
  <c r="J8" i="19"/>
  <c r="J7" i="19"/>
  <c r="A27" i="25"/>
  <c r="A14" i="25"/>
  <c r="A26" i="25"/>
  <c r="C26" i="25"/>
  <c r="D26" i="25"/>
  <c r="K40" i="19"/>
  <c r="K46" i="19"/>
  <c r="K44" i="19"/>
  <c r="J39" i="19"/>
  <c r="A15" i="25"/>
  <c r="A28" i="25"/>
  <c r="C27" i="25"/>
  <c r="A16" i="25"/>
  <c r="A29" i="25"/>
  <c r="E28" i="25"/>
  <c r="C28" i="25"/>
  <c r="D28" i="25"/>
  <c r="A17" i="25"/>
  <c r="A30" i="25"/>
  <c r="E29" i="25"/>
  <c r="C29" i="25"/>
  <c r="D29" i="25"/>
  <c r="A31" i="25"/>
  <c r="A18" i="25"/>
  <c r="E30" i="25"/>
  <c r="C30" i="25"/>
  <c r="D30" i="25"/>
  <c r="A19" i="25"/>
  <c r="A32" i="25"/>
  <c r="E31" i="25"/>
  <c r="C31" i="25"/>
  <c r="D31" i="25"/>
  <c r="E32" i="25"/>
  <c r="C32" i="25"/>
  <c r="D32" i="25"/>
  <c r="A33" i="25"/>
  <c r="A20" i="25"/>
  <c r="A34" i="25"/>
  <c r="C34" i="25"/>
  <c r="D34" i="25"/>
  <c r="E34" i="25"/>
  <c r="C33" i="25"/>
  <c r="D33" i="25"/>
  <c r="E33" i="25"/>
  <c r="E12" i="28"/>
  <c r="B30" i="13"/>
  <c r="D37" i="28" s="1"/>
  <c r="B24" i="32"/>
  <c r="B17" i="32" l="1"/>
  <c r="L59" i="19"/>
  <c r="L62" i="19"/>
  <c r="J47" i="19"/>
  <c r="K39" i="19"/>
  <c r="K27" i="19"/>
  <c r="D38" i="28"/>
  <c r="D27" i="25"/>
  <c r="L63" i="19"/>
  <c r="L60" i="19"/>
  <c r="L57" i="19"/>
  <c r="L53" i="19"/>
  <c r="J36" i="19"/>
  <c r="L36" i="19"/>
  <c r="L56" i="19"/>
  <c r="L55" i="19"/>
  <c r="L54" i="19"/>
  <c r="J64" i="19"/>
  <c r="K64" i="19" s="1"/>
  <c r="L52" i="19"/>
  <c r="J5" i="19"/>
  <c r="K5" i="19" s="1"/>
  <c r="J6" i="19"/>
  <c r="K6" i="19" s="1"/>
  <c r="K7" i="19"/>
  <c r="K8" i="19"/>
  <c r="J45" i="19"/>
  <c r="L46" i="19"/>
  <c r="L47" i="19"/>
  <c r="L41" i="19"/>
  <c r="J43" i="19"/>
  <c r="J42" i="19"/>
  <c r="K42" i="19"/>
  <c r="F16" i="32"/>
  <c r="E2" i="13"/>
  <c r="F2" i="13" s="1"/>
  <c r="H16" i="32" s="1"/>
  <c r="C6" i="13"/>
  <c r="D6" i="13" s="1"/>
  <c r="E6" i="13" s="1"/>
  <c r="F6" i="13" s="1"/>
  <c r="G6" i="13" s="1"/>
  <c r="H6" i="13" s="1"/>
  <c r="I6" i="13" s="1"/>
  <c r="J6" i="13" s="1"/>
  <c r="K6" i="13" s="1"/>
  <c r="L6" i="13" s="1"/>
  <c r="D35" i="28"/>
  <c r="D25" i="25"/>
  <c r="D35" i="25" s="1"/>
  <c r="B39" i="13" s="1"/>
  <c r="I27" i="11" s="1"/>
  <c r="B17" i="12" s="1"/>
  <c r="J25" i="19"/>
  <c r="K25" i="19" s="1"/>
  <c r="J31" i="19"/>
  <c r="K31" i="19" s="1"/>
  <c r="J24" i="19"/>
  <c r="K24" i="19" s="1"/>
  <c r="J21" i="19"/>
  <c r="J26" i="19"/>
  <c r="K26" i="19" s="1"/>
  <c r="J23" i="19"/>
  <c r="K23" i="19" s="1"/>
  <c r="J30" i="19"/>
  <c r="K30" i="19" s="1"/>
  <c r="J29" i="19"/>
  <c r="K29" i="19" s="1"/>
  <c r="J22" i="19"/>
  <c r="K22" i="19" s="1"/>
  <c r="J28" i="19"/>
  <c r="K28" i="19" s="1"/>
  <c r="F28" i="32"/>
  <c r="E16" i="32"/>
  <c r="B60" i="19"/>
  <c r="E35" i="25"/>
  <c r="D37" i="25" s="1"/>
  <c r="D39" i="25" s="1"/>
  <c r="B5" i="13" s="1"/>
  <c r="B7" i="13" s="1"/>
  <c r="B11" i="32" s="1"/>
  <c r="D34" i="28"/>
  <c r="B8" i="32"/>
  <c r="B7" i="12"/>
  <c r="C3" i="13"/>
  <c r="J28" i="32"/>
  <c r="I38" i="13"/>
  <c r="G28" i="32"/>
  <c r="F38" i="13"/>
  <c r="B20" i="32"/>
  <c r="C17" i="12"/>
  <c r="F9" i="28"/>
  <c r="D12" i="20"/>
  <c r="D13" i="20" s="1"/>
  <c r="B7" i="32"/>
  <c r="B33" i="12"/>
  <c r="C26" i="18"/>
  <c r="C27" i="18"/>
  <c r="C22" i="18"/>
  <c r="C24" i="18"/>
  <c r="C23" i="18"/>
  <c r="C25" i="18"/>
  <c r="C62" i="19"/>
  <c r="C53" i="19"/>
  <c r="C54" i="19"/>
  <c r="C56" i="19" s="1"/>
  <c r="J38" i="19"/>
  <c r="K43" i="19"/>
  <c r="K45" i="19"/>
  <c r="J37" i="19"/>
  <c r="L37" i="19"/>
  <c r="L38" i="19"/>
  <c r="H28" i="32" l="1"/>
  <c r="G38" i="13"/>
  <c r="G16" i="32"/>
  <c r="L64" i="19"/>
  <c r="K18" i="19"/>
  <c r="J18" i="19"/>
  <c r="J48" i="19"/>
  <c r="L48" i="19" s="1"/>
  <c r="B67" i="19" s="1"/>
  <c r="G2" i="13"/>
  <c r="I16" i="32" s="1"/>
  <c r="J32" i="19"/>
  <c r="K21" i="19"/>
  <c r="K32" i="19" s="1"/>
  <c r="C7" i="12"/>
  <c r="E17" i="32"/>
  <c r="B17" i="28"/>
  <c r="D3" i="13"/>
  <c r="B18" i="28" s="1"/>
  <c r="B40" i="13"/>
  <c r="B13" i="28" s="1"/>
  <c r="B10" i="32"/>
  <c r="I29" i="11"/>
  <c r="B4" i="13"/>
  <c r="B10" i="28" s="1"/>
  <c r="D40" i="25"/>
  <c r="D14" i="20"/>
  <c r="D16" i="20" s="1"/>
  <c r="J38" i="13"/>
  <c r="K28" i="32"/>
  <c r="C28" i="18"/>
  <c r="C60" i="19"/>
  <c r="I28" i="32" l="1"/>
  <c r="D17" i="12"/>
  <c r="J2" i="13"/>
  <c r="L16" i="32" s="1"/>
  <c r="H2" i="13"/>
  <c r="J16" i="32" s="1"/>
  <c r="K2" i="13"/>
  <c r="M16" i="32" s="1"/>
  <c r="I2" i="13"/>
  <c r="K16" i="32" s="1"/>
  <c r="L2" i="13"/>
  <c r="N16" i="32" s="1"/>
  <c r="K48" i="19"/>
  <c r="C8" i="13"/>
  <c r="F17" i="32"/>
  <c r="E3" i="13"/>
  <c r="B27" i="12"/>
  <c r="B12" i="12"/>
  <c r="I26" i="11"/>
  <c r="B9" i="32"/>
  <c r="L28" i="32"/>
  <c r="K38" i="13"/>
  <c r="E60" i="19"/>
  <c r="C61" i="19" s="1"/>
  <c r="C57" i="19"/>
  <c r="B62" i="19" s="1"/>
  <c r="F34" i="18"/>
  <c r="F33" i="18"/>
  <c r="F31" i="18"/>
  <c r="F32" i="18" s="1"/>
  <c r="C10" i="28" l="1"/>
  <c r="C4" i="13"/>
  <c r="E21" i="32"/>
  <c r="C39" i="13"/>
  <c r="F17" i="28"/>
  <c r="F3" i="13"/>
  <c r="E8" i="13" s="1"/>
  <c r="B19" i="28"/>
  <c r="D8" i="13"/>
  <c r="G17" i="32"/>
  <c r="L38" i="13"/>
  <c r="M28" i="32"/>
  <c r="D61" i="19"/>
  <c r="B61" i="19"/>
  <c r="J4" i="13" l="1"/>
  <c r="I4" i="13"/>
  <c r="L4" i="13"/>
  <c r="K4" i="13"/>
  <c r="H4" i="13"/>
  <c r="H17" i="32"/>
  <c r="E18" i="32"/>
  <c r="D4" i="13"/>
  <c r="C12" i="12"/>
  <c r="F4" i="13"/>
  <c r="G4" i="13"/>
  <c r="C17" i="28"/>
  <c r="D17" i="28" s="1"/>
  <c r="E4" i="13"/>
  <c r="C5" i="13"/>
  <c r="G3" i="13"/>
  <c r="D7" i="12" s="1"/>
  <c r="B20" i="28"/>
  <c r="D39" i="13"/>
  <c r="E39" i="13" s="1"/>
  <c r="F21" i="32"/>
  <c r="F18" i="28"/>
  <c r="E61" i="19"/>
  <c r="E17" i="12"/>
  <c r="N28" i="32"/>
  <c r="G21" i="32"/>
  <c r="F19" i="28"/>
  <c r="E62" i="19"/>
  <c r="B13" i="19" s="1"/>
  <c r="B35" i="11" s="1"/>
  <c r="I31" i="11" s="1"/>
  <c r="C22" i="28" l="1"/>
  <c r="J18" i="32"/>
  <c r="M18" i="32"/>
  <c r="C25" i="28"/>
  <c r="N18" i="32"/>
  <c r="C26" i="28"/>
  <c r="M4" i="13"/>
  <c r="C23" i="28"/>
  <c r="K18" i="32"/>
  <c r="L18" i="32"/>
  <c r="C24" i="28"/>
  <c r="H3" i="13"/>
  <c r="I3" i="13" s="1"/>
  <c r="F8" i="13"/>
  <c r="F20" i="28" s="1"/>
  <c r="B21" i="28"/>
  <c r="I17" i="32"/>
  <c r="C10" i="13"/>
  <c r="E19" i="32"/>
  <c r="C7" i="13"/>
  <c r="C20" i="28"/>
  <c r="D20" i="28" s="1"/>
  <c r="H18" i="32"/>
  <c r="G18" i="32"/>
  <c r="C19" i="28"/>
  <c r="D19" i="28" s="1"/>
  <c r="E5" i="13"/>
  <c r="E10" i="28"/>
  <c r="C21" i="28"/>
  <c r="D12" i="12"/>
  <c r="I18" i="32"/>
  <c r="F5" i="13"/>
  <c r="G5" i="13"/>
  <c r="I19" i="32" s="1"/>
  <c r="F18" i="32"/>
  <c r="C18" i="28"/>
  <c r="D18" i="28" s="1"/>
  <c r="D5" i="13"/>
  <c r="C12" i="13"/>
  <c r="E25" i="32" s="1"/>
  <c r="M12" i="13"/>
  <c r="B22" i="28" l="1"/>
  <c r="E12" i="12"/>
  <c r="F10" i="28"/>
  <c r="C27" i="28"/>
  <c r="O18" i="32"/>
  <c r="D22" i="28"/>
  <c r="J17" i="32"/>
  <c r="G8" i="13"/>
  <c r="F21" i="28" s="1"/>
  <c r="H5" i="13"/>
  <c r="J19" i="32" s="1"/>
  <c r="F39" i="13"/>
  <c r="H21" i="32"/>
  <c r="D21" i="28"/>
  <c r="D12" i="13"/>
  <c r="F25" i="32" s="1"/>
  <c r="D31" i="12"/>
  <c r="D14" i="28"/>
  <c r="C13" i="13"/>
  <c r="E26" i="32" s="1"/>
  <c r="G19" i="32"/>
  <c r="D7" i="13"/>
  <c r="F19" i="32"/>
  <c r="D10" i="13"/>
  <c r="E7" i="13" s="1"/>
  <c r="H19" i="32"/>
  <c r="E17" i="28"/>
  <c r="G17" i="28" s="1"/>
  <c r="C40" i="13"/>
  <c r="E29" i="32" s="1"/>
  <c r="E20" i="32"/>
  <c r="C9" i="13"/>
  <c r="E22" i="32" s="1"/>
  <c r="F14" i="28"/>
  <c r="P8" i="32"/>
  <c r="E31" i="12"/>
  <c r="B17" i="13"/>
  <c r="J3" i="13"/>
  <c r="H8" i="13"/>
  <c r="I5" i="13"/>
  <c r="K17" i="32"/>
  <c r="B23" i="28"/>
  <c r="D23" i="28" s="1"/>
  <c r="G39" i="13" l="1"/>
  <c r="I21" i="32"/>
  <c r="D13" i="13"/>
  <c r="E12" i="13"/>
  <c r="G25" i="32" s="1"/>
  <c r="C14" i="13"/>
  <c r="E19" i="28"/>
  <c r="G19" i="28" s="1"/>
  <c r="G20" i="32"/>
  <c r="E40" i="13"/>
  <c r="G29" i="32" s="1"/>
  <c r="E9" i="13"/>
  <c r="G22" i="32" s="1"/>
  <c r="E10" i="13"/>
  <c r="E18" i="28"/>
  <c r="G18" i="28" s="1"/>
  <c r="F20" i="32"/>
  <c r="D9" i="13"/>
  <c r="F22" i="32" s="1"/>
  <c r="D40" i="13"/>
  <c r="F29" i="32" s="1"/>
  <c r="K19" i="32"/>
  <c r="J21" i="32"/>
  <c r="F22" i="28"/>
  <c r="L17" i="32"/>
  <c r="J5" i="13"/>
  <c r="K3" i="13"/>
  <c r="B24" i="28"/>
  <c r="D24" i="28" s="1"/>
  <c r="I8" i="13"/>
  <c r="H39" i="13"/>
  <c r="F12" i="13" l="1"/>
  <c r="G12" i="13" s="1"/>
  <c r="E13" i="13"/>
  <c r="E14" i="13" s="1"/>
  <c r="F26" i="32"/>
  <c r="F7" i="13"/>
  <c r="F10" i="13"/>
  <c r="D14" i="13"/>
  <c r="I39" i="13"/>
  <c r="K21" i="32"/>
  <c r="F23" i="28"/>
  <c r="K5" i="13"/>
  <c r="B25" i="28"/>
  <c r="D25" i="28" s="1"/>
  <c r="L3" i="13"/>
  <c r="J8" i="13"/>
  <c r="M17" i="32"/>
  <c r="L19" i="32"/>
  <c r="H25" i="32" l="1"/>
  <c r="F13" i="13"/>
  <c r="H26" i="32" s="1"/>
  <c r="G26" i="32"/>
  <c r="G7" i="13"/>
  <c r="G10" i="13"/>
  <c r="F9" i="13"/>
  <c r="H22" i="32" s="1"/>
  <c r="E20" i="28"/>
  <c r="G20" i="28" s="1"/>
  <c r="F40" i="13"/>
  <c r="H29" i="32" s="1"/>
  <c r="H20" i="32"/>
  <c r="L21" i="32"/>
  <c r="F24" i="28"/>
  <c r="J39" i="13"/>
  <c r="K8" i="13"/>
  <c r="B26" i="28"/>
  <c r="D26" i="28" s="1"/>
  <c r="M3" i="13"/>
  <c r="E7" i="12"/>
  <c r="N17" i="32"/>
  <c r="L5" i="13"/>
  <c r="M19" i="32"/>
  <c r="H12" i="13"/>
  <c r="I25" i="32"/>
  <c r="F14" i="13" l="1"/>
  <c r="G13" i="13"/>
  <c r="H13" i="13" s="1"/>
  <c r="H10" i="13"/>
  <c r="H7" i="13"/>
  <c r="G40" i="13"/>
  <c r="I29" i="32" s="1"/>
  <c r="I20" i="32"/>
  <c r="E21" i="28"/>
  <c r="G21" i="28" s="1"/>
  <c r="G9" i="13"/>
  <c r="I22" i="32" s="1"/>
  <c r="L8" i="13"/>
  <c r="B27" i="28"/>
  <c r="D27" i="28" s="1"/>
  <c r="J34" i="11"/>
  <c r="M5" i="13"/>
  <c r="O17" i="32"/>
  <c r="F25" i="28"/>
  <c r="M21" i="32"/>
  <c r="K39" i="13"/>
  <c r="N19" i="32"/>
  <c r="I12" i="13"/>
  <c r="J25" i="32"/>
  <c r="I26" i="32" l="1"/>
  <c r="L39" i="13"/>
  <c r="J20" i="32"/>
  <c r="E22" i="28"/>
  <c r="G22" i="28" s="1"/>
  <c r="H9" i="13"/>
  <c r="J22" i="32" s="1"/>
  <c r="H40" i="13"/>
  <c r="J29" i="32" s="1"/>
  <c r="G14" i="13"/>
  <c r="I10" i="13"/>
  <c r="I7" i="13"/>
  <c r="M7" i="13"/>
  <c r="O19" i="32"/>
  <c r="J35" i="11"/>
  <c r="N5" i="13"/>
  <c r="F26" i="28"/>
  <c r="N21" i="32"/>
  <c r="J26" i="32"/>
  <c r="I13" i="13"/>
  <c r="J12" i="13"/>
  <c r="K25" i="32"/>
  <c r="H14" i="13" l="1"/>
  <c r="I9" i="13"/>
  <c r="K22" i="32" s="1"/>
  <c r="K20" i="32"/>
  <c r="E23" i="28"/>
  <c r="G23" i="28" s="1"/>
  <c r="I40" i="13"/>
  <c r="K29" i="32" s="1"/>
  <c r="J7" i="13"/>
  <c r="J10" i="13"/>
  <c r="E27" i="28"/>
  <c r="O20" i="32"/>
  <c r="L25" i="32"/>
  <c r="K12" i="13"/>
  <c r="J13" i="13"/>
  <c r="K26" i="32"/>
  <c r="I14" i="13" l="1"/>
  <c r="K10" i="13"/>
  <c r="K7" i="13"/>
  <c r="L20" i="32"/>
  <c r="J40" i="13"/>
  <c r="L29" i="32" s="1"/>
  <c r="J9" i="13"/>
  <c r="L22" i="32" s="1"/>
  <c r="E24" i="28"/>
  <c r="G24" i="28" s="1"/>
  <c r="L26" i="32"/>
  <c r="K13" i="13"/>
  <c r="M25" i="32"/>
  <c r="L12" i="13"/>
  <c r="J14" i="13" l="1"/>
  <c r="E25" i="28"/>
  <c r="G25" i="28" s="1"/>
  <c r="K40" i="13"/>
  <c r="M29" i="32" s="1"/>
  <c r="M20" i="32"/>
  <c r="K9" i="13"/>
  <c r="M22" i="32" s="1"/>
  <c r="L7" i="13"/>
  <c r="L10" i="13"/>
  <c r="M10" i="13" s="1"/>
  <c r="N25" i="32"/>
  <c r="M40" i="13"/>
  <c r="M26" i="32"/>
  <c r="L13" i="13"/>
  <c r="K14" i="13" l="1"/>
  <c r="N20" i="32"/>
  <c r="L40" i="13"/>
  <c r="L9" i="13"/>
  <c r="N22" i="32" s="1"/>
  <c r="E26" i="28"/>
  <c r="G26" i="28" s="1"/>
  <c r="C27" i="12"/>
  <c r="D13" i="28" s="1"/>
  <c r="P9" i="32"/>
  <c r="P10" i="32" s="1"/>
  <c r="F13" i="28"/>
  <c r="M8" i="13"/>
  <c r="O29" i="32"/>
  <c r="F12" i="28"/>
  <c r="E27" i="12"/>
  <c r="N26" i="32"/>
  <c r="C31" i="12"/>
  <c r="B21" i="12"/>
  <c r="C21" i="12" s="1"/>
  <c r="N29" i="32" l="1"/>
  <c r="J36" i="11"/>
  <c r="D27" i="12"/>
  <c r="L14" i="13"/>
  <c r="B20" i="13" s="1"/>
  <c r="B23" i="12" s="1"/>
  <c r="B22" i="12" s="1"/>
  <c r="C22" i="12" s="1"/>
  <c r="C23" i="12" s="1"/>
  <c r="F27" i="28"/>
  <c r="G27" i="28" s="1"/>
  <c r="M9" i="13"/>
  <c r="N8" i="13"/>
  <c r="O21" i="32"/>
  <c r="D31" i="28" l="1"/>
  <c r="B16" i="32"/>
  <c r="B16" i="13"/>
  <c r="B18" i="13" s="1"/>
  <c r="O22" i="32"/>
  <c r="N23" i="32" l="1"/>
  <c r="D29" i="28"/>
  <c r="B19" i="13"/>
  <c r="D30" i="28" l="1"/>
  <c r="B21" i="13"/>
  <c r="B15" i="32"/>
  <c r="B23" i="13" l="1"/>
  <c r="B24" i="13" s="1"/>
  <c r="D32" i="28"/>
  <c r="B29" i="13" l="1"/>
  <c r="B18" i="32"/>
  <c r="D33" i="28"/>
  <c r="D36" i="28" s="1"/>
  <c r="D39" i="28" s="1"/>
  <c r="B31" i="13" l="1"/>
  <c r="B23" i="32"/>
  <c r="B33" i="13" l="1"/>
  <c r="B25" i="32"/>
  <c r="B35" i="13" l="1"/>
  <c r="B36" i="12"/>
  <c r="B37" i="12" s="1"/>
  <c r="B27" i="32"/>
  <c r="B30" i="32" s="1"/>
  <c r="B17" i="14"/>
  <c r="B22" i="14"/>
  <c r="B23" i="14"/>
  <c r="B25" i="14"/>
  <c r="B26" i="14"/>
  <c r="B28" i="14"/>
  <c r="B2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tc={71F54301-01F9-6142-81B2-70E7EE6CDDF7}</author>
    <author>tc={54FBC3F9-EB9F-7C41-8C6D-97F512BA685D}</author>
    <author>tc={CA4A0E69-2EC1-064C-82D5-50B182E99825}</author>
    <author>tc={E0152BD4-8763-E340-9F3D-57E83246CD86}</author>
    <author>tc={2D890560-A4D2-9046-BCC4-FEE8DA2A9099}</author>
    <author>tc={09E9FA1F-138A-9547-B116-0278E256325D}</author>
    <author>tc={B4FAFBEA-7EF5-9E49-BDDC-74E67266D7B3}</author>
    <author>tc={2F9D57EC-A335-6C45-8636-50B8E9391785}</author>
    <author>tc={AFFC9966-65E7-7849-A618-5DEF034E694A}</author>
    <author>tc={E540843E-F2A3-134C-8531-DA60E38A7694}</author>
    <author>tc={77A98811-E565-A44B-A04A-39493A90F633}</author>
    <author>tc={1B0C707C-9FE4-EC47-8991-BFB3094AFE63}</author>
    <author>tc={4EBAB3AE-4130-E345-91F6-F196751794B7}</author>
    <author>tc={EEE67F91-B486-C642-BCF8-918B32B4F8EF}</author>
    <author>tc={2A62643D-C33C-9A46-A5F0-E66BADC89EAC}</author>
    <author>tc={AEED2D9E-7933-0546-A108-B06B6DBDF425}</author>
    <author>tc={E2546F12-07E7-8E43-BAF4-4BA7F486E85D}</author>
    <author>tc={7036E80F-6A3B-5240-ADB4-827D900C1913}</author>
    <author>tc={4EF0786B-4C78-E749-BA0E-D37E40A13CCA}</author>
    <author>tc={66B71247-062C-884C-A110-2FA7FC5BB361}</author>
    <author>tc={51B4C672-001E-AC42-885D-01422D0EE688}</author>
    <author>tc={38AE7BD4-BE10-B140-8F0C-6498039783B4}</author>
    <author>tc={218968A8-BC08-A64F-9F0E-C67E68AA4DD8}</author>
    <author>tc={7EC7B7C4-E2EF-5C47-9F07-E86FFDCD3214}</author>
    <author>tc={4B2B4743-2757-3E4B-9959-BA2D9ACB4202}</author>
    <author>tc={751B8FE4-9055-B84E-A3C8-0E4DEADB3EA0}</author>
    <author>tc={5CA1C1D1-F4A5-8446-B5E9-71CD54EF2545}</author>
    <author>tc={3FA629D8-89D5-E143-B22C-AFE6CD0C8514}</author>
    <author>tc={594B4E1B-3ACD-0F43-A4CB-A9BE88E089B5}</author>
    <author>tc={AE13966B-AB4E-B34C-AB49-2D7FEA7E9120}</author>
    <author>tc={FBD5A24E-83BA-4543-B49C-42E85C8B9500}</author>
    <author>tc={48C76159-0827-874B-B96B-C4FD25D34B6A}</author>
    <author>tc={41BD63FD-2E13-334D-AC8A-F4702E32C3C5}</author>
    <author>tc={A59C3A77-9765-B147-B40F-B2F3A4E48AC3}</author>
    <author>tc={DB629F1F-F83F-F647-853F-47BFC31610CD}</author>
    <author>tc={B1F53202-2F0D-D541-9E18-76005E4E45E4}</author>
    <author>tc={3B1FC220-3FE7-E54A-96FA-E03CEFCBFDE2}</author>
    <author>tc={635D9BDD-F56D-3A4B-BB73-B545395723F2}</author>
    <author>tc={F6C404B5-0607-B64F-8A31-FA7F51831376}</author>
    <author>tc={84D307F5-C671-864E-A8B6-E08441B4818E}</author>
    <author>tc={2377327B-59EE-3545-8F8A-AE8AED070076}</author>
    <author>tc={23A45B0B-C6F1-6248-99DC-D3FB7F79095D}</author>
    <author>tc={C653EB8A-25F4-464F-BD99-C6B45BEA26C3}</author>
    <author>tc={BC8F5940-D88C-FF41-BFB0-C57C664414DF}</author>
    <author>tc={E70E7C6A-F80C-1541-B56C-B7B598D70448}</author>
    <author>tc={2714D861-0A48-5D43-B0B4-66453AEB395D}</author>
    <author>tc={BACA5868-B98A-F34A-BB35-5BF8D7D47027}</author>
    <author>tc={70BF85C9-F9B1-4243-88BC-086E5E41286E}</author>
    <author>tc={D5616C1A-972E-EA45-89C6-4108E9869A9C}</author>
    <author>tc={864108E8-64F4-C649-B7F6-27546ED36042}</author>
    <author>tc={52953B18-6ABF-C140-A50D-98AA9E44D651}</author>
    <author>tc={25389A54-C635-ED40-849A-EEB0EC5D59A1}</author>
    <author>tc={2C7CA6D9-70A4-454D-A0BD-19CB3A5D02DF}</author>
    <author>tc={997F1F94-CD24-FE40-933F-77DF8B8E547F}</author>
    <author>tc={FC146819-31BC-CD4B-BB8F-10573BD83B4A}</author>
    <author>tc={3402EFD0-3B2F-EB41-AC9A-ADE509BA8833}</author>
    <author>tc={486B0BE4-91F5-A947-86B6-995AD147925C}</author>
    <author>tc={BC724579-4871-0448-B3E6-EFAC6D77BD38}</author>
  </authors>
  <commentList>
    <comment ref="B7" authorId="0" shapeId="0" xr:uid="{71F54301-01F9-6142-81B2-70E7EE6CDDF7}">
      <text>
        <t>[Threaded comment]
Your version of Excel allows you to read this threaded comment; however, any edits to it will get removed if the file is opened in a newer version of Excel. Learn more: https://go.microsoft.com/fwlink/?linkid=870924
Comment:
    This is a pull down menu, and you should enter your country of incorporation. You can always add more details on geographic risk exposure in the cost of capital worksheet.</t>
      </text>
    </comment>
    <comment ref="B8" authorId="1" shapeId="0" xr:uid="{54FBC3F9-EB9F-7C41-8C6D-97F512BA685D}">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Later, in the cost of capital section, you will be able to break the company down into more detail.</t>
      </text>
    </comment>
    <comment ref="B9" authorId="2" shapeId="0" xr:uid="{CA4A0E69-2EC1-064C-82D5-50B182E99825}">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
      </text>
    </comment>
    <comment ref="C10" authorId="3" shapeId="0" xr:uid="{E0152BD4-8763-E340-9F3D-57E83246CD86}">
      <text>
        <t xml:space="preserve">[Threaded comment]
Your version of Excel allows you to read this threaded comment; however, any edits to it will get removed if the file is opened in a newer version of Excel. Learn more: https://go.microsoft.com/fwlink/?linkid=870924
Comment:
    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
      </text>
    </comment>
    <comment ref="D10" authorId="4" shapeId="0" xr:uid="{2D890560-A4D2-9046-BCC4-FEE8DA2A9099}">
      <text>
        <t>[Threaded comment]
Your version of Excel allows you to read this threaded comment; however, any edits to it will get removed if the file is opened in a newer version of Excel. Learn more: https://go.microsoft.com/fwlink/?linkid=870924
Comment:
    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
      </text>
    </comment>
    <comment ref="B11" authorId="5" shapeId="0" xr:uid="{09E9FA1F-138A-9547-B116-0278E256325D}">
      <text>
        <t>[Threaded comment]
Your version of Excel allows you to read this threaded comment; however, any edits to it will get removed if the file is opened in a newer version of Excel. Learn more: https://go.microsoft.com/fwlink/?linkid=870924
Comment:
    Enter the revenues from the most recent twelve months. If your company had no revenues, enter a  small positive number. (You need a base for your growth rate)</t>
      </text>
    </comment>
    <comment ref="C11" authorId="6" shapeId="0" xr:uid="{B4FAFBEA-7EF5-9E49-BDDC-74E67266D7B3}">
      <text>
        <t xml:space="preserve">[Threaded comment]
Your version of Excel allows you to read this threaded comment; however, any edits to it will get removed if the file is opened in a newer version of Excel. Learn more: https://go.microsoft.com/fwlink/?linkid=870924
Comment:
    Enter the revenues from the last annual report before your most recent 12 months ended. </t>
      </text>
    </comment>
    <comment ref="D11" authorId="7" shapeId="0" xr:uid="{2F9D57EC-A335-6C45-8636-50B8E9391785}">
      <text>
        <t>[Threaded comment]
Your version of Excel allows you to read this threaded comment; however, any edits to it will get removed if the file is opened in a newer version of Excel. Learn more: https://go.microsoft.com/fwlink/?linkid=870924
Comment:
    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
      </text>
    </comment>
    <comment ref="B12" authorId="8" shapeId="0" xr:uid="{AFFC9966-65E7-7849-A618-5DEF034E694A}">
      <text>
        <t>[Threaded comment]
Your version of Excel allows you to read this threaded comment; however, any edits to it will get removed if the file is opened in a newer version of Excel. Learn more: https://go.microsoft.com/fwlink/?linkid=870924
Comment:
    Enter the operating income or EBIT from the most recent 12 months, even if that number is negative. If you have operating leases or R&amp;D and want to adjust for them, use the options below to start the process and enter the numbers in the relevant worksheets.</t>
      </text>
    </comment>
    <comment ref="C12" authorId="9" shapeId="0" xr:uid="{E540843E-F2A3-134C-8531-DA60E38A7694}">
      <text>
        <t>[Threaded comment]
Your version of Excel allows you to read this threaded comment; however, any edits to it will get removed if the file is opened in a newer version of Excel. Learn more: https://go.microsoft.com/fwlink/?linkid=870924
Comment:
    Enter the operating income or EBIT from the annual report or 10K in the fiscal year prior to your most recent 12 month data.</t>
      </text>
    </comment>
    <comment ref="B14" authorId="10" shapeId="0" xr:uid="{77A98811-E565-A44B-A04A-39493A90F63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
      </text>
    </comment>
    <comment ref="C14" authorId="11" shapeId="0" xr:uid="{1B0C707C-9FE4-EC47-8991-BFB3094AFE6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annual report in the fiscal year prior to your most recent 12 months.</t>
      </text>
    </comment>
    <comment ref="B15" authorId="12" shapeId="0" xr:uid="{4EBAB3AE-4130-E345-91F6-F196751794B7}">
      <text>
        <t xml:space="preserve">[Threaded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
      </text>
    </comment>
    <comment ref="C15" authorId="13" shapeId="0" xr:uid="{EEE67F91-B486-C642-BCF8-918B32B4F8EF}">
      <text>
        <t>[Threaded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balance sheet of the fiscal year prior to your most recent 12 months of data.</t>
      </text>
    </comment>
    <comment ref="B16" authorId="14" shapeId="0" xr:uid="{2A62643D-C33C-9A46-A5F0-E66BADC89EAC}">
      <text>
        <t>[Threaded comment]
Your version of Excel allows you to read this threaded comment; however, any edits to it will get removed if the file is opened in a newer version of Excel. Learn more: https://go.microsoft.com/fwlink/?linkid=870924
Comment:
    If you decide to challenge the accountants, and move an expense (like R&amp;D or customer acquisition costs) from operating to capital expenses, enter yes here, but make sure that you go into the R&amp;D worksheet and enter the numbers for your company.</t>
      </text>
    </comment>
    <comment ref="B17" authorId="15" shapeId="0" xr:uid="{AEED2D9E-7933-0546-A108-B06B6DBDF425}">
      <text>
        <t>[Threaded comment]
Your version of Excel allows you to read this threaded comment; however, any edits to it will get removed if the file is opened in a newer version of Excel. Learn more: https://go.microsoft.com/fwlink/?linkid=870924
Comment:
    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
      </text>
    </comment>
    <comment ref="B18" authorId="16" shapeId="0" xr:uid="{E2546F12-07E7-8E43-BAF4-4BA7F486E85D}">
      <text>
        <t>[Threaded comment]
Your version of Excel allows you to read this threaded comment; however, any edits to it will get removed if the file is opened in a newer version of Excel. Learn more: https://go.microsoft.com/fwlink/?linkid=870924
Comment:
    Enter the cash and marketable securities in your most recent balance sheet. In most companies, this will show up under current assets, and can either show up as a consolidated item or as sub-items for cash and short term investments.</t>
      </text>
    </comment>
    <comment ref="C18" authorId="17" shapeId="0" xr:uid="{7036E80F-6A3B-5240-ADB4-827D900C1913}">
      <text>
        <t>[Threaded comment]
Your version of Excel allows you to read this threaded comment; however, any edits to it will get removed if the file is opened in a newer version of Excel. Learn more: https://go.microsoft.com/fwlink/?linkid=870924
Comment:
    Enter the cash balance from the balance sheet of the fiscal year prior to your most recent twelve months.</t>
      </text>
    </comment>
    <comment ref="B19" authorId="18" shapeId="0" xr:uid="{4EF0786B-4C78-E749-BA0E-D37E40A13CCA}">
      <text>
        <t>[Threaded comment]
Your version of Excel allows you to read this threaded comment; however, any edits to it will get removed if the file is opened in a newer version of Excel. Learn more: https://go.microsoft.com/fwlink/?linkid=870924
Comment:
    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
      </text>
    </comment>
    <comment ref="B20" authorId="19" shapeId="0" xr:uid="{66B71247-062C-884C-A110-2FA7FC5BB361}">
      <text>
        <t>[Threaded comment]
Your version of Excel allows you to read this threaded comment; however, any edits to it will get removed if the file is opened in a newer version of Excel. Learn more: https://go.microsoft.com/fwlink/?linkid=870924
Comment: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text>
    </comment>
    <comment ref="B21" authorId="20" shapeId="0" xr:uid="{51B4C672-001E-AC42-885D-01422D0EE688}">
      <text>
        <t>[Threaded comment]
Your version of Excel allows you to read this threaded comment; however, any edits to it will get removed if the file is opened in a newer version of Excel. Learn more: https://go.microsoft.com/fwlink/?linkid=870924
Comment:
    Enter the most recent update you have on the number of shares. If you have different classes of shares, aggregate them all and enter one number. Count restricted stock units (RSUs) as shares but don't count shares underlying employee options.</t>
      </text>
    </comment>
    <comment ref="B22" authorId="21" shapeId="0" xr:uid="{38AE7BD4-BE10-B140-8F0C-6498039783B4}">
      <text>
        <t xml:space="preserve">[Threaded comment]
Your version of Excel allows you to read this threaded comment; however, any edits to it will get removed if the file is opened in a newer version of Excel. Learn more: https://go.microsoft.com/fwlink/?linkid=870924
Comment:
    Enter the most recent stock price (how about today's?) in here. </t>
      </text>
    </comment>
    <comment ref="B23" authorId="22" shapeId="0" xr:uid="{218968A8-BC08-A64F-9F0E-C67E68AA4DD8}">
      <text>
        <t>[Threaded comment]
Your version of Excel allows you to read this threaded comment; however, any edits to it will get removed if the file is opened in a newer version of Excel. Learn more: https://go.microsoft.com/fwlink/?linkid=870924
Comment: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
      </text>
    </comment>
    <comment ref="B24" authorId="23" shapeId="0" xr:uid="{7EC7B7C4-E2EF-5C47-9F07-E86FFDCD3214}">
      <text>
        <t>[Threaded comment]
Your version of Excel allows you to read this threaded comment; however, any edits to it will get removed if the file is opened in a newer version of Excel. Learn more: https://go.microsoft.com/fwlink/?linkid=870924
Comment:
    This is a statutory tax rate. I use the tax rate of the country the company is domiciled in. See the country equity risk premium worksheet embedded in this spreadsheet for country tax rates.</t>
      </text>
    </comment>
    <comment ref="B26" authorId="24" shapeId="0" xr:uid="{4B2B4743-2757-3E4B-9959-BA2D9ACB4202}">
      <text>
        <t>[Threaded comment]
Your version of Excel allows you to read this threaded comment; however, any edits to it will get removed if the file is opened in a newer version of Excel. Learn more: https://go.microsoft.com/fwlink/?linkid=870924
Comment:
    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
      </text>
    </comment>
    <comment ref="B27" authorId="25" shapeId="0" xr:uid="{751B8FE4-9055-B84E-A3C8-0E4DEADB3EA0}">
      <text>
        <t>[Threaded comment]
Your version of Excel allows you to read this threaded comment; however, any edits to it will get removed if the file is opened in a newer version of Excel. Learn more: https://go.microsoft.com/fwlink/?linkid=870924
Comment:
    Again, I am separating out the operating margin for next year, to allow you to use the superior information you may have for the near term to play out in this estimate.</t>
      </text>
    </comment>
    <comment ref="B28" authorId="26" shapeId="0" xr:uid="{5CA1C1D1-F4A5-8446-B5E9-71CD54EF2545}">
      <text>
        <t>[Threaded comment]
Your version of Excel allows you to read this threaded comment; however, any edits to it will get removed if the file is opened in a newer version of Excel. Learn more: https://go.microsoft.com/fwlink/?linkid=870924
Comment: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text>
    </comment>
    <comment ref="B29" authorId="27" shapeId="0" xr:uid="{3FA629D8-89D5-E143-B22C-AFE6CD0C8514}">
      <text>
        <t xml:space="preserve">[Threaded comment]
Your version of Excel allows you to read this threaded comment; however, any edits to it will get removed if the file is opened in a newer version of Excel. Learn more: https://go.microsoft.com/fwlink/?linkid=870924
Comment:
    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
      </text>
    </comment>
    <comment ref="B30" authorId="28" shapeId="0" xr:uid="{594B4E1B-3ACD-0F43-A4CB-A9BE88E089B5}">
      <text>
        <t>[Threaded comment]
Your version of Excel allows you to read this threaded comment; however, any edits to it will get removed if the file is opened in a newer version of Excel. Learn more: https://go.microsoft.com/fwlink/?linkid=870924
Comment:
    This is the forecast year in which your current margin will converge on target.</t>
      </text>
    </comment>
    <comment ref="B31" authorId="29" shapeId="0" xr:uid="{AE13966B-AB4E-B34C-AB49-2D7FEA7E9120}">
      <text>
        <t>[Threaded comment]
Your version of Excel allows you to read this threaded comment; however, any edits to it will get removed if the file is opened in a newer version of Excel. Learn more: https://go.microsoft.com/fwlink/?linkid=870924
Comment: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
      </text>
    </comment>
    <comment ref="B32" authorId="30" shapeId="0" xr:uid="{FBD5A24E-83BA-4543-B49C-42E85C8B9500}">
      <text>
        <t>[Threaded comment]
Your version of Excel allows you to read this threaded comment; however, any edits to it will get removed if the file is opened in a newer version of Excel. Learn more: https://go.microsoft.com/fwlink/?linkid=870924
Comment:
    I give you a second chance to input the sales to invested capital to allow for the fact that as companies scale up they might need to reinvest less (or more) to get the same growth.</t>
      </text>
    </comment>
    <comment ref="B34" authorId="31" shapeId="0" xr:uid="{48C76159-0827-874B-B96B-C4FD25D34B6A}">
      <text>
        <t>[Threaded comment]
Your version of Excel allows you to read this threaded comment; however, any edits to it will get removed if the file is opened in a newer version of Excel. Learn more: https://go.microsoft.com/fwlink/?linkid=870924
Comment:
    This should be today's long term riskfree rate. If you are working with a currency where the government has default risk, clean up the government bond rate to make it riskfree (by subtracting the default spread for the government).</t>
      </text>
    </comment>
    <comment ref="J34" authorId="32" shapeId="0" xr:uid="{41BD63FD-2E13-334D-AC8A-F4702E32C3C5}">
      <text>
        <t>[Threaded comment]
Your version of Excel allows you to read this threaded comment; however, any edits to it will get removed if the file is opened in a newer version of Excel. Learn more: https://go.microsoft.com/fwlink/?linkid=870924
Comment:
    Compare to your total market and check your market share.</t>
      </text>
    </comment>
    <comment ref="B35" authorId="33" shapeId="0" xr:uid="{A59C3A77-9765-B147-B40F-B2F3A4E48AC3}">
      <text>
        <t>[Threaded comment]
Your version of Excel allows you to read this threaded comment; however, any edits to it will get removed if the file is opened in a newer version of Excel. Learn more: https://go.microsoft.com/fwlink/?linkid=870924
Comment:
    Use the cost of capital worksheet to either input directly, calculate from company details on business &amp; geography mix, use an industry average or even a histogram across all companies.</t>
      </text>
    </comment>
    <comment ref="J35" authorId="34" shapeId="0" xr:uid="{DB629F1F-F83F-F647-853F-47BFC31610CD}">
      <text>
        <t xml:space="preserve">[Threaded comment]
Your version of Excel allows you to read this threaded comment; however, any edits to it will get removed if the file is opened in a newer version of Excel. Learn more: https://go.microsoft.com/fwlink/?linkid=870924
Comment:
    Determined by your target margin. </t>
      </text>
    </comment>
    <comment ref="J36" authorId="35" shapeId="0" xr:uid="{B1F53202-2F0D-D541-9E18-76005E4E45E4}">
      <text>
        <t>[Threaded comment]
Your version of Excel allows you to read this threaded comment; however, any edits to it will get removed if the file is opened in a newer version of Excel. Learn more: https://go.microsoft.com/fwlink/?linkid=870924
Comment:
    Function of both your target margin and your sales to capital ratio.</t>
      </text>
    </comment>
    <comment ref="B37" authorId="36" shapeId="0" xr:uid="{3B1FC220-3FE7-E54A-96FA-E03CEFCBFDE2}">
      <text>
        <t xml:space="preserve">[Threaded comment]
Your version of Excel allows you to read this threaded comment; however, any edits to it will get removed if the file is opened in a newer version of Excel. Learn more: https://go.microsoft.com/fwlink/?linkid=870924
Comment:
    Check your annual report or 10K for whether your companies has employee options still outstanding.  </t>
      </text>
    </comment>
    <comment ref="B38" authorId="37" shapeId="0" xr:uid="{635D9BDD-F56D-3A4B-BB73-B545395723F2}">
      <text>
        <t xml:space="preserve">[Threaded comment]
Your version of Excel allows you to read this threaded comment; however, any edits to it will get removed if the file is opened in a newer version of Excel. Learn more: https://go.microsoft.com/fwlink/?linkid=870924
Comment:
    Check your company's annual report or 10K. If it does have options outstanding, enter the total number here (vested and non vested, in the money and out… </t>
      </text>
    </comment>
    <comment ref="B39" authorId="38" shapeId="0" xr:uid="{F6C404B5-0607-B64F-8A31-FA7F51831376}">
      <text>
        <t>[Threaded comment]
Your version of Excel allows you to read this threaded comment; however, any edits to it will get removed if the file is opened in a newer version of Excel. Learn more: https://go.microsoft.com/fwlink/?linkid=870924
Comment:
    Enter the weighted average strike price of your options. (Should be in your 10K or annual report.)</t>
      </text>
    </comment>
    <comment ref="B40" authorId="39" shapeId="0" xr:uid="{84D307F5-C671-864E-A8B6-E08441B4818E}">
      <text>
        <t>[Threaded comment]
Your version of Excel allows you to read this threaded comment; however, any edits to it will get removed if the file is opened in a newer version of Excel. Learn more: https://go.microsoft.com/fwlink/?linkid=870924
Comment:
    The weighted average maturity of your options should be reported in your financial statements.</t>
      </text>
    </comment>
    <comment ref="B41" authorId="40" shapeId="0" xr:uid="{2377327B-59EE-3545-8F8A-AE8AED070076}">
      <text>
        <t>[Threaded comment]
Your version of Excel allows you to read this threaded comment; however, any edits to it will get removed if the file is opened in a newer version of Excel. Learn more: https://go.microsoft.com/fwlink/?linkid=870924
Comment:
    If you have a standard deviation for your stock, enter that number. If not, use the US and Global Industry average worksheets in this spreadsheet to look up the industry average standard deviation.</t>
      </text>
    </comment>
    <comment ref="B46" authorId="41" shapeId="0" xr:uid="{23A45B0B-C6F1-6248-99DC-D3FB7F79095D}">
      <text>
        <t>[Threaded comment]
Your version of Excel allows you to read this threaded comment; however, any edits to it will get removed if the file is opened in a newer version of Excel. Learn more: https://go.microsoft.com/fwlink/?linkid=870924
Comment:
    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
      </text>
    </comment>
    <comment ref="B49" authorId="42" shapeId="0" xr:uid="{C653EB8A-25F4-464F-BD99-C6B45BEA26C3}">
      <text>
        <t>[Threaded comment]
Your version of Excel allows you to read this threaded comment; however, any edits to it will get removed if the file is opened in a newer version of Excel. Learn more: https://go.microsoft.com/fwlink/?linkid=870924
Comment:
    Even if you believe your firm has significant competitive advantages, you should expect the return on capital for a company to come down over time, at least on new projects. If you don’t see long term competitive advantages, you should just leave the cell above at No.</t>
      </text>
    </comment>
    <comment ref="B51" authorId="43" shapeId="0" xr:uid="{BC8F5940-D88C-FF41-BFB0-C57C664414DF}">
      <text>
        <t>[Threaded comment]
Your version of Excel allows you to read this threaded comment; however, any edits to it will get removed if the file is opened in a newer version of Excel. Learn more: https://go.microsoft.com/fwlink/?linkid=870924
Comment:
    If your company is money-losing or in decline, and you believe that there is a significant chance it will not survive, enter yes here, and the inputs below. Failure can also be caused by catastrophes or government action.</t>
      </text>
    </comment>
    <comment ref="B52" authorId="44" shapeId="0" xr:uid="{E70E7C6A-F80C-1541-B56C-B7B598D70448}">
      <text>
        <t xml:space="preserve">[Threaded comment]
Your version of Excel allows you to read this threaded comment; however, any edits to it will get removed if the file is opened in a newer version of Excel. Learn more: https://go.microsoft.com/fwlink/?linkid=870924
Comment:
    Aswath Damodaran
If you want to look at ways of estimating this probability, try the failure rate worksheet embedded in this spreadsheet.  </t>
      </text>
    </comment>
    <comment ref="B53" authorId="45" shapeId="0" xr:uid="{2714D861-0A48-5D43-B0B4-66453AEB395D}">
      <text>
        <t>[Threaded comment]
Your version of Excel allows you to read this threaded comment; however, any edits to it will get removed if the file is opened in a newer version of Excel. Learn more: https://go.microsoft.com/fwlink/?linkid=870924
Comment:
    If the firm fail and has to liquidate its assets, you need to specify what the liquidation proceeds will be tied to. For young growth companies, I would tie it to value and with distressed firms (especially ones with significant assets in place), I would use book value.</t>
      </text>
    </comment>
    <comment ref="B54" authorId="46" shapeId="0" xr:uid="{BACA5868-B98A-F34A-BB35-5BF8D7D47027}">
      <text>
        <t>[Threaded comment]
Your version of Excel allows you to read this threaded comment; however, any edits to it will get removed if the file is opened in a newer version of Excel. Learn more: https://go.microsoft.com/fwlink/?linkid=870924
Comment:
    You will generally not get 100% of fair value. How much less than 100% you get will depend on whether there are lots of potential buyers for your assets and how much of a hurry you are in to liquidate. It may well be zero for a young growth company with no tangible assets.</t>
      </text>
    </comment>
    <comment ref="B56" authorId="47" shapeId="0" xr:uid="{70BF85C9-F9B1-4243-88BC-086E5E41286E}">
      <text>
        <t>[Threaded comment]
Your version of Excel allows you to read this threaded comment; however, any edits to it will get removed if the file is opened in a newer version of Excel. Learn more: https://go.microsoft.com/fwlink/?linkid=870924
Comment:
    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
      </text>
    </comment>
    <comment ref="B57" authorId="48" shapeId="0" xr:uid="{D5616C1A-972E-EA45-89C6-4108E9869A9C}">
      <text>
        <t>[Threaded comment]
Your version of Excel allows you to read this threaded comment; however, any edits to it will get removed if the file is opened in a newer version of Excel. Learn more: https://go.microsoft.com/fwlink/?linkid=870924
Comment:
    The default is set to zero (contemporaneous growth, but you can a lag up to three years between investment and growth)</t>
      </text>
    </comment>
    <comment ref="B59" authorId="49" shapeId="0" xr:uid="{864108E8-64F4-C649-B7F6-27546ED36042}">
      <text>
        <t>[Threaded comment]
Your version of Excel allows you to read this threaded comment; however, any edits to it will get removed if the file is opened in a newer version of Excel. Learn more: https://go.microsoft.com/fwlink/?linkid=870924
Comment:
    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
      </text>
    </comment>
    <comment ref="B62" authorId="50" shapeId="0" xr:uid="{52953B18-6ABF-C140-A50D-98AA9E44D651}">
      <text>
        <t>[Threaded comment]
Your version of Excel allows you to read this threaded comment; however, any edits to it will get removed if the file is opened in a newer version of Excel. Learn more: https://go.microsoft.com/fwlink/?linkid=870924
Comment:
    This is the NOL from prior years carried forward into this year. Check the footnotes to your financial statements to see if there are any loss carry forwards.</t>
      </text>
    </comment>
    <comment ref="B64" authorId="51" shapeId="0" xr:uid="{25389A54-C635-ED40-849A-EEB0EC5D59A1}">
      <text>
        <t>[Threaded comment]
Your version of Excel allows you to read this threaded comment; however, any edits to it will get removed if the file is opened in a newer version of Excel. Learn more: https://go.microsoft.com/fwlink/?linkid=870924
Comment:
    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
      </text>
    </comment>
    <comment ref="B65" authorId="52" shapeId="0" xr:uid="{2C7CA6D9-70A4-454D-A0BD-19CB3A5D02DF}">
      <text>
        <t>[Threaded comment]
Your version of Excel allows you to read this threaded comment; however, any edits to it will get removed if the file is opened in a newer version of Excel. Learn more: https://go.microsoft.com/fwlink/?linkid=870924
Comment:
    This is your forecast for the long-term, default free rate in the currency that you are working with, ten years from now.</t>
      </text>
    </comment>
    <comment ref="B67" authorId="53" shapeId="0" xr:uid="{997F1F94-CD24-FE40-933F-77DF8B8E547F}">
      <text>
        <t>[Threaded comment]
Your version of Excel allows you to read this threaded comment; however, any edits to it will get removed if the file is opened in a newer version of Excel. Learn more: https://go.microsoft.com/fwlink/?linkid=870924
Comment:
    Leave this  at no,  for the most part, but use yes, if you have a firm that you see declining after year 10 or growing at a rate much lower than the rest of the economy.</t>
      </text>
    </comment>
    <comment ref="B68" authorId="54" shapeId="0" xr:uid="{FC146819-31BC-CD4B-BB8F-10573BD83B4A}">
      <text>
        <t xml:space="preserve">[Threaded comment]
Your version of Excel allows you to read this threaded comment; however, any edits to it will get removed if the file is opened in a newer version of Excel. Learn more: https://go.microsoft.com/fwlink/?linkid=870924
Comment:
    Be VERY, VERY careful. This is a growth rate in perpetuity, after year 10. Entering numbers significantly (more than 1%) higher than the risk free rate will render your valuation close to useless.
</t>
      </text>
    </comment>
    <comment ref="B70" authorId="55" shapeId="0" xr:uid="{3402EFD0-3B2F-EB41-AC9A-ADE509BA8833}">
      <text>
        <t>[Threaded comment]
Your version of Excel allows you to read this threaded comment; however, any edits to it will get removed if the file is opened in a newer version of Excel. Learn more: https://go.microsoft.com/fwlink/?linkid=870924
Comment:
    US tax law no longer has the global taxation feature that it used to have prior to 2017. So, no is the better answer. However, it the tax laws revert back to pre-2017 standards, this option will come into play, as companies part their cash outside the US.</t>
      </text>
    </comment>
    <comment ref="B71" authorId="56" shapeId="0" xr:uid="{486B0BE4-91F5-A947-86B6-995AD147925C}">
      <text>
        <t>[Threaded comment]
Your version of Excel allows you to read this threaded comment; however, any edits to it will get removed if the file is opened in a newer version of Excel. Learn more: https://go.microsoft.com/fwlink/?linkid=870924
Comment:
    If your concern is that a portion of the cash is trapped in foreign markets and will be subject to tax, when returned, enter the trapped cash balance. If you feel that the entire cash balance is being discounted because markets don't trust managers, enter the entire cash balance.</t>
      </text>
    </comment>
    <comment ref="B72" authorId="57" shapeId="0" xr:uid="{BC724579-4871-0448-B3E6-EFAC6D77BD38}">
      <text>
        <t>[Threaded comment]
Your version of Excel allows you to read this threaded comment; however, any edits to it will get removed if the file is opened in a newer version of Excel. Learn more: https://go.microsoft.com/fwlink/?linkid=870924
Comment:
    This is the additional tax due, if the cash is trapped cash. If your concern is that all cash is being discounted by the market because of management mistrust, enter the percentage discount to apply to cash.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tc={AA550503-3638-E344-A76C-EC9EE16E8E35}</author>
    <author>tc={0773F50D-8F4A-8942-A093-8D85A28A7EFC}</author>
    <author>tc={92B75667-258A-9041-A90E-BA34684C64D8}</author>
  </authors>
  <commentList>
    <comment ref="F8" authorId="0" shapeId="0" xr:uid="{AA550503-3638-E344-A76C-EC9EE16E8E35}">
      <text>
        <t xml:space="preserve">[Threaded comment]
Your version of Excel allows you to read this threaded comment; however, any edits to it will get removed if the file is opened in a newer version of Excel. Learn more: https://go.microsoft.com/fwlink/?linkid=870924
Comment:
    If your most recent year's operating income is unusually low or high, you can use the average operating income from the last few years. </t>
      </text>
    </comment>
    <comment ref="F9" authorId="1" shapeId="0" xr:uid="{0773F50D-8F4A-8942-A093-8D85A28A7EFC}">
      <text>
        <t>[Threaded comment]
Your version of Excel allows you to read this threaded comment; however, any edits to it will get removed if the file is opened in a newer version of Excel. Learn more: https://go.microsoft.com/fwlink/?linkid=870924
Comment:
    Enter the interest expense from the most recent income statement.</t>
      </text>
    </comment>
    <comment ref="F10" authorId="2" shapeId="0" xr:uid="{92B75667-258A-9041-A90E-BA34684C64D8}">
      <text>
        <t>[Threaded comment]
Your version of Excel allows you to read this threaded comment; however, any edits to it will get removed if the file is opened in a newer version of Excel. Learn more: https://go.microsoft.com/fwlink/?linkid=870924
Comment:
    I use a 10 year government bond rate.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tc={BC7D716B-CF00-F547-AE72-E2F45BCC1F61}</author>
    <author>tc={ED7E82EC-F310-0248-9E9E-817504C4829B}</author>
    <author>tc={592C6C60-5223-4B45-8A69-B291166B7E7E}</author>
  </authors>
  <commentList>
    <comment ref="F7" authorId="0" shapeId="0" xr:uid="{BC7D716B-CF00-F547-AE72-E2F45BCC1F61}">
      <text>
        <t>[Threaded comment]
Your version of Excel allows you to read this threaded comment; however, any edits to it will get removed if the file is opened in a newer version of Excel. Learn more: https://go.microsoft.com/fwlink/?linkid=870924
Comment:
    Enter the R&amp;D expense in the most recent 12 months of data.</t>
      </text>
    </comment>
    <comment ref="B10" authorId="1" shapeId="0" xr:uid="{ED7E82EC-F310-0248-9E9E-817504C4829B}">
      <text>
        <t>[Threaded comment]
Your version of Excel allows you to read this threaded comment; however, any edits to it will get removed if the file is opened in a newer version of Excel. Learn more: https://go.microsoft.com/fwlink/?linkid=870924
Comment:
    Enter the R&amp;D expenses from the years before the last 12 months, starting with the last year (-1), the year before that (-2) etc..</t>
      </text>
    </comment>
    <comment ref="D40" authorId="2" shapeId="0" xr:uid="{592C6C60-5223-4B45-8A69-B291166B7E7E}">
      <text>
        <t>[Threaded comment]
Your version of Excel allows you to read this threaded comment; however, any edits to it will get removed if the file is opened in a newer version of Excel. Learn more: https://go.microsoft.com/fwlink/?linkid=870924
Comment:
    By expensing R&amp;D rather than capitalizing it, the firm gets a tax benefit. This is the dollar value of that tax benefit.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tc={4E9D46C3-9490-AE49-9C1C-FE39D8287CF7}</author>
    <author>tc={088A5D00-F7DB-F641-B5E4-2511B8451119}</author>
  </authors>
  <commentList>
    <comment ref="E4" authorId="0" shapeId="0" xr:uid="{4E9D46C3-9490-AE49-9C1C-FE39D8287CF7}">
      <text>
        <t>[Threaded comment]
Your version of Excel allows you to read this threaded comment; however, any edits to it will get removed if the file is opened in a newer version of Excel. Learn more: https://go.microsoft.com/fwlink/?linkid=870924
Comment:
    Enter the operating lease expense in the most recent 12 months.</t>
      </text>
    </comment>
    <comment ref="B6" authorId="1" shapeId="0" xr:uid="{088A5D00-F7DB-F641-B5E4-2511B8451119}">
      <text>
        <t>[Threaded comment]
Your version of Excel allows you to read this threaded comment; however, any edits to it will get removed if the file is opened in a newer version of Excel. Learn more: https://go.microsoft.com/fwlink/?linkid=870924
Comment:
    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tc={A23E286D-FDA4-E04B-B2B6-8101484E8233}</author>
    <author>tc={E56104C5-7C66-F848-B455-D4DEB1B906C4}</author>
    <author>tc={48141766-7F07-C447-89ED-3E1A81023B2B}</author>
    <author>tc={568DD258-B547-7D4B-8EA5-8936C8A36C7A}</author>
    <author>tc={0B49E534-4839-224A-A0D8-3E69E03A9811}</author>
    <author>tc={5A91BFC2-E30D-1B4A-87B9-BB138BF07698}</author>
    <author>tc={99D69372-A294-2A49-8F68-E27D38561195}</author>
    <author>tc={CDB18AC1-A933-1F49-84C1-AA536ECAB35B}</author>
    <author>tc={40F47070-A7F9-764E-BF6F-3CDF01F6763D}</author>
  </authors>
  <commentList>
    <comment ref="B23" authorId="0" shapeId="0" xr:uid="{A23E286D-FDA4-E04B-B2B6-8101484E8233}">
      <text>
        <t>[Threaded comment]
Your version of Excel allows you to read this threaded comment; however, any edits to it will get removed if the file is opened in a newer version of Excel. Learn more: https://go.microsoft.com/fwlink/?linkid=870924
Comment:
    If you input a beta directly, I will unlever that beta using the current debt to equity ratio.</t>
      </text>
    </comment>
    <comment ref="B25" authorId="1" shapeId="0" xr:uid="{E56104C5-7C66-F848-B455-D4DEB1B906C4}">
      <text>
        <t>[Threaded comment]
Your version of Excel allows you to read this threaded comment; however, any edits to it will get removed if the file is opened in a newer version of Excel. Learn more: https://go.microsoft.com/fwlink/?linkid=870924
Comment:
    If you pick operating regions or countries, please input the revenues by country or region in the table to the right.</t>
      </text>
    </comment>
    <comment ref="B27" authorId="2" shapeId="0" xr:uid="{48141766-7F07-C447-89ED-3E1A81023B2B}">
      <text>
        <t>[Threaded comment]
Your version of Excel allows you to read this threaded comment; however, any edits to it will get removed if the file is opened in a newer version of Excel. Learn more: https://go.microsoft.com/fwlink/?linkid=870924
Comment:
    If your company has risk exposure in emergiing markets, incorporate that risk premiums here. See worksheet on country risk premiums.</t>
      </text>
    </comment>
    <comment ref="B31" authorId="3" shapeId="0" xr:uid="{568DD258-B547-7D4B-8EA5-8936C8A36C7A}">
      <text>
        <t>[Threaded comment]
Your version of Excel allows you to read this threaded comment; however, any edits to it will get removed if the file is opened in a newer version of Excel. Learn more: https://go.microsoft.com/fwlink/?linkid=870924
Comment:
    Interest expense (gross) from most recent financial statement.</t>
      </text>
    </comment>
    <comment ref="B32" authorId="4" shapeId="0" xr:uid="{0B49E534-4839-224A-A0D8-3E69E03A9811}">
      <text>
        <t>[Threaded comment]
Your version of Excel allows you to read this threaded comment; however, any edits to it will get removed if the file is opened in a newer version of Excel. Learn more: https://go.microsoft.com/fwlink/?linkid=870924
Comment:
    Generally found in footnotes to financial statements. If you cannot find it, enter zero,</t>
      </text>
    </comment>
    <comment ref="B33" authorId="5" shapeId="0" xr:uid="{5A91BFC2-E30D-1B4A-87B9-BB138BF07698}">
      <text>
        <t>[Threaded comment]
Your version of Excel allows you to read this threaded comment; however, any edits to it will get removed if the file is opened in a newer version of Excel. Learn more: https://go.microsoft.com/fwlink/?linkid=870924
Comment:
    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
      </text>
    </comment>
    <comment ref="B35" authorId="6" shapeId="0" xr:uid="{99D69372-A294-2A49-8F68-E27D38561195}">
      <text>
        <t>[Threaded comment]
Your version of Excel allows you to read this threaded comment; however, any edits to it will get removed if the file is opened in a newer version of Excel. Learn more: https://go.microsoft.com/fwlink/?linkid=870924
Comment:
    If you cannot find your rating on this pulldown menu, pick the closest one you can find.</t>
      </text>
    </comment>
    <comment ref="B36" authorId="7" shapeId="0" xr:uid="{CDB18AC1-A933-1F49-84C1-AA536ECAB35B}">
      <text>
        <t>[Threaded comment]
Your version of Excel allows you to read this threaded comment; however, any edits to it will get removed if the file is opened in a newer version of Excel. Learn more: https://go.microsoft.com/fwlink/?linkid=870924
Comment:
    This input is used only when you pick the synthetic rating option.
1: Large market cap (&gt;$5 billion) and safe.
2: Small market cap (&lt;$5 billion) or risky.
If company has volatile earnings or is in risky business, use 2, even if large market cap.</t>
      </text>
    </comment>
    <comment ref="B37" authorId="8" shapeId="0" xr:uid="{40F47070-A7F9-764E-BF6F-3CDF01F6763D}">
      <text>
        <t>[Threaded comment]
Your version of Excel allows you to read this threaded comment; however, any edits to it will get removed if the file is opened in a newer version of Excel. Learn more: https://go.microsoft.com/fwlink/?linkid=870924
Comment:
    Current, long term cost of borrowing money. If you have a rating use it, if not use a synthetic rating. See the worksheet attached.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tc={C3B82CD1-0285-F746-B2B0-DC065BFFA19E}</author>
  </authors>
  <commentList>
    <comment ref="B1" authorId="0" shapeId="0" xr:uid="{C3B82CD1-0285-F746-B2B0-DC065BFFA19E}">
      <text>
        <t>[Threaded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text>
    </comment>
  </commentList>
</comments>
</file>

<file path=xl/sharedStrings.xml><?xml version="1.0" encoding="utf-8"?>
<sst xmlns="http://schemas.openxmlformats.org/spreadsheetml/2006/main" count="1698" uniqueCount="991">
  <si>
    <t>If calculated value is negative or looks too low</t>
    <phoneticPr fontId="6" type="noConversion"/>
  </si>
  <si>
    <t>If calculated value looks too high</t>
    <phoneticPr fontId="6" type="noConversion"/>
  </si>
  <si>
    <t>Increase revenue growth rate</t>
    <phoneticPr fontId="6" type="noConversion"/>
  </si>
  <si>
    <t>Decrease revenue growth rate</t>
    <phoneticPr fontId="6" type="noConversion"/>
  </si>
  <si>
    <t>Inputs</t>
  </si>
  <si>
    <t>Revenues</t>
  </si>
  <si>
    <t>EBIT(1-t)</t>
  </si>
  <si>
    <t>Number of shares</t>
    <phoneticPr fontId="5" type="noConversion"/>
  </si>
  <si>
    <t>Base year</t>
    <phoneticPr fontId="5" type="noConversion"/>
  </si>
  <si>
    <t xml:space="preserve"> - Reinvestment</t>
    <phoneticPr fontId="5" type="noConversion"/>
  </si>
  <si>
    <t>FCFF</t>
  </si>
  <si>
    <t>Implied variables</t>
    <phoneticPr fontId="5" type="noConversion"/>
  </si>
  <si>
    <t>Invested capital</t>
    <phoneticPr fontId="5" type="noConversion"/>
  </si>
  <si>
    <t>ROIC</t>
    <phoneticPr fontId="5" type="noConversion"/>
  </si>
  <si>
    <t>Revenue growth rate</t>
    <phoneticPr fontId="5" type="noConversion"/>
  </si>
  <si>
    <t>PV(FCFF)</t>
    <phoneticPr fontId="5" type="noConversion"/>
  </si>
  <si>
    <t>Terminal cash flow</t>
    <phoneticPr fontId="5" type="noConversion"/>
  </si>
  <si>
    <t>Terminal value</t>
    <phoneticPr fontId="5" type="noConversion"/>
  </si>
  <si>
    <t>PV(Terminal value)</t>
    <phoneticPr fontId="5" type="noConversion"/>
  </si>
  <si>
    <t>EBIT (Operating income)</t>
    <phoneticPr fontId="5" type="noConversion"/>
  </si>
  <si>
    <t>EBIT (Operating) margin</t>
    <phoneticPr fontId="5" type="noConversion"/>
  </si>
  <si>
    <t>Riskfree rate</t>
    <phoneticPr fontId="6" type="noConversion"/>
  </si>
  <si>
    <t>Your calculated value as a percent of current price</t>
    <phoneticPr fontId="6"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</si>
  <si>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</si>
  <si>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</si>
  <si>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</si>
  <si>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</si>
  <si>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</si>
  <si>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</si>
  <si>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</si>
  <si>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</si>
  <si>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</si>
  <si>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</si>
  <si>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</si>
  <si>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</si>
  <si>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</si>
  <si>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</si>
  <si>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</si>
  <si>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</si>
  <si>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</si>
  <si>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</si>
  <si>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</si>
  <si>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</si>
  <si>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Price as % of value</t>
  </si>
  <si>
    <t>No</t>
  </si>
  <si>
    <t>Value of equity</t>
  </si>
  <si>
    <t>Mature companies find it difficult to generate returns that exceed the cost of capital</t>
  </si>
  <si>
    <t>Mature companies generally see their risk levels approach the average</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</si>
  <si>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</si>
  <si>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</si>
  <si>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</si>
  <si>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</si>
  <si>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</si>
  <si>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</si>
  <si>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</si>
  <si>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</si>
  <si>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</si>
  <si>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</si>
  <si>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</si>
  <si>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</si>
  <si>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</si>
  <si>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</si>
  <si>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</si>
  <si>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</si>
  <si>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</si>
  <si>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</si>
  <si>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</si>
  <si>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</si>
  <si>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</si>
  <si>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</si>
  <si>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</si>
  <si>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</si>
  <si>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</si>
  <si>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</si>
  <si>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</si>
  <si>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</si>
  <si>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</si>
  <si>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</si>
  <si>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</si>
  <si>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</si>
  <si>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</si>
  <si>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</si>
  <si>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</si>
  <si>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</si>
  <si>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</si>
  <si>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</si>
  <si>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</si>
  <si>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</si>
  <si>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</si>
  <si>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</si>
  <si>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</si>
  <si>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</si>
  <si>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</si>
  <si>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</si>
  <si>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</si>
  <si>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</si>
  <si>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</si>
  <si>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</si>
  <si>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</si>
  <si>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</si>
  <si>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</si>
  <si>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</si>
  <si>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</si>
  <si>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</si>
  <si>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</si>
  <si>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</si>
  <si>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</si>
  <si>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</si>
  <si>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</si>
  <si>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</si>
  <si>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</si>
  <si>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</si>
  <si>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</si>
  <si>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</si>
  <si>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</si>
  <si>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</si>
  <si>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</si>
  <si>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</si>
  <si>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</si>
  <si>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</si>
  <si>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</si>
  <si>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</si>
  <si>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</si>
  <si>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</si>
  <si>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</si>
  <si>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</si>
  <si>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</si>
  <si>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</si>
  <si>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</si>
  <si>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</si>
  <si>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</si>
  <si>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</si>
  <si>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</si>
  <si>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</si>
  <si>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</si>
  <si>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</si>
  <si>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</si>
  <si>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</si>
  <si>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</si>
  <si>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</si>
  <si>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</si>
  <si>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Increase relative to your cost of capital</t>
  </si>
  <si>
    <t>If higher than your cost of capital, lower towards your cost of capital</t>
  </si>
  <si>
    <t xml:space="preserve"> </t>
  </si>
  <si>
    <t>T</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</si>
  <si>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</si>
  <si>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</si>
  <si>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</si>
  <si>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</si>
  <si>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</si>
  <si>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</si>
  <si>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</si>
  <si>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</si>
  <si>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</si>
  <si>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</si>
  <si>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</si>
  <si>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</si>
  <si>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</si>
  <si>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</si>
  <si>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</si>
  <si>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</si>
  <si>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</si>
  <si>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</si>
  <si>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</si>
  <si>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</si>
  <si>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</si>
  <si>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</si>
  <si>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</si>
  <si>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</si>
  <si>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</si>
  <si>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</si>
  <si>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</si>
  <si>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</si>
  <si>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</si>
  <si>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</si>
  <si>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</si>
  <si>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</si>
  <si>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</si>
  <si>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</si>
  <si>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</si>
  <si>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</si>
  <si>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</si>
  <si>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</si>
  <si>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</si>
  <si>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</si>
  <si>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</si>
  <si>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</si>
  <si>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</si>
  <si>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</si>
  <si>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</si>
  <si>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</si>
  <si>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</si>
  <si>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</si>
  <si>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</si>
  <si>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</si>
  <si>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</si>
  <si>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</si>
  <si>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</si>
  <si>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</si>
  <si>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</si>
  <si>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</si>
  <si>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</si>
  <si>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</si>
  <si>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</si>
  <si>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</si>
  <si>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</si>
  <si>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</si>
  <si>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</si>
  <si>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9"/>
  </si>
  <si>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</si>
  <si>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</si>
  <si>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</si>
  <si>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</si>
  <si>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</si>
  <si>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</si>
  <si>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</si>
  <si>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</si>
  <si>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</si>
  <si>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</si>
  <si>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</si>
  <si>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</si>
  <si>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Company</t>
  </si>
  <si>
    <t>Yes/No</t>
  </si>
  <si>
    <t>Book or Market Value</t>
  </si>
  <si>
    <t>Computed numbers: Here is what your company's numbers look like, relative to industry.</t>
  </si>
  <si>
    <t>Do you have operating lease commitments?</t>
  </si>
  <si>
    <t>Cash and cross holdings</t>
  </si>
  <si>
    <t>Do you have employee options outstanding?</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</si>
  <si>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</si>
  <si>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</si>
  <si>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</si>
  <si>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</si>
  <si>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</si>
  <si>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</si>
  <si>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</si>
  <si>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</si>
  <si>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</si>
  <si>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</si>
  <si>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</si>
  <si>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</si>
  <si>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</si>
  <si>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</si>
  <si>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</si>
  <si>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</si>
  <si>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</si>
  <si>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</si>
  <si>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</si>
  <si>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</si>
  <si>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</si>
  <si>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</si>
  <si>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</si>
  <si>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</si>
  <si>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</si>
  <si>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</si>
  <si>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</si>
  <si>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</si>
  <si>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</si>
  <si>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</si>
  <si>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</si>
  <si>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</si>
  <si>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</si>
  <si>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</si>
  <si>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</si>
  <si>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</si>
  <si>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</si>
  <si>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</si>
  <si>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</si>
  <si>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</si>
  <si>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</si>
  <si>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</si>
  <si>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</si>
  <si>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</si>
  <si>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</si>
  <si>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</si>
  <si>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</si>
  <si>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</si>
  <si>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</si>
  <si>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</si>
  <si>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</si>
  <si>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</si>
  <si>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</si>
  <si>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</si>
  <si>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</si>
  <si>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</si>
  <si>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</si>
  <si>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</si>
  <si>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</si>
  <si>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</si>
  <si>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</si>
  <si>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</si>
  <si>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</si>
  <si>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</si>
  <si>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</si>
  <si>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</si>
  <si>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</si>
  <si>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</si>
  <si>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</si>
  <si>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</si>
  <si>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</si>
  <si>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</si>
  <si>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</si>
  <si>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</si>
  <si>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</si>
  <si>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</si>
  <si>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</si>
  <si>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</si>
  <si>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</si>
  <si>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</si>
  <si>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</si>
  <si>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</si>
  <si>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</si>
  <si>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</si>
  <si>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</si>
  <si>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</si>
  <si>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</si>
  <si>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</si>
  <si>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</si>
  <si>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</si>
  <si>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</si>
  <si>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</si>
  <si>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</si>
  <si>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</si>
  <si>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</si>
  <si>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</si>
  <si>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</si>
  <si>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</si>
  <si>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</si>
  <si>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</si>
  <si>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</si>
  <si>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</si>
  <si>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</si>
  <si>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</si>
  <si>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</si>
  <si>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</si>
  <si>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</si>
  <si>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</si>
  <si>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</si>
  <si>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</si>
  <si>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</si>
  <si>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</si>
  <si>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</si>
  <si>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</si>
  <si>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</si>
  <si>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</si>
  <si>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</si>
  <si>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</si>
  <si>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</si>
  <si>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</si>
  <si>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</si>
  <si>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</si>
  <si>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</si>
  <si>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</si>
  <si>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</si>
  <si>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</si>
  <si>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</si>
  <si>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</si>
  <si>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</si>
  <si>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</si>
  <si>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ERP</t>
  </si>
  <si>
    <t>Weighted ERP</t>
  </si>
  <si>
    <t>Weight</t>
  </si>
  <si>
    <t>Total</t>
  </si>
  <si>
    <t>Cost of capital =</t>
  </si>
  <si>
    <t>Standard deviation in stock prices =</t>
  </si>
  <si>
    <t>Date of valuation</t>
  </si>
  <si>
    <t xml:space="preserve">Non-operating assets </t>
  </si>
  <si>
    <t xml:space="preserve"> + Non-operating assets</t>
  </si>
  <si>
    <t xml:space="preserve"> +  Cash</t>
  </si>
  <si>
    <t xml:space="preserve"> - Debt</t>
  </si>
  <si>
    <t>Minority interests</t>
  </si>
  <si>
    <t xml:space="preserve"> - Minority interests</t>
  </si>
  <si>
    <t>Business</t>
  </si>
  <si>
    <t>Estimated Value</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</si>
  <si>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</si>
  <si>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</si>
  <si>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</si>
  <si>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</si>
  <si>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</si>
  <si>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</si>
  <si>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</si>
  <si>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</si>
  <si>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</si>
  <si>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</si>
  <si>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</si>
  <si>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</si>
  <si>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</si>
  <si>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</si>
  <si>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</si>
  <si>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</si>
  <si>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</si>
  <si>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</si>
  <si>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</si>
  <si>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</si>
  <si>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</si>
  <si>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</si>
  <si>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</si>
  <si>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</si>
  <si>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</si>
  <si>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</si>
  <si>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</si>
  <si>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</si>
  <si>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First X months: Last year</t>
  </si>
  <si>
    <t>First X months: Current year</t>
  </si>
  <si>
    <t>If you are not working in US dollars, you should add the inflation differential to the industry averages.</t>
  </si>
  <si>
    <t>Asia</t>
  </si>
  <si>
    <t>Kenya</t>
  </si>
  <si>
    <t>St. Maarten</t>
  </si>
  <si>
    <t>Uganda</t>
  </si>
  <si>
    <t>Industry (US)</t>
  </si>
  <si>
    <t>Industry (Global)</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</si>
  <si>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</si>
  <si>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</si>
  <si>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</si>
  <si>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</si>
  <si>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</si>
  <si>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</si>
  <si>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</si>
  <si>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</si>
  <si>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</si>
  <si>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</si>
  <si>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</si>
  <si>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</si>
  <si>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</si>
  <si>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</si>
  <si>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</si>
  <si>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</si>
  <si>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</si>
  <si>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</si>
  <si>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</si>
  <si>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</si>
  <si>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</si>
  <si>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</si>
  <si>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</si>
  <si>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</si>
  <si>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</si>
  <si>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</si>
  <si>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</si>
  <si>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</si>
  <si>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</si>
  <si>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</si>
  <si>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</si>
  <si>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</si>
  <si>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</si>
  <si>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</si>
  <si>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</si>
  <si>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</si>
  <si>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</si>
  <si>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</si>
  <si>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</si>
  <si>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</si>
  <si>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</si>
  <si>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</si>
  <si>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</si>
  <si>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</si>
  <si>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</si>
  <si>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</si>
  <si>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</si>
  <si>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</si>
  <si>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</si>
  <si>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</si>
  <si>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</si>
  <si>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</si>
  <si>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</si>
  <si>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</si>
  <si>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</si>
  <si>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</si>
  <si>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</si>
  <si>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</si>
  <si>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</si>
  <si>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</si>
  <si>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</si>
  <si>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</si>
  <si>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</si>
  <si>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</si>
  <si>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</si>
  <si>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</si>
  <si>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</si>
  <si>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</si>
  <si>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</si>
  <si>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</si>
  <si>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Computer Services</t>
  </si>
  <si>
    <t>Entertainment</t>
  </si>
  <si>
    <t>Operating Countries ERP calculator</t>
  </si>
  <si>
    <t>Cash and Marketable Securities</t>
  </si>
  <si>
    <t>Cross holdings and other non-operating assets</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</si>
  <si>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</si>
  <si>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</si>
  <si>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</si>
  <si>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</si>
  <si>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</si>
  <si>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</si>
  <si>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</si>
  <si>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</si>
  <si>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</si>
  <si>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</si>
  <si>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</si>
  <si>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</si>
  <si>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</si>
  <si>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</si>
  <si>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</si>
  <si>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</si>
  <si>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</si>
  <si>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Assumptions</t>
  </si>
  <si>
    <t>Base year</t>
  </si>
  <si>
    <t>Years 6-10</t>
  </si>
  <si>
    <t>Operating Margin</t>
  </si>
  <si>
    <t>The Cash Flows</t>
  </si>
  <si>
    <t>EBIT (1-t)</t>
  </si>
  <si>
    <t>The Value</t>
  </si>
  <si>
    <t>Terminal value</t>
  </si>
  <si>
    <t>PV(Terminal value)</t>
  </si>
  <si>
    <t>Link to story</t>
  </si>
  <si>
    <t>Revenues (a)</t>
  </si>
  <si>
    <t>Operating margin (b)</t>
  </si>
  <si>
    <t>Cost of capital (d)</t>
  </si>
  <si>
    <t xml:space="preserve">Reinvestment </t>
  </si>
  <si>
    <t>Number of shares</t>
  </si>
  <si>
    <t>EBIT</t>
  </si>
  <si>
    <t>Adjustment for distress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</si>
  <si>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</si>
  <si>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</si>
  <si>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</si>
  <si>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</si>
  <si>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</si>
  <si>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</si>
  <si>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</si>
  <si>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</si>
  <si>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</si>
  <si>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</si>
  <si>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</si>
  <si>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</si>
  <si>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</si>
  <si>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Sales to Capital</t>
  </si>
  <si>
    <t>Reinvestment</t>
  </si>
  <si>
    <t>Cost of Capital</t>
  </si>
  <si>
    <t>Terminal Value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</si>
  <si>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</si>
  <si>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</si>
  <si>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</si>
  <si>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</si>
  <si>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</si>
  <si>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</si>
  <si>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</si>
  <si>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</si>
  <si>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</si>
  <si>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</si>
  <si>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</si>
  <si>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</si>
  <si>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</si>
  <si>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</si>
  <si>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</si>
  <si>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</si>
  <si>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</si>
  <si>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</si>
  <si>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</si>
  <si>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</si>
  <si>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</si>
  <si>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</si>
  <si>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</si>
  <si>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</si>
  <si>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</si>
  <si>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</si>
  <si>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</si>
  <si>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</si>
  <si>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</si>
  <si>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</si>
  <si>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</si>
  <si>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</si>
  <si>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</si>
  <si>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</si>
  <si>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</si>
  <si>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</si>
  <si>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</si>
  <si>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</si>
  <si>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</si>
  <si>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</si>
  <si>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</si>
  <si>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</si>
  <si>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</si>
  <si>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</si>
  <si>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</si>
  <si>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</si>
  <si>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</si>
  <si>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</si>
  <si>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Mature Market ERP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</si>
  <si>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</si>
  <si>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C</t>
  </si>
  <si>
    <t>Pre-tax Operating Margin (Unadjusted)</t>
  </si>
  <si>
    <t>Rest of the World</t>
  </si>
  <si>
    <t>Technology &amp; Content</t>
  </si>
  <si>
    <t>G&amp;A</t>
  </si>
  <si>
    <t>Marketing Costs</t>
  </si>
  <si>
    <t>Content Costs</t>
  </si>
  <si>
    <t>Content Costs (Cash Flows)</t>
  </si>
  <si>
    <t>Laos</t>
  </si>
  <si>
    <t>Pre-tax Operating Margin (Lease &amp; R&amp;D adjusted)</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</si>
  <si>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</si>
  <si>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</si>
  <si>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</si>
  <si>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</si>
  <si>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</si>
  <si>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</si>
  <si>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</si>
  <si>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</si>
  <si>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</si>
  <si>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Caa3</t>
  </si>
  <si>
    <t xml:space="preserve"> - Debt &amp; Minority Interests</t>
  </si>
  <si>
    <t>Chemical (Basic)</t>
  </si>
  <si>
    <t>Chemical (Specialty)</t>
  </si>
  <si>
    <t>Electronics (General)</t>
  </si>
  <si>
    <t>Metals &amp; Mining</t>
  </si>
  <si>
    <t>Oil/Gas (Production and Exploration)</t>
  </si>
  <si>
    <t>Rating</t>
  </si>
  <si>
    <t>AAA</t>
  </si>
  <si>
    <t>AA</t>
  </si>
  <si>
    <t>A</t>
  </si>
  <si>
    <t>BBB</t>
  </si>
  <si>
    <t>BB</t>
  </si>
  <si>
    <t>CCC/C</t>
  </si>
  <si>
    <t>Years 2-5</t>
  </si>
  <si>
    <t>Default Probabilities over time (1 - 10 year time horizons)</t>
  </si>
  <si>
    <t>Next year</t>
  </si>
  <si>
    <t>Sales to capital ratio (for years 6-10)</t>
  </si>
  <si>
    <t>Though some sectors, even in stable growth, may have higher risk. If you change your risk free rate after year 10 (see cell B57 &amp; 58), you should incorporate the change into your stable cost of capital estimate.</t>
  </si>
  <si>
    <t>Guernsey (States of)</t>
  </si>
  <si>
    <t>Jersey (States of)</t>
  </si>
  <si>
    <t>Maldives</t>
  </si>
  <si>
    <t>Uzbekistan</t>
  </si>
  <si>
    <t>Changing this number will update all your country equity risk premiums.</t>
  </si>
  <si>
    <t>Retail (General)</t>
  </si>
  <si>
    <t>The Disruption Platform Rolls on</t>
  </si>
  <si>
    <t xml:space="preserve">Amazon continues on its transformation from online retailer to disruption platform, willling to enter any business that it perceives as inefficiently run, and changing it. Along the way, it  will invest large amounts of capital and wait for long periods to attain profitability. </t>
  </si>
  <si>
    <t>Disruption platform in multiple businesses</t>
  </si>
  <si>
    <t>Margins improve, aided by cloud business &amp; continued economies of scale.</t>
  </si>
  <si>
    <t>Global/US marginal tax rate over time</t>
  </si>
  <si>
    <t>Cost of capital close to median company</t>
  </si>
  <si>
    <t>NR</t>
  </si>
  <si>
    <t>Tax Rate</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</si>
  <si>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</si>
  <si>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</si>
  <si>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</si>
  <si>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</si>
  <si>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</si>
  <si>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</si>
  <si>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</si>
  <si>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</si>
  <si>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</si>
  <si>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</si>
  <si>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</si>
  <si>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</si>
  <si>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</si>
  <si>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</si>
  <si>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(Diversified)</t>
  </si>
  <si>
    <t>Coal &amp; Related Energy</t>
  </si>
  <si>
    <t>Computers/Peripherals</t>
  </si>
  <si>
    <t>Construction Supplies</t>
  </si>
  <si>
    <t>Diversified</t>
  </si>
  <si>
    <t>Drugs (Biotechnology)</t>
  </si>
  <si>
    <t>Drugs (Pharmaceutical)</t>
  </si>
  <si>
    <t>Education</t>
  </si>
  <si>
    <t>Electrical Equipment</t>
  </si>
  <si>
    <t>Electronics (Consumer &amp; Office)</t>
  </si>
  <si>
    <t>Engineering/Construction</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</si>
  <si>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</si>
  <si>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</si>
  <si>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</si>
  <si>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</si>
  <si>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</si>
  <si>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</si>
  <si>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</si>
  <si>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</si>
  <si>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</si>
  <si>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</si>
  <si>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</si>
  <si>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</si>
  <si>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</si>
  <si>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</si>
  <si>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</si>
  <si>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</si>
  <si>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</si>
  <si>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</si>
  <si>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</si>
  <si>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</si>
  <si>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Office Equipment &amp; Services</t>
  </si>
  <si>
    <t>Oil/Gas (Integrated)</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</si>
  <si>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</si>
  <si>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</si>
  <si>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</si>
  <si>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</si>
  <si>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</si>
  <si>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</si>
  <si>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</si>
  <si>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</si>
  <si>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</si>
  <si>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</si>
  <si>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</si>
  <si>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</si>
  <si>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</si>
  <si>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</si>
  <si>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</si>
  <si>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</si>
  <si>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</si>
  <si>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(Grocery and Food)</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</si>
  <si>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</si>
  <si>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</si>
  <si>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</si>
  <si>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</si>
  <si>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</si>
  <si>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</si>
  <si>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</si>
  <si>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</si>
  <si>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</si>
  <si>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</si>
  <si>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</si>
  <si>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</si>
  <si>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</si>
  <si>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</si>
  <si>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</si>
  <si>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</si>
  <si>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</si>
  <si>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</si>
  <si>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</si>
  <si>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</si>
  <si>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Year of convergence for margin</t>
  </si>
  <si>
    <t>Approach 1: Detailed Cost of Capital</t>
  </si>
  <si>
    <t>Approach 2: industry average cost of capital, adjusted for riskfre rate differences</t>
  </si>
  <si>
    <t xml:space="preserve">Industry </t>
  </si>
  <si>
    <t>Cost of capital, adjusted for riskfree rate difference</t>
  </si>
  <si>
    <t>Approach 3: Uae histogram of costs of capital of all publicly traded firms</t>
  </si>
  <si>
    <t>Which grouping (US, Emerging Markets, Global)</t>
  </si>
  <si>
    <t>US</t>
  </si>
  <si>
    <t>Emerging</t>
  </si>
  <si>
    <t>Which approach will you be using?</t>
  </si>
  <si>
    <t>Cost of Capital Approach</t>
  </si>
  <si>
    <t>Detailed</t>
  </si>
  <si>
    <t>Cost of capital based upon approach =</t>
  </si>
  <si>
    <t>If direct input, enter cost of capital to use</t>
  </si>
  <si>
    <t>Cost of capital based upon decile/group chosen</t>
  </si>
  <si>
    <t>Median</t>
  </si>
  <si>
    <t>Third Quartile</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</si>
  <si>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</si>
  <si>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I will input</t>
  </si>
  <si>
    <t>Industry Average</t>
  </si>
  <si>
    <t>Distribution</t>
  </si>
  <si>
    <t>Do not input. Go to cost of capital sheet.</t>
  </si>
  <si>
    <t>Dilution-adjusted Black-Scholes</t>
  </si>
  <si>
    <t>The costt of capital  is in US dollars, using the riskfree rate at the start of the year. It will be adjusted for the difference in riskfree rates to make it more current and to change currencies.</t>
  </si>
  <si>
    <t>Input cell</t>
  </si>
  <si>
    <t>Calculated cell</t>
  </si>
  <si>
    <t>Tough to estimate but a key input. Use the failure rate worksheet, if necessary.</t>
  </si>
  <si>
    <t>Estimating the likelihood of failure</t>
  </si>
  <si>
    <t>Approach 1: Using a corporate bond rating</t>
  </si>
  <si>
    <t>Thus, if you use the 10-year likelihood of failure, the chance of failure for a BB rated firm is 11.78%.</t>
  </si>
  <si>
    <t>Agriculture</t>
  </si>
  <si>
    <t>Mining</t>
  </si>
  <si>
    <t>Utilities</t>
  </si>
  <si>
    <t>Construction</t>
  </si>
  <si>
    <t>Manufacturing</t>
  </si>
  <si>
    <t>Retail</t>
  </si>
  <si>
    <t>Information</t>
  </si>
  <si>
    <t>Health Care</t>
  </si>
  <si>
    <t>All Sectors</t>
  </si>
  <si>
    <t>Failure Rate given age</t>
  </si>
  <si>
    <t>Approach 2: Using corporate age (for young companies)</t>
  </si>
  <si>
    <t>Factors to consider</t>
  </si>
  <si>
    <t xml:space="preserve">1. The likelihood of failure decreases for larger firms. </t>
  </si>
  <si>
    <t>4. The likelihood of failure decreases with better unit economics, higher gross margins on the additional units sold</t>
  </si>
  <si>
    <t>Thus, if you are valuing a technology firm that is 6 years old, the chance of failure is 11.70%.</t>
  </si>
  <si>
    <t>Source; Bureau of Labor Statistics</t>
  </si>
  <si>
    <t>Survial Rate Data from Bureau of Labor Statistics (2022)</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</si>
  <si>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</si>
  <si>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</si>
  <si>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If you have negative operating income, this spreadsheet will offer you a D rating. Do not use that rating as your cost of debt for a going concern. Insread give your company a low, but going concern rating like BB and use that cost of debt.</t>
  </si>
  <si>
    <t>Most Recent year</t>
  </si>
  <si>
    <t>Annual Revenue Growth Rate</t>
  </si>
  <si>
    <t>Your forecasts</t>
  </si>
  <si>
    <t>Year 10</t>
  </si>
  <si>
    <t>Step 1: Check revenue growth rate</t>
  </si>
  <si>
    <t>Step 2: Check dollar revenues</t>
  </si>
  <si>
    <t>1. If you are forecasting a revenue growth rate &gt; industry average, is your company small?</t>
  </si>
  <si>
    <t>2. If your forecasted revenue growth rate is very different from your company's most recent year of growth, what is the reason?</t>
  </si>
  <si>
    <t>Questions to ask</t>
  </si>
  <si>
    <t>1. How big is the total market today?</t>
  </si>
  <si>
    <t>2. How much revenues do the biggest companies in that market make today?</t>
  </si>
  <si>
    <t>3. How much growth is there in the total market?</t>
  </si>
  <si>
    <t>4. What type of market share are you forecasting for your company in year 10?</t>
  </si>
  <si>
    <t>1. What are the margins of the industry that the company is in?</t>
  </si>
  <si>
    <t>2. What are the unit economics of the business? (How much does it cost you to make the extra unit that you sell?</t>
  </si>
  <si>
    <t>3. What does the competition in this business look like?</t>
  </si>
  <si>
    <t>Step 3: Check your margins</t>
  </si>
  <si>
    <t>1. is the growth that you are forecasting bounce-back growth or new growth?</t>
  </si>
  <si>
    <t>2. How much excess capacity do you have to service near term growth?</t>
  </si>
  <si>
    <t>3. Does investment efficiency in this business change as companies get bigger?</t>
  </si>
  <si>
    <t>$ Value</t>
  </si>
  <si>
    <t>As % of value</t>
  </si>
  <si>
    <t>PV of after-tax operating income for next 10 yearas</t>
  </si>
  <si>
    <t>Value effect of reinvestment for next 10 years</t>
  </si>
  <si>
    <t>PV of FCFF for next ten years</t>
  </si>
  <si>
    <t>Reinvestment effect on cash flows</t>
  </si>
  <si>
    <t>1. Is your reinvestment consitent with your revenue growth forecast?</t>
  </si>
  <si>
    <t>Return on capital effects</t>
  </si>
  <si>
    <t>Most recent year</t>
  </si>
  <si>
    <t>Marginal (1-10)</t>
  </si>
  <si>
    <t>ROC in year 10</t>
  </si>
  <si>
    <t>Stable ROC</t>
  </si>
  <si>
    <t>2. Are you comfortable with your return on capital in year 10?</t>
  </si>
  <si>
    <t>Step 4: Check how much you are reinvesting</t>
  </si>
  <si>
    <t>Step 5: Risk Metrics</t>
  </si>
  <si>
    <t>Stable Growth</t>
  </si>
  <si>
    <t>Failure Rate</t>
  </si>
  <si>
    <t>Compounded</t>
  </si>
  <si>
    <t>Year 1-5</t>
  </si>
  <si>
    <t>Step 6: Price versus Value</t>
  </si>
  <si>
    <t>Revenue growth rate (input cell B25, B27)</t>
  </si>
  <si>
    <t>Operating margin (B26, B28)</t>
  </si>
  <si>
    <t>Sales to Capital (B30-B32)</t>
  </si>
  <si>
    <t>Return on capital in perpetuity (B48, B49)</t>
  </si>
  <si>
    <t>1. How does your cost of capital compare to the industry average?</t>
  </si>
  <si>
    <t>2. What is happenign to your cost of capital over time? Why?</t>
  </si>
  <si>
    <t>3. Is your failure rate consistent with your company's characteristics?</t>
  </si>
  <si>
    <t>Note: This worksheet is the most finicky of all of the worksheets in this spreadsheet. If you start to get errors, here is a quick fix. Go into cell B12 and replace the contents with a number (say 5), and then undo your action. The spreadsheet will fix itself magically.</t>
  </si>
  <si>
    <t>Revenue Growth Rate = Last 3 years</t>
  </si>
  <si>
    <t>Pre-tax Operating Margin</t>
  </si>
  <si>
    <t>Sales to Invested Capital</t>
  </si>
  <si>
    <t>Debt to Capital Ratio</t>
  </si>
  <si>
    <t>Industry Group</t>
  </si>
  <si>
    <t>count</t>
  </si>
  <si>
    <t>First Quartlie</t>
  </si>
  <si>
    <t>median(Beta)</t>
  </si>
  <si>
    <t>Average</t>
  </si>
  <si>
    <t>Global Distribution Stats</t>
  </si>
  <si>
    <t>1st Quartile</t>
  </si>
  <si>
    <t>3rd Quartile</t>
  </si>
  <si>
    <t>Sales to capital ratio  (for years 1-5)</t>
  </si>
  <si>
    <t>Marginal sales to capital ratio  =</t>
  </si>
  <si>
    <t>Maintained at Amazon's current level</t>
  </si>
  <si>
    <t>Strong competitive edges</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</si>
  <si>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</si>
  <si>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</si>
  <si>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</si>
  <si>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Reinvestment lag</t>
  </si>
  <si>
    <t>Target pre-tax operating margin =</t>
  </si>
  <si>
    <t xml:space="preserve">If you want to capitalize R&amp;D, you have to input the numbers into the R&amp;D worksheet. </t>
  </si>
  <si>
    <t>If you lease or other contractual commitments that have not been converteed to debt already, say yes to this option and do the conversion.</t>
  </si>
  <si>
    <t>Revenue Growth</t>
  </si>
  <si>
    <t>Revenue</t>
  </si>
  <si>
    <t>Operating Income</t>
  </si>
  <si>
    <t>Cumulated WACC</t>
  </si>
  <si>
    <t>Growth Rate</t>
  </si>
  <si>
    <t>Growth Story</t>
  </si>
  <si>
    <t>Profitability Story</t>
  </si>
  <si>
    <t>Growth Efficiency Story</t>
  </si>
  <si>
    <t>Industry</t>
  </si>
  <si>
    <t>Base Year and Comparison</t>
  </si>
  <si>
    <t>ROIC</t>
  </si>
  <si>
    <t>You can modify this picture and bring in relevant details to back up your cost of capital and other details that you think flesh out your company's valuation story.</t>
  </si>
  <si>
    <t>Price per share</t>
  </si>
  <si>
    <t>% Under or Over Valued</t>
  </si>
  <si>
    <t>Risk Story</t>
  </si>
  <si>
    <t>Competitive Advantages</t>
  </si>
  <si>
    <t>The cost of capital  is in US dollars, using the riskfree rate at the start of the year. It will be adjusted for the difference in riskfree rates to make it more current and to change currencies.</t>
  </si>
  <si>
    <r>
      <t xml:space="preserve">There are four ways in whch you can estimate your cost of capital. In the first, you can </t>
    </r>
    <r>
      <rPr>
        <b/>
        <sz val="12"/>
        <rFont val="Times"/>
      </rPr>
      <t>directly input</t>
    </r>
    <r>
      <rPr>
        <sz val="12"/>
        <rFont val="Times"/>
      </rPr>
      <t xml:space="preserve"> a cost of captial. In the second, you can </t>
    </r>
    <r>
      <rPr>
        <b/>
        <sz val="12"/>
        <rFont val="Times"/>
      </rPr>
      <t>work through your company's cost of capital inputs in detail</t>
    </r>
    <r>
      <rPr>
        <sz val="12"/>
        <rFont val="Times"/>
      </rPr>
      <t xml:space="preserve">, entering business, geogaphical mix and debt, and I will help you estimate a cost of capital. In the third, you can look up the </t>
    </r>
    <r>
      <rPr>
        <b/>
        <sz val="12"/>
        <rFont val="Times"/>
      </rPr>
      <t>cost of capital for the industry or industries</t>
    </r>
    <r>
      <rPr>
        <sz val="12"/>
        <rFont val="Times"/>
      </rPr>
      <t xml:space="preserve"> your firm belongs to and in the fourth, you can use a </t>
    </r>
    <r>
      <rPr>
        <b/>
        <sz val="12"/>
        <rFont val="Times"/>
      </rPr>
      <t>crosssectional distribution</t>
    </r>
    <r>
      <rPr>
        <sz val="12"/>
        <rFont val="Times"/>
      </rPr>
      <t xml:space="preserve">  of costs of capital for companies at the start of the year to make your estimate.</t>
    </r>
  </si>
  <si>
    <t>Efficency of Growth Lever (first 5 years)</t>
  </si>
  <si>
    <t>Efficency of Growth Lever (years 6-10)</t>
  </si>
  <si>
    <t>Growth Lever - Next year</t>
  </si>
  <si>
    <t>Growth Lever - Long term</t>
  </si>
  <si>
    <t>Profitability Lever - Long term</t>
  </si>
  <si>
    <t>Profitability Lever - Next year</t>
  </si>
  <si>
    <t>Changes to</t>
  </si>
  <si>
    <t>Moves to</t>
  </si>
  <si>
    <t>Sales to Capital  (c )</t>
  </si>
  <si>
    <t>Retail (REITs)</t>
  </si>
  <si>
    <t>Anguilla</t>
  </si>
  <si>
    <t>Antigua &amp; Barbuda</t>
  </si>
  <si>
    <t>British Virgin Islands</t>
  </si>
  <si>
    <t>Channel Islands</t>
  </si>
  <si>
    <t>Curaçao</t>
  </si>
  <si>
    <t>Falkland Islands</t>
  </si>
  <si>
    <t>French Guiana</t>
  </si>
  <si>
    <t>Gibraltar</t>
  </si>
  <si>
    <t>Greenland</t>
  </si>
  <si>
    <t>Ivory Coast</t>
  </si>
  <si>
    <t>Macau</t>
  </si>
  <si>
    <t>Martinique</t>
  </si>
  <si>
    <t>Monaco</t>
  </si>
  <si>
    <t>Netherlands Antilles</t>
  </si>
  <si>
    <t>Palestinian Authority</t>
  </si>
  <si>
    <t>Reunion</t>
  </si>
  <si>
    <t>Saint Lucia</t>
  </si>
  <si>
    <t>South Korea</t>
  </si>
  <si>
    <t>Turks &amp; Caicos Islands</t>
  </si>
  <si>
    <t>Yemen</t>
  </si>
  <si>
    <t>Missing</t>
  </si>
  <si>
    <t>Europe</t>
  </si>
  <si>
    <t>Which risk grouping does your company fall in?</t>
  </si>
  <si>
    <t>First Decile</t>
  </si>
  <si>
    <t>Ninth Decile</t>
  </si>
  <si>
    <t>First Quartile</t>
  </si>
  <si>
    <t>Last Annual</t>
  </si>
  <si>
    <t xml:space="preserve">If you are midway through a year, and want to compute updated trailing twelve month numbers, this worksheet may help. You will need your most recent quartely financials (or 10Q) as well as your most recent annual (or 10K). </t>
  </si>
  <si>
    <t>Default Spread</t>
  </si>
  <si>
    <t>CRP</t>
  </si>
  <si>
    <t>Most Recent 12 months</t>
  </si>
  <si>
    <r>
      <rPr>
        <b/>
        <sz val="12"/>
        <color theme="0"/>
        <rFont val="Helv"/>
      </rPr>
      <t>Important:</t>
    </r>
    <r>
      <rPr>
        <sz val="12"/>
        <color theme="0"/>
        <rFont val="Helv"/>
      </rPr>
      <t xml:space="preserve"> Before you run this spreadsheet, go into preferences in Excel and check under Calculation options</t>
    </r>
  </si>
  <si>
    <t>Numbers from your base year below ( in consistent units, i.e., if you enter numbers in millions, stay with millions all the way through, including on share count.</t>
  </si>
  <si>
    <t>If you don't understand an input, turn on comemnts and you should see my suggestions on that input.</t>
  </si>
  <si>
    <t>Lookup Table for Amortizable Lives</t>
  </si>
  <si>
    <t>Amortization Period</t>
  </si>
  <si>
    <t>Aluminum</t>
  </si>
  <si>
    <t>Auto Parts (OEM)</t>
  </si>
  <si>
    <t>Auto Parts (Replacement)</t>
  </si>
  <si>
    <t>Bank</t>
  </si>
  <si>
    <t>Bank (Canadian)</t>
  </si>
  <si>
    <t>Bank (Foreign)</t>
  </si>
  <si>
    <t>Bank (Midwest)</t>
  </si>
  <si>
    <t>Beverage (Soft Drink)</t>
  </si>
  <si>
    <t>Canadian Energy</t>
  </si>
  <si>
    <t>Cement &amp; Aggregates</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</si>
  <si>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</si>
  <si>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</si>
  <si>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</si>
  <si>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</si>
  <si>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</si>
  <si>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</si>
  <si>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</si>
  <si>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</si>
  <si>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</si>
  <si>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</si>
  <si>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</si>
  <si>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Electronics</t>
  </si>
  <si>
    <t>Environmental</t>
  </si>
  <si>
    <t>Financial Services</t>
  </si>
  <si>
    <t>Foreign Electron/Entertn</t>
  </si>
  <si>
    <t>Foreign Telecom.</t>
  </si>
  <si>
    <t>Furn./Home Furnishings</t>
  </si>
  <si>
    <t>Gold/Silver Mining</t>
  </si>
  <si>
    <t>Grocery</t>
  </si>
  <si>
    <t>Healthcare Info Systems</t>
  </si>
  <si>
    <t>Home Appliance</t>
  </si>
  <si>
    <t>Industrial Services</t>
  </si>
  <si>
    <t>Insurance (Diversified)</t>
  </si>
  <si>
    <t>Insurance (Prop/Casualty)</t>
  </si>
  <si>
    <t>Internet</t>
  </si>
  <si>
    <t>Investment Co. (Domestic)</t>
  </si>
  <si>
    <t>Investment Co. (Foreign)</t>
  </si>
  <si>
    <t>Investment Co. (Income)</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</si>
  <si>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</si>
  <si>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</si>
  <si>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</si>
  <si>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</si>
  <si>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</si>
  <si>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</si>
  <si>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</si>
  <si>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</si>
  <si>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</si>
  <si>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</si>
  <si>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</si>
  <si>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Paper &amp; Forest Products</t>
  </si>
  <si>
    <t>Petroleum (Integrated)</t>
  </si>
  <si>
    <t>Petroleum (Producing)</t>
  </si>
  <si>
    <t>Precision Instrument</t>
  </si>
  <si>
    <t>Publishing</t>
  </si>
  <si>
    <t>Railroad</t>
  </si>
  <si>
    <t>Restaurant</t>
  </si>
  <si>
    <t>Retail Building Supply</t>
  </si>
  <si>
    <t>Retail Store</t>
  </si>
  <si>
    <t>Securities Brokerage</t>
  </si>
  <si>
    <t>Semiconductor Cap Equip</t>
  </si>
  <si>
    <t>Steel (General)</t>
  </si>
  <si>
    <t>Steel (Integrated)</t>
  </si>
  <si>
    <t>Textile</t>
  </si>
  <si>
    <t>Thrift</t>
  </si>
  <si>
    <t>Tire &amp; Rubber</t>
  </si>
  <si>
    <t>Toiletries/Cosmetics</t>
  </si>
  <si>
    <t>Trucking/Transp. Leasing</t>
  </si>
  <si>
    <t>Utility (Foreign)</t>
  </si>
  <si>
    <t>Water Utility</t>
  </si>
  <si>
    <t>! Year -1 is the year prior to the most recent 12 months</t>
  </si>
  <si>
    <t>! Year -2 is the two years prior to the most recent 12 months</t>
  </si>
  <si>
    <t>If you get Value Errors all over, it is usually because your option worksheet has gone haywire. The fix is very low tech. Go into the option value worksheet, and in cell B17 of that worksheet (adjusted S), enter any number (say 5) and then undo what you did. Voila!</t>
  </si>
  <si>
    <t>Last 10K before LTM</t>
  </si>
  <si>
    <t xml:space="preserve">If you want a guide through this spreadsheet, try this YouTube video that takes you through each input cell: https://youtu.be/kyKfJ_7-mdg?si=FIeHhnLH2_2brag3 </t>
  </si>
  <si>
    <t>Trinidad &amp; Tobago</t>
  </si>
  <si>
    <t>GDP (in $ millions)</t>
  </si>
  <si>
    <t>Total GDP (in $ millions)</t>
  </si>
  <si>
    <t>Grand Total</t>
  </si>
  <si>
    <t>Total Market (without financials)</t>
  </si>
  <si>
    <t>Total Market</t>
  </si>
  <si>
    <t>Updated July 1, 2024</t>
  </si>
  <si>
    <t>Industry (India)</t>
  </si>
  <si>
    <t>Spicejet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</si>
</sst>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164" formatCode="&quot;$&quot;#,##0_);[Red]\(&quot;$&quot;#,##0\)"/>
    <numFmt numFmtId="165" formatCode="&quot;$&quot;#,##0.00_);[Red]\(&quot;$&quot;#,##0.00\)"/>
    <numFmt numFmtId="166" formatCode="_(&quot;$&quot;* #,##0.00_);_(&quot;$&quot;* \(#,##0.00\);_(&quot;$&quot;* &quot;-&quot;??_);_(@_)"/>
    <numFmt numFmtId="167" formatCode="_(* #,##0.00_);_(* \(#,##0.00\);_(* &quot;-&quot;??_);_(@_)"/>
    <numFmt numFmtId="168" formatCode="&quot;$&quot;#,##0.00"/>
    <numFmt numFmtId="169" formatCode="#,##0.0000"/>
    <numFmt numFmtId="170" formatCode="0.000%"/>
    <numFmt numFmtId="171" formatCode="0.0000%"/>
    <numFmt numFmtId="172" formatCode="_(&quot;$&quot;* #,##0_);_(&quot;$&quot;* \(#,##0\);_(&quot;$&quot;* &quot;-&quot;??_);_(@_)"/>
    <numFmt numFmtId="173" formatCode="0.0000"/>
    <numFmt numFmtId="174" formatCode="_(* #,##0.0_);_(* \(#,##0.0\)_)\ ;_(* 0_)"/>
    <numFmt numFmtId="175" formatCode="_([$$-409]* #,##0.00_);_([$$-409]* \(#,##0.00\);_([$$-409]* &quot;-&quot;??_);_(@_)"/>
    <numFmt numFmtId="176" formatCode="0.0%"/>
    <numFmt numFmtId="177" formatCode="[$₩-412]#,##0.00"/>
    <numFmt numFmtId="178" formatCode="#,##0.00%"/>
    <numFmt numFmtId="179" formatCode="&quot;$&quot;#,##0"/>
    <numFmt numFmtId="180" formatCode="_(&quot;₹&quot;* #,##0.00_);_(&quot;₹&quot;* \(#,##0.00\);_(&quot;₹&quot;* &quot;-&quot;??_);_(@_)"/>
    <numFmt numFmtId="181" formatCode="&quot;₹&quot;#,##0.00"/>
    <numFmt numFmtId="182" formatCode="_(&quot;₹&quot;* #,##0_);_(&quot;₹&quot;* \(#,##0\);_(&quot;₹&quot;* &quot;-&quot;??_);_(@_)"/>
  </numFmts>
  <fonts count="96">
    <font>
      <sz val="9"/>
      <name val="Geneva"/>
      <family val="2"/>
      <charset val="1"/>
    </font>
    <font>
      <sz val="12"/>
      <color theme="1"/>
      <name val="Calibri"/>
      <family val="2"/>
      <scheme val="minor"/>
    </font>
    <font>
      <i/>
      <sz val="9"/>
      <name val="Geneva"/>
      <family val="2"/>
      <charset val="1"/>
    </font>
    <font>
      <sz val="9"/>
      <name val="Geneva"/>
      <family val="2"/>
      <charset val="1"/>
    </font>
    <font>
      <sz val="8"/>
      <name val="Geneva"/>
      <family val="2"/>
      <charset val="1"/>
    </font>
    <font>
      <sz val="8"/>
      <name val="돋움"/>
      <family val="3"/>
    </font>
    <font>
      <sz val="8"/>
      <name val="Verdana"/>
      <family val="2"/>
    </font>
    <font>
      <sz val="9"/>
      <name val="Helv"/>
    </font>
    <font>
      <sz val="12"/>
      <name val="Arial"/>
      <family val="2"/>
    </font>
    <font>
      <b/>
      <i/>
      <sz val="12"/>
      <name val="Arial"/>
      <family val="2"/>
    </font>
    <font>
      <b/>
      <sz val="14"/>
      <name val="Times"/>
      <family val="1"/>
    </font>
    <font>
      <sz val="10"/>
      <name val="Times"/>
      <family val="1"/>
    </font>
    <font>
      <b/>
      <i/>
      <sz val="10"/>
      <name val="Times"/>
      <family val="1"/>
    </font>
    <font>
      <i/>
      <sz val="10"/>
      <name val="Times"/>
      <family val="1"/>
    </font>
    <font>
      <i/>
      <sz val="10"/>
      <name val="Geneva"/>
      <family val="2"/>
      <charset val="1"/>
    </font>
    <font>
      <b/>
      <sz val="10"/>
      <name val="Times"/>
      <family val="1"/>
    </font>
    <font>
      <b/>
      <sz val="12"/>
      <name val="Times"/>
      <family val="1"/>
    </font>
    <font>
      <sz val="10"/>
      <name val="Geneva"/>
      <family val="2"/>
      <charset val="1"/>
    </font>
    <font>
      <i/>
      <sz val="12"/>
      <name val="Times"/>
      <family val="1"/>
    </font>
    <font>
      <sz val="12"/>
      <name val="Times"/>
      <family val="1"/>
    </font>
    <font>
      <b/>
      <i/>
      <u/>
      <sz val="12"/>
      <name val="Times"/>
      <family val="1"/>
    </font>
    <font>
      <sz val="10"/>
      <name val="Helv"/>
    </font>
    <font>
      <i/>
      <sz val="10"/>
      <name val="Helv"/>
    </font>
    <font>
      <b/>
      <i/>
      <sz val="14"/>
      <name val="Times"/>
      <family val="1"/>
    </font>
    <font>
      <b/>
      <i/>
      <sz val="12"/>
      <name val="Times"/>
      <family val="1"/>
    </font>
    <font>
      <i/>
      <sz val="12"/>
      <name val="Geneva"/>
      <family val="2"/>
      <charset val="1"/>
    </font>
    <font>
      <b/>
      <sz val="10"/>
      <name val="Geneva"/>
      <family val="2"/>
      <charset val="1"/>
    </font>
    <font>
      <sz val="10"/>
      <name val="Arial"/>
      <family val="2"/>
    </font>
    <font>
      <i/>
      <sz val="14"/>
      <name val="Times"/>
      <family val="1"/>
    </font>
    <font>
      <sz val="8"/>
      <name val="Arial"/>
      <family val="2"/>
    </font>
    <font>
      <b/>
      <sz val="9"/>
      <name val="Geneva"/>
      <family val="2"/>
      <charset val="1"/>
    </font>
    <font>
      <i/>
      <sz val="10"/>
      <name val="Geneva"/>
      <family val="2"/>
      <charset val="1"/>
    </font>
    <font>
      <i/>
      <sz val="9"/>
      <name val="Geneva"/>
      <family val="2"/>
      <charset val="1"/>
    </font>
    <font>
      <sz val="10"/>
      <name val="Times"/>
    </font>
    <font>
      <sz val="12"/>
      <name val="Times"/>
    </font>
    <font>
      <i/>
      <sz val="14"/>
      <name val="Times"/>
    </font>
    <font>
      <b/>
      <sz val="12"/>
      <name val="Times"/>
    </font>
    <font>
      <sz val="12"/>
      <name val="Geneva"/>
      <family val="2"/>
      <charset val="1"/>
    </font>
    <font>
      <sz val="12"/>
      <name val="Helvetica"/>
      <family val="2"/>
    </font>
    <font>
      <sz val="12"/>
      <name val="Helv"/>
    </font>
    <font>
      <b/>
      <sz val="12"/>
      <name val="Helv"/>
    </font>
    <font>
      <i/>
      <sz val="12"/>
      <name val="Helv"/>
    </font>
    <font>
      <b/>
      <i/>
      <sz val="12"/>
      <name val="Helv"/>
    </font>
    <font>
      <b/>
      <i/>
      <sz val="14"/>
      <name val="Helvetica"/>
      <family val="2"/>
    </font>
    <font>
      <b/>
      <i/>
      <sz val="18"/>
      <name val="Helvetica"/>
      <family val="2"/>
    </font>
    <font>
      <b/>
      <sz val="12"/>
      <name val="Helvetica"/>
      <family val="2"/>
    </font>
    <font>
      <b/>
      <sz val="12"/>
      <name val="Arial"/>
      <family val="2"/>
    </font>
    <font>
      <i/>
      <sz val="12"/>
      <name val="Arial"/>
      <family val="2"/>
    </font>
    <font>
      <b/>
      <sz val="10"/>
      <name val="Helvetica"/>
      <family val="2"/>
    </font>
    <font>
      <b/>
      <i/>
      <sz val="10"/>
      <name val="Helvetica"/>
      <family val="2"/>
    </font>
    <font>
      <sz val="10"/>
      <name val="Helvetica"/>
      <family val="2"/>
    </font>
    <font>
      <b/>
      <i/>
      <sz val="12"/>
      <name val="Helvetica"/>
      <family val="2"/>
    </font>
    <font>
      <b/>
      <sz val="14"/>
      <name val="Helvetica"/>
      <family val="2"/>
    </font>
    <font>
      <i/>
      <sz val="12"/>
      <name val="Helvetica"/>
      <family val="2"/>
    </font>
    <font>
      <sz val="9"/>
      <name val="Helvetica"/>
      <family val="2"/>
    </font>
    <font>
      <i/>
      <sz val="10"/>
      <name val="Helvetica"/>
      <family val="2"/>
    </font>
    <font>
      <b/>
      <sz val="9"/>
      <name val="Helvetica"/>
      <family val="2"/>
    </font>
    <font>
      <sz val="12"/>
      <color rgb="FFFF0000"/>
      <name val="Times"/>
      <family val="1"/>
    </font>
    <font>
      <i/>
      <sz val="12"/>
      <color theme="1"/>
      <name val="Calibri"/>
      <family val="2"/>
      <scheme val="minor"/>
    </font>
    <font>
      <sz val="12"/>
      <name val="Calibri"/>
      <family val="2"/>
      <scheme val="minor"/>
    </font>
    <font>
      <sz val="10"/>
      <name val="Calibri"/>
      <family val="2"/>
      <scheme val="minor"/>
    </font>
    <font>
      <i/>
      <sz val="12"/>
      <color rgb="FF000000"/>
      <name val="Helvetica"/>
      <family val="2"/>
    </font>
    <font>
      <b/>
      <sz val="12"/>
      <color theme="1"/>
      <name val="Calibri"/>
      <family val="2"/>
      <scheme val="minor"/>
    </font>
    <font>
      <b/>
      <sz val="12"/>
      <color rgb="FF0A0A0A"/>
      <name val="Arial"/>
      <family val="2"/>
    </font>
    <font>
      <sz val="12"/>
      <color rgb="FF0A0A0A"/>
      <name val="Arial"/>
      <family val="2"/>
    </font>
    <font>
      <sz val="12"/>
      <color theme="1"/>
      <name val="Calibri"/>
      <family val="2"/>
      <scheme val="minor"/>
    </font>
    <font>
      <sz val="12"/>
      <color rgb="FFFF0000"/>
      <name val="Calibri"/>
      <family val="2"/>
      <scheme val="minor"/>
    </font>
    <font>
      <b/>
      <sz val="12"/>
      <color theme="1"/>
      <name val="Helv"/>
    </font>
    <font>
      <i/>
      <sz val="12"/>
      <color rgb="FFFF0000"/>
      <name val="Helv"/>
    </font>
    <font>
      <sz val="12"/>
      <color theme="1"/>
      <name val="Helv"/>
    </font>
    <font>
      <sz val="12"/>
      <color theme="1"/>
      <name val="Times Roman"/>
    </font>
    <font>
      <i/>
      <sz val="12"/>
      <color theme="1"/>
      <name val="Times Roman"/>
    </font>
    <font>
      <b/>
      <sz val="12"/>
      <color rgb="FF0A0A0A"/>
      <name val="Helvetica"/>
      <family val="2"/>
    </font>
    <font>
      <sz val="12"/>
      <color rgb="FF0A0A0A"/>
      <name val="Helvetica"/>
      <family val="2"/>
    </font>
    <font>
      <sz val="12"/>
      <color theme="0"/>
      <name val="Times"/>
      <family val="1"/>
    </font>
    <font>
      <sz val="9"/>
      <color theme="0"/>
      <name val="Geneva"/>
      <family val="2"/>
      <charset val="1"/>
    </font>
    <font>
      <i/>
      <sz val="12"/>
      <color rgb="FFFF0000"/>
      <name val="Calibri"/>
      <family val="2"/>
    </font>
    <font>
      <i/>
      <sz val="12"/>
      <color rgb="FFFF0000"/>
      <name val="Geneva"/>
      <family val="2"/>
      <charset val="1"/>
    </font>
    <font>
      <sz val="12"/>
      <color rgb="FFFF0000"/>
      <name val="Calibri"/>
      <family val="2"/>
    </font>
    <font>
      <b/>
      <i/>
      <sz val="12"/>
      <color theme="1"/>
      <name val="Calibri"/>
      <family val="2"/>
      <scheme val="minor"/>
    </font>
    <font>
      <sz val="12"/>
      <color rgb="FFFF0000"/>
      <name val="Helvetica"/>
      <family val="2"/>
    </font>
    <font>
      <b/>
      <sz val="14"/>
      <color theme="1"/>
      <name val="Times Roman"/>
    </font>
    <font>
      <sz val="12"/>
      <color theme="0"/>
      <name val="Calibri"/>
      <family val="2"/>
      <scheme val="minor"/>
    </font>
    <font>
      <sz val="12"/>
      <color theme="0"/>
      <name val="Helv"/>
    </font>
    <font>
      <b/>
      <sz val="12"/>
      <color theme="0"/>
      <name val="Helv"/>
    </font>
    <font>
      <i/>
      <sz val="9"/>
      <name val="Geneva"/>
      <family val="2"/>
    </font>
    <font>
      <sz val="9"/>
      <name val="Geneva"/>
      <family val="2"/>
    </font>
    <font>
      <sz val="12"/>
      <color theme="0"/>
      <name val="Arial"/>
      <family val="2"/>
    </font>
    <font>
      <sz val="10"/>
      <color theme="0"/>
      <name val="Helvetica"/>
      <family val="2"/>
    </font>
    <font>
      <u/>
      <sz val="9"/>
      <color theme="10"/>
      <name val="Geneva"/>
      <family val="2"/>
      <charset val="1"/>
    </font>
    <font>
      <u/>
      <sz val="12"/>
      <color theme="1"/>
      <name val="Calibri"/>
      <family val="2"/>
      <scheme val="minor"/>
    </font>
    <font>
      <i/>
      <sz val="12"/>
      <name val="Times New Roman"/>
      <family val="1"/>
    </font>
    <font>
      <sz val="12"/>
      <name val="Times New Roman"/>
      <family val="1"/>
    </font>
    <font>
      <sz val="12"/>
      <color rgb="FF000000"/>
      <name val="Calibri"/>
      <family val="2"/>
    </font>
    <font>
      <i/>
      <sz val="12"/>
      <name val="Calibri"/>
      <family val="2"/>
      <scheme val="minor"/>
    </font>
    <font>
      <sz val="12"/>
      <color rgb="FF000000"/>
      <name val="Calibri"/>
      <family val="2"/>
      <scheme val="minor"/>
    </font>
  </fonts>
  <fills count="13">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rgb="FFCCFFCC"/>
        <bgColor indexed="64"/>
      </patternFill>
    </fill>
    <fill>
      <patternFill patternType="solid">
        <fgColor theme="0"/>
        <bgColor indexed="64"/>
      </patternFill>
    </fill>
    <fill>
      <patternFill patternType="solid">
        <fgColor theme="2"/>
        <bgColor indexed="64"/>
      </patternFill>
    </fill>
    <fill>
      <patternFill patternType="solid">
        <fgColor rgb="FFFFFF00"/>
        <bgColor rgb="FF000000"/>
      </patternFill>
    </fill>
    <fill>
      <patternFill patternType="solid">
        <fgColor theme="1"/>
        <bgColor indexed="64"/>
      </patternFill>
    </fill>
    <fill>
      <patternFill patternType="solid">
        <fgColor rgb="FFFFFFFF"/>
        <bgColor rgb="FF000000"/>
      </patternFill>
    </fill>
    <fill>
      <patternFill patternType="solid">
        <fgColor theme="0" tint="-0.14999847407452621"/>
        <bgColor indexed="64"/>
      </patternFill>
    </fill>
    <fill>
      <patternFill patternType="solid">
        <fgColor rgb="FF92D050"/>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indexed="64"/>
      </left>
      <right style="medium">
        <color theme="1"/>
      </right>
      <top style="thin">
        <color indexed="64"/>
      </top>
      <bottom style="thin">
        <color indexed="64"/>
      </bottom>
      <diagonal/>
    </border>
    <border>
      <left style="thin">
        <color indexed="64"/>
      </left>
      <right style="medium">
        <color theme="1"/>
      </right>
      <top/>
      <bottom style="thin">
        <color indexed="64"/>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right style="thin">
        <color indexed="64"/>
      </right>
      <top style="thin">
        <color indexed="64"/>
      </top>
      <bottom style="medium">
        <color theme="1"/>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indexed="64"/>
      </right>
      <top style="medium">
        <color theme="1"/>
      </top>
      <bottom style="medium">
        <color indexed="64"/>
      </bottom>
      <diagonal/>
    </border>
    <border>
      <left style="medium">
        <color indexed="64"/>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style="thin">
        <color indexed="64"/>
      </right>
      <top style="medium">
        <color indexed="64"/>
      </top>
      <bottom style="medium">
        <color indexed="64"/>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medium">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indexed="64"/>
      </right>
      <top/>
      <bottom/>
      <diagonal/>
    </border>
  </borders>
  <cellStyleXfs count="5">
    <xf numFmtId="0" fontId="0" fillId="0" borderId="0"/>
    <xf numFmtId="167"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0" fontId="89" fillId="0" borderId="0" applyNumberFormat="0" applyFill="0" applyBorder="0" applyAlignment="0" applyProtection="0"/>
  </cellStyleXfs>
  <cellXfs count="671">
    <xf numFmtId="0" fontId="0" fillId="0" borderId="0" xfId="0"/>
    <xf numFmtId="0" fontId="0" fillId="0" borderId="1" xfId="0" applyBorder="1"/>
    <xf numFmtId="0" fontId="2" fillId="0" borderId="0" xfId="0" applyFont="1"/>
    <xf numFmtId="0" fontId="7" fillId="0" borderId="0" xfId="0" applyFont="1"/>
    <xf numFmtId="0" fontId="8" fillId="0" borderId="0" xfId="0" applyFont="1"/>
    <xf numFmtId="0" fontId="10" fillId="0" borderId="0" xfId="0" applyFont="1"/>
    <xf numFmtId="0" fontId="11" fillId="0" borderId="0" xfId="0" applyFont="1"/>
    <xf numFmtId="166" fontId="11" fillId="2" borderId="1" xfId="2" applyFont="1" applyFill="1" applyBorder="1"/>
    <xf numFmtId="0" fontId="12" fillId="0" borderId="0" xfId="0" applyFont="1"/>
    <xf numFmtId="0" fontId="13" fillId="0" borderId="0" xfId="0" applyFont="1"/>
    <xf numFmtId="0" fontId="14" fillId="0" borderId="0" xfId="0" applyFont="1"/>
    <xf numFmtId="0" fontId="15" fillId="0" borderId="0" xfId="0" applyFont="1"/>
    <xf numFmtId="0" fontId="11" fillId="0" borderId="1" xfId="0" applyFont="1" applyBorder="1"/>
    <xf numFmtId="10" fontId="11" fillId="0" borderId="1" xfId="0" applyNumberFormat="1" applyFont="1" applyBorder="1"/>
    <xf numFmtId="166" fontId="11" fillId="2" borderId="1" xfId="0" applyNumberFormat="1" applyFont="1" applyFill="1" applyBorder="1"/>
    <xf numFmtId="0" fontId="10" fillId="0" borderId="0" xfId="0" applyFont="1" applyAlignment="1">
      <alignment horizontal="centerContinuous"/>
    </xf>
    <xf numFmtId="0" fontId="11" fillId="0" borderId="1" xfId="0" applyFont="1" applyBorder="1" applyAlignment="1">
      <alignment horizontal="center"/>
    </xf>
    <xf numFmtId="0" fontId="16" fillId="0" borderId="0" xfId="0" applyFont="1"/>
    <xf numFmtId="0" fontId="11" fillId="0" borderId="2" xfId="0" applyFont="1" applyBorder="1"/>
    <xf numFmtId="166" fontId="11" fillId="3" borderId="1" xfId="2" applyFont="1" applyFill="1" applyBorder="1"/>
    <xf numFmtId="166" fontId="11" fillId="0" borderId="0" xfId="2" applyFont="1" applyBorder="1"/>
    <xf numFmtId="0" fontId="11" fillId="2" borderId="1" xfId="0" applyFont="1" applyFill="1" applyBorder="1" applyAlignment="1">
      <alignment horizontal="center"/>
    </xf>
    <xf numFmtId="0" fontId="11" fillId="0" borderId="3" xfId="0" applyFont="1" applyBorder="1"/>
    <xf numFmtId="166" fontId="11" fillId="2" borderId="3" xfId="0" applyNumberFormat="1" applyFont="1" applyFill="1" applyBorder="1"/>
    <xf numFmtId="166" fontId="11" fillId="2" borderId="3" xfId="2" applyFont="1" applyFill="1" applyBorder="1"/>
    <xf numFmtId="0" fontId="11" fillId="2" borderId="2" xfId="0" applyFont="1" applyFill="1" applyBorder="1"/>
    <xf numFmtId="166" fontId="11" fillId="2" borderId="2" xfId="0" applyNumberFormat="1" applyFont="1" applyFill="1" applyBorder="1"/>
    <xf numFmtId="166" fontId="11" fillId="2" borderId="4" xfId="0" applyNumberFormat="1" applyFont="1" applyFill="1" applyBorder="1"/>
    <xf numFmtId="0" fontId="18" fillId="0" borderId="5" xfId="0" applyFont="1" applyBorder="1" applyAlignment="1">
      <alignment horizontal="center"/>
    </xf>
    <xf numFmtId="0" fontId="18" fillId="0" borderId="1" xfId="0" applyFont="1" applyBorder="1" applyAlignment="1">
      <alignment horizontal="center"/>
    </xf>
    <xf numFmtId="0" fontId="19" fillId="0" borderId="1" xfId="0" applyFont="1" applyBorder="1"/>
    <xf numFmtId="0" fontId="19" fillId="0" borderId="0" xfId="0" applyFont="1"/>
    <xf numFmtId="0" fontId="20" fillId="0" borderId="1" xfId="0" applyFont="1" applyBorder="1"/>
    <xf numFmtId="0" fontId="19" fillId="0" borderId="1" xfId="0" applyFont="1" applyBorder="1" applyAlignment="1">
      <alignment horizontal="center"/>
    </xf>
    <xf numFmtId="0" fontId="19" fillId="0" borderId="0" xfId="0" applyFont="1" applyAlignment="1">
      <alignment horizontal="center"/>
    </xf>
    <xf numFmtId="0" fontId="21" fillId="0" borderId="0" xfId="0" applyFont="1"/>
    <xf numFmtId="0" fontId="21" fillId="0" borderId="1" xfId="0" applyFont="1" applyBorder="1"/>
    <xf numFmtId="0" fontId="22" fillId="0" borderId="0" xfId="0" applyFont="1"/>
    <xf numFmtId="10" fontId="11" fillId="4" borderId="2" xfId="0" applyNumberFormat="1" applyFont="1" applyFill="1" applyBorder="1" applyAlignment="1">
      <alignment horizontal="center"/>
    </xf>
    <xf numFmtId="165" fontId="11" fillId="2" borderId="2" xfId="0" applyNumberFormat="1" applyFont="1" applyFill="1" applyBorder="1"/>
    <xf numFmtId="0" fontId="19" fillId="5" borderId="1" xfId="0" applyFont="1" applyFill="1" applyBorder="1"/>
    <xf numFmtId="10" fontId="19" fillId="5" borderId="1" xfId="3" applyNumberFormat="1" applyFont="1" applyFill="1" applyBorder="1" applyAlignment="1">
      <alignment horizontal="center"/>
    </xf>
    <xf numFmtId="10" fontId="19" fillId="5" borderId="1" xfId="0" applyNumberFormat="1" applyFont="1" applyFill="1" applyBorder="1" applyAlignment="1">
      <alignment horizontal="center"/>
    </xf>
    <xf numFmtId="166" fontId="19" fillId="5" borderId="1" xfId="2" applyFont="1" applyFill="1" applyBorder="1"/>
    <xf numFmtId="10" fontId="19" fillId="5" borderId="1" xfId="3" applyNumberFormat="1" applyFont="1" applyFill="1" applyBorder="1"/>
    <xf numFmtId="10" fontId="19" fillId="5" borderId="1" xfId="2" applyNumberFormat="1" applyFont="1" applyFill="1" applyBorder="1"/>
    <xf numFmtId="10" fontId="19" fillId="5" borderId="1" xfId="2" applyNumberFormat="1" applyFont="1" applyFill="1" applyBorder="1" applyAlignment="1">
      <alignment horizontal="center"/>
    </xf>
    <xf numFmtId="0" fontId="19" fillId="5" borderId="1" xfId="0" applyFont="1" applyFill="1" applyBorder="1" applyAlignment="1">
      <alignment horizontal="center"/>
    </xf>
    <xf numFmtId="166" fontId="19" fillId="5" borderId="1" xfId="0" applyNumberFormat="1" applyFont="1" applyFill="1" applyBorder="1"/>
    <xf numFmtId="10" fontId="19" fillId="5" borderId="1" xfId="0" applyNumberFormat="1" applyFont="1" applyFill="1" applyBorder="1"/>
    <xf numFmtId="168" fontId="19" fillId="5" borderId="1" xfId="0" applyNumberFormat="1" applyFont="1" applyFill="1" applyBorder="1"/>
    <xf numFmtId="165" fontId="19" fillId="5" borderId="1" xfId="0" applyNumberFormat="1" applyFont="1" applyFill="1" applyBorder="1"/>
    <xf numFmtId="167" fontId="19" fillId="5" borderId="1" xfId="1" applyFont="1" applyFill="1" applyBorder="1"/>
    <xf numFmtId="166" fontId="57" fillId="5" borderId="1" xfId="2" applyFont="1" applyFill="1" applyBorder="1"/>
    <xf numFmtId="2" fontId="19" fillId="5" borderId="1" xfId="0" applyNumberFormat="1" applyFont="1" applyFill="1" applyBorder="1" applyAlignment="1">
      <alignment horizontal="center"/>
    </xf>
    <xf numFmtId="172" fontId="19" fillId="5" borderId="1" xfId="0" applyNumberFormat="1" applyFont="1" applyFill="1" applyBorder="1"/>
    <xf numFmtId="172" fontId="19" fillId="5" borderId="1" xfId="0" applyNumberFormat="1" applyFont="1" applyFill="1" applyBorder="1" applyAlignment="1">
      <alignment horizontal="center"/>
    </xf>
    <xf numFmtId="0" fontId="23" fillId="0" borderId="0" xfId="0" applyFont="1"/>
    <xf numFmtId="0" fontId="11" fillId="3" borderId="1" xfId="0" applyFont="1" applyFill="1" applyBorder="1"/>
    <xf numFmtId="0" fontId="13" fillId="0" borderId="0" xfId="0" applyFont="1" applyAlignment="1">
      <alignment horizontal="center"/>
    </xf>
    <xf numFmtId="0" fontId="13" fillId="0" borderId="1" xfId="0" applyFont="1" applyBorder="1" applyAlignment="1">
      <alignment horizontal="center"/>
    </xf>
    <xf numFmtId="2" fontId="11" fillId="5" borderId="1" xfId="0" applyNumberFormat="1" applyFont="1" applyFill="1" applyBorder="1"/>
    <xf numFmtId="166" fontId="11" fillId="5" borderId="1" xfId="0" applyNumberFormat="1" applyFont="1" applyFill="1" applyBorder="1"/>
    <xf numFmtId="166" fontId="11" fillId="5" borderId="1" xfId="2" applyFont="1" applyFill="1" applyBorder="1"/>
    <xf numFmtId="10" fontId="11" fillId="5" borderId="1" xfId="3" applyNumberFormat="1" applyFont="1" applyFill="1" applyBorder="1"/>
    <xf numFmtId="10" fontId="11" fillId="5" borderId="3" xfId="0" applyNumberFormat="1" applyFont="1" applyFill="1" applyBorder="1"/>
    <xf numFmtId="10" fontId="11" fillId="5" borderId="1" xfId="0" applyNumberFormat="1" applyFont="1" applyFill="1" applyBorder="1"/>
    <xf numFmtId="10" fontId="11" fillId="5" borderId="6" xfId="3" applyNumberFormat="1" applyFont="1" applyFill="1" applyBorder="1"/>
    <xf numFmtId="10" fontId="11" fillId="5" borderId="2" xfId="3" applyNumberFormat="1" applyFont="1" applyFill="1" applyBorder="1"/>
    <xf numFmtId="2" fontId="11" fillId="5" borderId="1" xfId="2" applyNumberFormat="1" applyFont="1" applyFill="1" applyBorder="1"/>
    <xf numFmtId="0" fontId="24" fillId="0" borderId="0" xfId="0" applyFont="1"/>
    <xf numFmtId="0" fontId="25" fillId="0" borderId="0" xfId="0" applyFont="1"/>
    <xf numFmtId="0" fontId="17" fillId="0" borderId="0" xfId="0" applyFont="1"/>
    <xf numFmtId="0" fontId="11" fillId="3" borderId="1" xfId="0" applyFont="1" applyFill="1" applyBorder="1" applyAlignment="1">
      <alignment horizontal="center"/>
    </xf>
    <xf numFmtId="0" fontId="27" fillId="0" borderId="0" xfId="0" applyFont="1"/>
    <xf numFmtId="0" fontId="7" fillId="6" borderId="0" xfId="0" applyFont="1" applyFill="1"/>
    <xf numFmtId="0" fontId="27" fillId="0" borderId="7" xfId="0" applyFont="1" applyBorder="1"/>
    <xf numFmtId="173" fontId="19" fillId="5" borderId="1" xfId="0" applyNumberFormat="1" applyFont="1" applyFill="1" applyBorder="1" applyAlignment="1">
      <alignment horizontal="center"/>
    </xf>
    <xf numFmtId="0" fontId="0" fillId="0" borderId="1" xfId="0" applyBorder="1" applyAlignment="1">
      <alignment horizontal="center"/>
    </xf>
    <xf numFmtId="0" fontId="11" fillId="4" borderId="1" xfId="0" applyFont="1" applyFill="1" applyBorder="1"/>
    <xf numFmtId="0" fontId="11" fillId="5" borderId="1" xfId="0" applyFont="1" applyFill="1" applyBorder="1"/>
    <xf numFmtId="0" fontId="12" fillId="0" borderId="1" xfId="0" applyFont="1" applyBorder="1"/>
    <xf numFmtId="171" fontId="11" fillId="5" borderId="1" xfId="3" applyNumberFormat="1" applyFont="1" applyFill="1" applyBorder="1"/>
    <xf numFmtId="171" fontId="11" fillId="5" borderId="1" xfId="0" applyNumberFormat="1" applyFont="1" applyFill="1" applyBorder="1"/>
    <xf numFmtId="175" fontId="11" fillId="4" borderId="1" xfId="2" applyNumberFormat="1" applyFont="1" applyFill="1" applyBorder="1"/>
    <xf numFmtId="173" fontId="11" fillId="5" borderId="1" xfId="0" applyNumberFormat="1" applyFont="1" applyFill="1" applyBorder="1"/>
    <xf numFmtId="175" fontId="11" fillId="5" borderId="1" xfId="0" applyNumberFormat="1" applyFont="1" applyFill="1" applyBorder="1"/>
    <xf numFmtId="0" fontId="0" fillId="5" borderId="1" xfId="0" applyFill="1" applyBorder="1"/>
    <xf numFmtId="175" fontId="3" fillId="5" borderId="1" xfId="2" applyNumberFormat="1" applyFont="1" applyFill="1" applyBorder="1"/>
    <xf numFmtId="173" fontId="0" fillId="5"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8" fontId="0" fillId="4" borderId="1" xfId="0" applyNumberFormat="1" applyFill="1" applyBorder="1" applyAlignment="1">
      <alignment horizontal="center"/>
    </xf>
    <xf numFmtId="2" fontId="11" fillId="0" borderId="0" xfId="0" applyNumberFormat="1" applyFont="1"/>
    <xf numFmtId="168" fontId="0" fillId="0" borderId="1" xfId="0" applyNumberFormat="1" applyBorder="1" applyAlignment="1">
      <alignment horizontal="center"/>
    </xf>
    <xf numFmtId="168" fontId="0" fillId="0" borderId="1" xfId="0" applyNumberFormat="1" applyBorder="1"/>
    <xf numFmtId="168" fontId="0" fillId="0" borderId="1" xfId="3" applyNumberFormat="1" applyFont="1" applyBorder="1" applyAlignment="1">
      <alignment horizontal="center"/>
    </xf>
    <xf numFmtId="168" fontId="0" fillId="0" borderId="0" xfId="0" applyNumberFormat="1" applyAlignment="1">
      <alignment horizontal="center"/>
    </xf>
    <xf numFmtId="168" fontId="0" fillId="0" borderId="0" xfId="0" applyNumberFormat="1"/>
    <xf numFmtId="168" fontId="2" fillId="0" borderId="0" xfId="0" applyNumberFormat="1" applyFont="1" applyAlignment="1">
      <alignment horizontal="center"/>
    </xf>
    <xf numFmtId="168" fontId="2" fillId="0" borderId="0" xfId="0" applyNumberFormat="1" applyFont="1"/>
    <xf numFmtId="10" fontId="11" fillId="4" borderId="1" xfId="0" applyNumberFormat="1" applyFont="1" applyFill="1" applyBorder="1" applyAlignment="1">
      <alignment horizontal="center"/>
    </xf>
    <xf numFmtId="10" fontId="11" fillId="5" borderId="1" xfId="0" applyNumberFormat="1" applyFont="1" applyFill="1" applyBorder="1" applyAlignment="1">
      <alignment horizontal="center"/>
    </xf>
    <xf numFmtId="170" fontId="11" fillId="3" borderId="1" xfId="0" applyNumberFormat="1" applyFont="1" applyFill="1" applyBorder="1"/>
    <xf numFmtId="9" fontId="11" fillId="5" borderId="1" xfId="0" applyNumberFormat="1" applyFont="1" applyFill="1" applyBorder="1" applyAlignment="1">
      <alignment horizontal="center"/>
    </xf>
    <xf numFmtId="0" fontId="28" fillId="0" borderId="0" xfId="0" applyFont="1"/>
    <xf numFmtId="2" fontId="11" fillId="4" borderId="1" xfId="0" applyNumberFormat="1" applyFont="1" applyFill="1" applyBorder="1"/>
    <xf numFmtId="0" fontId="23" fillId="0" borderId="0" xfId="0" applyFont="1" applyAlignment="1">
      <alignment horizontal="left"/>
    </xf>
    <xf numFmtId="168" fontId="0" fillId="5" borderId="1" xfId="0" applyNumberFormat="1" applyFill="1" applyBorder="1"/>
    <xf numFmtId="0" fontId="58" fillId="0" borderId="8" xfId="0" applyFont="1" applyBorder="1" applyAlignment="1">
      <alignment horizontal="center"/>
    </xf>
    <xf numFmtId="0" fontId="58" fillId="0" borderId="9" xfId="0" applyFont="1" applyBorder="1" applyAlignment="1">
      <alignment horizontal="center"/>
    </xf>
    <xf numFmtId="16" fontId="58" fillId="0" borderId="9" xfId="0" applyNumberFormat="1" applyFont="1" applyBorder="1" applyAlignment="1">
      <alignment horizontal="center"/>
    </xf>
    <xf numFmtId="0" fontId="58" fillId="0" borderId="10" xfId="0" applyFont="1" applyBorder="1" applyAlignment="1">
      <alignment horizontal="center"/>
    </xf>
    <xf numFmtId="0" fontId="59" fillId="0" borderId="11" xfId="0" applyFont="1" applyBorder="1"/>
    <xf numFmtId="0" fontId="59" fillId="0" borderId="12" xfId="0" applyFont="1" applyBorder="1"/>
    <xf numFmtId="10" fontId="59" fillId="0" borderId="1" xfId="0" applyNumberFormat="1" applyFont="1" applyBorder="1" applyAlignment="1">
      <alignment horizontal="center"/>
    </xf>
    <xf numFmtId="0" fontId="59" fillId="0" borderId="1" xfId="0" applyFont="1" applyBorder="1" applyAlignment="1">
      <alignment horizontal="center"/>
    </xf>
    <xf numFmtId="10" fontId="59" fillId="0" borderId="13" xfId="3" applyNumberFormat="1" applyFont="1" applyBorder="1" applyAlignment="1">
      <alignment horizontal="center"/>
    </xf>
    <xf numFmtId="0" fontId="59" fillId="0" borderId="14" xfId="0" applyFont="1" applyBorder="1"/>
    <xf numFmtId="10" fontId="59" fillId="0" borderId="15" xfId="0" applyNumberFormat="1" applyFont="1" applyBorder="1" applyAlignment="1">
      <alignment horizontal="center"/>
    </xf>
    <xf numFmtId="0" fontId="59" fillId="0" borderId="12" xfId="0" applyFont="1" applyBorder="1" applyAlignment="1">
      <alignment horizontal="center"/>
    </xf>
    <xf numFmtId="10" fontId="59" fillId="0" borderId="1" xfId="3" applyNumberFormat="1" applyFont="1" applyBorder="1" applyAlignment="1">
      <alignment horizontal="center"/>
    </xf>
    <xf numFmtId="0" fontId="59" fillId="0" borderId="14" xfId="0" applyFont="1" applyBorder="1" applyAlignment="1">
      <alignment horizontal="center"/>
    </xf>
    <xf numFmtId="10" fontId="59" fillId="0" borderId="15" xfId="3" applyNumberFormat="1" applyFont="1" applyBorder="1" applyAlignment="1">
      <alignment horizontal="center"/>
    </xf>
    <xf numFmtId="172" fontId="59" fillId="0" borderId="16" xfId="2" applyNumberFormat="1" applyFont="1" applyFill="1" applyBorder="1"/>
    <xf numFmtId="0" fontId="59" fillId="0" borderId="16" xfId="0" applyFont="1" applyBorder="1"/>
    <xf numFmtId="0" fontId="59" fillId="0" borderId="17" xfId="0" applyFont="1" applyBorder="1"/>
    <xf numFmtId="172" fontId="59" fillId="0" borderId="0" xfId="2" applyNumberFormat="1" applyFont="1" applyFill="1" applyBorder="1"/>
    <xf numFmtId="0" fontId="59" fillId="0" borderId="0" xfId="0" applyFont="1"/>
    <xf numFmtId="0" fontId="59" fillId="0" borderId="18" xfId="0" applyFont="1" applyBorder="1"/>
    <xf numFmtId="0" fontId="59" fillId="0" borderId="0" xfId="0" applyFont="1" applyAlignment="1">
      <alignment horizontal="left"/>
    </xf>
    <xf numFmtId="0" fontId="59" fillId="0" borderId="19" xfId="0" applyFont="1" applyBorder="1"/>
    <xf numFmtId="10" fontId="59" fillId="0" borderId="20" xfId="3" applyNumberFormat="1" applyFont="1" applyBorder="1" applyAlignment="1">
      <alignment horizontal="center"/>
    </xf>
    <xf numFmtId="10" fontId="59" fillId="0" borderId="3" xfId="0" applyNumberFormat="1" applyFont="1" applyBorder="1" applyAlignment="1">
      <alignment horizontal="center"/>
    </xf>
    <xf numFmtId="0" fontId="59" fillId="0" borderId="21" xfId="0" applyFont="1" applyBorder="1" applyAlignment="1">
      <alignment horizontal="center"/>
    </xf>
    <xf numFmtId="168" fontId="59" fillId="0" borderId="22" xfId="0" applyNumberFormat="1" applyFont="1" applyBorder="1" applyAlignment="1">
      <alignment horizontal="left"/>
    </xf>
    <xf numFmtId="0" fontId="29" fillId="0" borderId="1" xfId="0" applyFont="1" applyBorder="1" applyAlignment="1">
      <alignment horizontal="center"/>
    </xf>
    <xf numFmtId="0" fontId="0" fillId="4" borderId="1" xfId="0" applyFill="1" applyBorder="1"/>
    <xf numFmtId="10" fontId="11" fillId="4" borderId="1" xfId="0" applyNumberFormat="1" applyFont="1" applyFill="1" applyBorder="1"/>
    <xf numFmtId="166" fontId="3" fillId="4" borderId="1" xfId="2" applyFont="1" applyFill="1" applyBorder="1" applyAlignment="1">
      <alignment horizontal="center"/>
    </xf>
    <xf numFmtId="0" fontId="60" fillId="4" borderId="1" xfId="0" applyFont="1" applyFill="1" applyBorder="1"/>
    <xf numFmtId="174" fontId="29" fillId="0" borderId="0" xfId="0" applyNumberFormat="1" applyFont="1" applyAlignment="1">
      <alignment horizontal="right"/>
    </xf>
    <xf numFmtId="166" fontId="0" fillId="0" borderId="0" xfId="0" applyNumberFormat="1"/>
    <xf numFmtId="10" fontId="0" fillId="4" borderId="1" xfId="0" applyNumberFormat="1" applyFill="1" applyBorder="1"/>
    <xf numFmtId="0" fontId="30" fillId="0" borderId="0" xfId="0" applyFont="1"/>
    <xf numFmtId="0" fontId="27" fillId="0" borderId="0" xfId="0" applyFont="1" applyAlignment="1">
      <alignment horizontal="left"/>
    </xf>
    <xf numFmtId="10" fontId="27" fillId="0" borderId="0" xfId="0" applyNumberFormat="1" applyFont="1"/>
    <xf numFmtId="2" fontId="27" fillId="0" borderId="0" xfId="0" applyNumberFormat="1" applyFont="1"/>
    <xf numFmtId="10" fontId="29" fillId="0" borderId="0" xfId="0" applyNumberFormat="1" applyFont="1"/>
    <xf numFmtId="0" fontId="61" fillId="0" borderId="0" xfId="0" applyFont="1"/>
    <xf numFmtId="17" fontId="62" fillId="0" borderId="1" xfId="0" applyNumberFormat="1" applyFont="1" applyBorder="1"/>
    <xf numFmtId="2" fontId="59" fillId="7" borderId="13" xfId="0" applyNumberFormat="1" applyFont="1" applyFill="1" applyBorder="1" applyAlignment="1">
      <alignment horizontal="center"/>
    </xf>
    <xf numFmtId="2" fontId="59" fillId="7" borderId="1" xfId="0" applyNumberFormat="1" applyFont="1" applyFill="1" applyBorder="1" applyAlignment="1">
      <alignment horizontal="center"/>
    </xf>
    <xf numFmtId="10" fontId="59" fillId="7" borderId="1" xfId="0" applyNumberFormat="1" applyFont="1" applyFill="1" applyBorder="1" applyAlignment="1">
      <alignment horizontal="center"/>
    </xf>
    <xf numFmtId="10" fontId="59" fillId="7" borderId="6" xfId="0" applyNumberFormat="1" applyFont="1" applyFill="1" applyBorder="1" applyAlignment="1">
      <alignment horizontal="center"/>
    </xf>
    <xf numFmtId="10" fontId="59" fillId="7" borderId="13" xfId="0" applyNumberFormat="1" applyFont="1" applyFill="1" applyBorder="1" applyAlignment="1">
      <alignment horizontal="center"/>
    </xf>
    <xf numFmtId="0" fontId="63" fillId="7" borderId="9" xfId="0" applyFont="1" applyFill="1" applyBorder="1"/>
    <xf numFmtId="0" fontId="64" fillId="7" borderId="9" xfId="0" applyFont="1" applyFill="1" applyBorder="1"/>
    <xf numFmtId="0" fontId="64" fillId="7" borderId="1" xfId="0" applyFont="1" applyFill="1" applyBorder="1"/>
    <xf numFmtId="10" fontId="64" fillId="7" borderId="1" xfId="3" applyNumberFormat="1" applyFont="1" applyFill="1" applyBorder="1"/>
    <xf numFmtId="0" fontId="58" fillId="0" borderId="23" xfId="0" applyFont="1" applyBorder="1" applyAlignment="1">
      <alignment horizontal="center"/>
    </xf>
    <xf numFmtId="177" fontId="58" fillId="0" borderId="23" xfId="0" applyNumberFormat="1" applyFont="1" applyBorder="1" applyAlignment="1">
      <alignment horizontal="center"/>
    </xf>
    <xf numFmtId="177" fontId="58" fillId="0" borderId="24" xfId="0" applyNumberFormat="1" applyFont="1" applyBorder="1" applyAlignment="1">
      <alignment horizontal="center"/>
    </xf>
    <xf numFmtId="168" fontId="59" fillId="0" borderId="1" xfId="2" applyNumberFormat="1" applyFont="1" applyBorder="1" applyAlignment="1">
      <alignment horizontal="center"/>
    </xf>
    <xf numFmtId="168" fontId="59" fillId="0" borderId="15" xfId="2" applyNumberFormat="1" applyFont="1" applyBorder="1" applyAlignment="1">
      <alignment horizontal="center"/>
    </xf>
    <xf numFmtId="168" fontId="59" fillId="0" borderId="6" xfId="2" applyNumberFormat="1" applyFont="1" applyBorder="1" applyAlignment="1">
      <alignment horizontal="center"/>
    </xf>
    <xf numFmtId="172" fontId="11" fillId="5" borderId="1" xfId="2" applyNumberFormat="1" applyFont="1" applyFill="1" applyBorder="1"/>
    <xf numFmtId="174" fontId="29" fillId="4" borderId="1" xfId="0" applyNumberFormat="1" applyFont="1" applyFill="1" applyBorder="1" applyAlignment="1">
      <alignment horizontal="right"/>
    </xf>
    <xf numFmtId="0" fontId="31" fillId="0" borderId="0" xfId="0" applyFont="1"/>
    <xf numFmtId="0" fontId="32" fillId="0" borderId="0" xfId="0" applyFont="1" applyAlignment="1">
      <alignment wrapText="1"/>
    </xf>
    <xf numFmtId="0" fontId="32" fillId="0" borderId="1" xfId="0" applyFont="1" applyBorder="1" applyAlignment="1">
      <alignment horizontal="center" wrapText="1"/>
    </xf>
    <xf numFmtId="0" fontId="58" fillId="0" borderId="1" xfId="0" applyFont="1" applyBorder="1" applyAlignment="1">
      <alignment horizontal="center"/>
    </xf>
    <xf numFmtId="176" fontId="65" fillId="0" borderId="1" xfId="3" applyNumberFormat="1" applyFont="1" applyBorder="1" applyAlignment="1">
      <alignment horizontal="center"/>
    </xf>
    <xf numFmtId="10" fontId="65" fillId="0" borderId="1" xfId="0" applyNumberFormat="1" applyFont="1" applyBorder="1" applyAlignment="1">
      <alignment horizontal="center"/>
    </xf>
    <xf numFmtId="2" fontId="65" fillId="0" borderId="1" xfId="0" applyNumberFormat="1" applyFont="1" applyBorder="1" applyAlignment="1">
      <alignment horizontal="center"/>
    </xf>
    <xf numFmtId="0" fontId="28" fillId="6" borderId="0" xfId="0" applyFont="1" applyFill="1"/>
    <xf numFmtId="0" fontId="28" fillId="6" borderId="25" xfId="0" applyFont="1" applyFill="1" applyBorder="1"/>
    <xf numFmtId="173" fontId="11" fillId="5" borderId="1" xfId="0" applyNumberFormat="1" applyFont="1" applyFill="1" applyBorder="1" applyAlignment="1">
      <alignment horizontal="center"/>
    </xf>
    <xf numFmtId="173" fontId="0" fillId="5" borderId="1" xfId="0" applyNumberFormat="1" applyFill="1" applyBorder="1" applyAlignment="1">
      <alignment horizontal="center"/>
    </xf>
    <xf numFmtId="10" fontId="11" fillId="5" borderId="1" xfId="3" applyNumberFormat="1" applyFont="1" applyFill="1" applyBorder="1" applyAlignment="1">
      <alignment horizontal="center"/>
    </xf>
    <xf numFmtId="10" fontId="3" fillId="5" borderId="1" xfId="3" applyNumberFormat="1" applyFont="1" applyFill="1" applyBorder="1" applyAlignment="1">
      <alignment horizontal="center"/>
    </xf>
    <xf numFmtId="0" fontId="11" fillId="4" borderId="3" xfId="0" applyFont="1" applyFill="1" applyBorder="1"/>
    <xf numFmtId="10" fontId="0" fillId="5" borderId="2" xfId="0" applyNumberFormat="1" applyFill="1" applyBorder="1" applyAlignment="1">
      <alignment horizontal="center"/>
    </xf>
    <xf numFmtId="0" fontId="34" fillId="0" borderId="0" xfId="0" applyFont="1" applyAlignment="1">
      <alignment horizontal="left" vertical="top" wrapText="1"/>
    </xf>
    <xf numFmtId="0" fontId="34" fillId="4" borderId="1" xfId="0" applyFont="1" applyFill="1" applyBorder="1" applyAlignment="1">
      <alignment horizontal="center" vertical="top" wrapText="1"/>
    </xf>
    <xf numFmtId="10" fontId="0" fillId="4" borderId="1" xfId="0" applyNumberFormat="1" applyFill="1" applyBorder="1" applyAlignment="1">
      <alignment horizontal="center"/>
    </xf>
    <xf numFmtId="10" fontId="34" fillId="5" borderId="1" xfId="3" applyNumberFormat="1" applyFont="1" applyFill="1" applyBorder="1" applyAlignment="1">
      <alignment horizontal="center" vertical="top" wrapText="1"/>
    </xf>
    <xf numFmtId="0" fontId="0" fillId="4" borderId="1" xfId="0" applyFill="1" applyBorder="1" applyAlignment="1">
      <alignment horizontal="center"/>
    </xf>
    <xf numFmtId="0" fontId="37" fillId="0" borderId="0" xfId="0" applyFont="1"/>
    <xf numFmtId="0" fontId="38" fillId="0" borderId="0" xfId="0" applyFont="1"/>
    <xf numFmtId="0" fontId="39" fillId="0" borderId="0" xfId="0" applyFont="1"/>
    <xf numFmtId="0" fontId="40" fillId="0" borderId="0" xfId="0" applyFont="1"/>
    <xf numFmtId="17" fontId="40" fillId="4" borderId="1" xfId="0" applyNumberFormat="1" applyFont="1" applyFill="1" applyBorder="1" applyAlignment="1">
      <alignment horizontal="center"/>
    </xf>
    <xf numFmtId="0" fontId="39" fillId="4" borderId="1" xfId="0" applyFont="1" applyFill="1" applyBorder="1"/>
    <xf numFmtId="0" fontId="41" fillId="0" borderId="1" xfId="0" applyFont="1" applyBorder="1"/>
    <xf numFmtId="0" fontId="39" fillId="0" borderId="1" xfId="0" applyFont="1" applyBorder="1"/>
    <xf numFmtId="0" fontId="68" fillId="0" borderId="0" xfId="0" applyFont="1"/>
    <xf numFmtId="166" fontId="39" fillId="8" borderId="13" xfId="0" applyNumberFormat="1" applyFont="1" applyFill="1" applyBorder="1" applyAlignment="1">
      <alignment horizontal="center"/>
    </xf>
    <xf numFmtId="2" fontId="39" fillId="4" borderId="9" xfId="2" applyNumberFormat="1" applyFont="1" applyFill="1" applyBorder="1" applyAlignment="1">
      <alignment horizontal="center"/>
    </xf>
    <xf numFmtId="10" fontId="39" fillId="4" borderId="1" xfId="2" applyNumberFormat="1" applyFont="1" applyFill="1" applyBorder="1" applyAlignment="1">
      <alignment horizontal="center"/>
    </xf>
    <xf numFmtId="166" fontId="39" fillId="0" borderId="0" xfId="2" applyFont="1" applyFill="1" applyBorder="1" applyAlignment="1">
      <alignment horizontal="center"/>
    </xf>
    <xf numFmtId="0" fontId="39" fillId="0" borderId="30" xfId="0" applyFont="1" applyBorder="1"/>
    <xf numFmtId="10" fontId="39" fillId="5" borderId="1" xfId="0" applyNumberFormat="1" applyFont="1" applyFill="1" applyBorder="1"/>
    <xf numFmtId="0" fontId="69" fillId="0" borderId="1" xfId="0" applyFont="1" applyBorder="1"/>
    <xf numFmtId="10" fontId="69" fillId="4" borderId="1" xfId="2" applyNumberFormat="1" applyFont="1" applyFill="1" applyBorder="1" applyAlignment="1">
      <alignment horizontal="center"/>
    </xf>
    <xf numFmtId="10" fontId="39" fillId="4" borderId="1" xfId="0" applyNumberFormat="1" applyFont="1" applyFill="1" applyBorder="1" applyAlignment="1">
      <alignment horizontal="center"/>
    </xf>
    <xf numFmtId="2" fontId="39" fillId="4" borderId="1" xfId="0" applyNumberFormat="1" applyFont="1" applyFill="1" applyBorder="1" applyAlignment="1">
      <alignment horizontal="center"/>
    </xf>
    <xf numFmtId="0" fontId="39" fillId="0" borderId="31" xfId="0" applyFont="1" applyBorder="1"/>
    <xf numFmtId="10" fontId="39" fillId="0" borderId="0" xfId="0" applyNumberFormat="1" applyFont="1"/>
    <xf numFmtId="0" fontId="39" fillId="0" borderId="32" xfId="0" applyFont="1" applyBorder="1"/>
    <xf numFmtId="10" fontId="39" fillId="6" borderId="0" xfId="0" applyNumberFormat="1" applyFont="1" applyFill="1" applyAlignment="1">
      <alignment horizontal="center"/>
    </xf>
    <xf numFmtId="2" fontId="39" fillId="0" borderId="0" xfId="0" applyNumberFormat="1" applyFont="1" applyAlignment="1">
      <alignment horizontal="center"/>
    </xf>
    <xf numFmtId="168" fontId="39" fillId="4" borderId="1" xfId="0" applyNumberFormat="1" applyFont="1" applyFill="1" applyBorder="1" applyAlignment="1">
      <alignment horizontal="center"/>
    </xf>
    <xf numFmtId="168" fontId="39" fillId="0" borderId="0" xfId="0" applyNumberFormat="1" applyFont="1" applyAlignment="1">
      <alignment horizontal="center"/>
    </xf>
    <xf numFmtId="0" fontId="41" fillId="0" borderId="0" xfId="0" applyFont="1"/>
    <xf numFmtId="10" fontId="39" fillId="0" borderId="0" xfId="0" applyNumberFormat="1" applyFont="1" applyAlignment="1">
      <alignment horizontal="center"/>
    </xf>
    <xf numFmtId="0" fontId="42" fillId="6" borderId="0" xfId="0" applyFont="1" applyFill="1"/>
    <xf numFmtId="0" fontId="41" fillId="6" borderId="0" xfId="0" applyFont="1" applyFill="1"/>
    <xf numFmtId="9" fontId="39" fillId="4" borderId="1" xfId="0" applyNumberFormat="1" applyFont="1" applyFill="1" applyBorder="1" applyAlignment="1">
      <alignment horizontal="center"/>
    </xf>
    <xf numFmtId="9" fontId="39" fillId="6" borderId="0" xfId="0" applyNumberFormat="1" applyFont="1" applyFill="1" applyAlignment="1">
      <alignment horizontal="center"/>
    </xf>
    <xf numFmtId="168" fontId="39" fillId="7" borderId="0" xfId="0" applyNumberFormat="1" applyFont="1" applyFill="1" applyAlignment="1">
      <alignment horizontal="center"/>
    </xf>
    <xf numFmtId="10" fontId="39" fillId="4" borderId="1" xfId="3" applyNumberFormat="1" applyFont="1" applyFill="1" applyBorder="1" applyAlignment="1">
      <alignment horizontal="center"/>
    </xf>
    <xf numFmtId="0" fontId="38" fillId="4" borderId="1" xfId="0" applyFont="1" applyFill="1" applyBorder="1"/>
    <xf numFmtId="0" fontId="38" fillId="5" borderId="1" xfId="0" applyFont="1" applyFill="1" applyBorder="1"/>
    <xf numFmtId="0" fontId="43" fillId="0" borderId="0" xfId="0" applyFont="1"/>
    <xf numFmtId="0" fontId="64" fillId="7" borderId="0" xfId="0" applyFont="1" applyFill="1"/>
    <xf numFmtId="0" fontId="44" fillId="0" borderId="0" xfId="0" applyFont="1"/>
    <xf numFmtId="0" fontId="70" fillId="0" borderId="0" xfId="0" applyFont="1"/>
    <xf numFmtId="0" fontId="70" fillId="0" borderId="1" xfId="0" applyFont="1" applyBorder="1"/>
    <xf numFmtId="0" fontId="71" fillId="0" borderId="1" xfId="0" applyFont="1" applyBorder="1" applyAlignment="1">
      <alignment horizontal="center"/>
    </xf>
    <xf numFmtId="10" fontId="70" fillId="7" borderId="1" xfId="0" applyNumberFormat="1" applyFont="1" applyFill="1" applyBorder="1" applyAlignment="1">
      <alignment horizontal="center"/>
    </xf>
    <xf numFmtId="10" fontId="0" fillId="0" borderId="0" xfId="0" applyNumberFormat="1"/>
    <xf numFmtId="0" fontId="70" fillId="0" borderId="1" xfId="0" applyFont="1" applyBorder="1" applyAlignment="1">
      <alignment horizontal="center"/>
    </xf>
    <xf numFmtId="0" fontId="45" fillId="0" borderId="0" xfId="0" applyFont="1"/>
    <xf numFmtId="0" fontId="70" fillId="0" borderId="0" xfId="0" applyFont="1" applyAlignment="1">
      <alignment horizontal="center"/>
    </xf>
    <xf numFmtId="10" fontId="70" fillId="0" borderId="0" xfId="0" applyNumberFormat="1" applyFont="1" applyAlignment="1">
      <alignment horizontal="center"/>
    </xf>
    <xf numFmtId="0" fontId="59" fillId="7" borderId="5" xfId="0" applyFont="1" applyFill="1" applyBorder="1" applyAlignment="1">
      <alignment horizontal="left"/>
    </xf>
    <xf numFmtId="0" fontId="59" fillId="7" borderId="5" xfId="0" applyFont="1" applyFill="1" applyBorder="1" applyAlignment="1">
      <alignment wrapText="1"/>
    </xf>
    <xf numFmtId="0" fontId="59" fillId="7" borderId="5" xfId="0" applyFont="1" applyFill="1" applyBorder="1"/>
    <xf numFmtId="0" fontId="59" fillId="7" borderId="27" xfId="0" applyFont="1" applyFill="1" applyBorder="1"/>
    <xf numFmtId="0" fontId="59" fillId="7" borderId="33" xfId="0" applyFont="1" applyFill="1" applyBorder="1"/>
    <xf numFmtId="0" fontId="8" fillId="0" borderId="0" xfId="0" applyFont="1" applyAlignment="1">
      <alignment horizontal="center"/>
    </xf>
    <xf numFmtId="0" fontId="46" fillId="0" borderId="0" xfId="0" applyFont="1" applyAlignment="1">
      <alignment horizontal="center"/>
    </xf>
    <xf numFmtId="0" fontId="8" fillId="0" borderId="1" xfId="0" applyFont="1" applyBorder="1"/>
    <xf numFmtId="0" fontId="47" fillId="0" borderId="1" xfId="0" applyFont="1" applyBorder="1" applyAlignment="1">
      <alignment horizontal="center"/>
    </xf>
    <xf numFmtId="0" fontId="45" fillId="0" borderId="7" xfId="0" applyFont="1" applyBorder="1"/>
    <xf numFmtId="0" fontId="45" fillId="0" borderId="16" xfId="0" applyFont="1" applyBorder="1" applyAlignment="1">
      <alignment horizontal="center"/>
    </xf>
    <xf numFmtId="0" fontId="8" fillId="0" borderId="16" xfId="0" applyFont="1" applyBorder="1" applyAlignment="1">
      <alignment horizontal="center"/>
    </xf>
    <xf numFmtId="0" fontId="8" fillId="0" borderId="30" xfId="0" applyFont="1" applyBorder="1"/>
    <xf numFmtId="0" fontId="47" fillId="0" borderId="0" xfId="0" applyFont="1" applyAlignment="1">
      <alignment horizontal="center"/>
    </xf>
    <xf numFmtId="0" fontId="47" fillId="0" borderId="18" xfId="0" applyFont="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center"/>
    </xf>
    <xf numFmtId="0" fontId="46" fillId="0" borderId="7" xfId="0" applyFont="1" applyBorder="1"/>
    <xf numFmtId="0" fontId="47" fillId="0" borderId="16" xfId="0" applyFont="1" applyBorder="1" applyAlignment="1">
      <alignment horizontal="center"/>
    </xf>
    <xf numFmtId="0" fontId="47" fillId="0" borderId="17" xfId="0" applyFont="1" applyBorder="1" applyAlignment="1">
      <alignment horizontal="center"/>
    </xf>
    <xf numFmtId="0" fontId="47" fillId="0" borderId="30" xfId="0" applyFont="1" applyBorder="1"/>
    <xf numFmtId="0" fontId="8" fillId="0" borderId="1" xfId="0" applyFont="1" applyBorder="1" applyAlignment="1">
      <alignment wrapText="1"/>
    </xf>
    <xf numFmtId="0" fontId="8" fillId="0" borderId="31" xfId="0" applyFont="1" applyBorder="1" applyAlignment="1">
      <alignment horizontal="center"/>
    </xf>
    <xf numFmtId="0" fontId="8" fillId="0" borderId="32" xfId="0" applyFont="1" applyBorder="1" applyAlignment="1">
      <alignment horizontal="center"/>
    </xf>
    <xf numFmtId="10" fontId="27" fillId="7" borderId="3" xfId="0" applyNumberFormat="1" applyFont="1" applyFill="1" applyBorder="1" applyAlignment="1">
      <alignment horizontal="center"/>
    </xf>
    <xf numFmtId="0" fontId="50" fillId="6" borderId="35" xfId="0" applyFont="1" applyFill="1" applyBorder="1" applyAlignment="1">
      <alignment vertical="center"/>
    </xf>
    <xf numFmtId="0" fontId="50" fillId="6" borderId="36" xfId="0" applyFont="1" applyFill="1" applyBorder="1"/>
    <xf numFmtId="0" fontId="50" fillId="6" borderId="37" xfId="0" applyFont="1" applyFill="1" applyBorder="1"/>
    <xf numFmtId="0" fontId="27" fillId="7" borderId="19" xfId="0" applyFont="1" applyFill="1" applyBorder="1"/>
    <xf numFmtId="0" fontId="27" fillId="0" borderId="0" xfId="0" applyFont="1" applyAlignment="1">
      <alignment horizontal="center"/>
    </xf>
    <xf numFmtId="0" fontId="27" fillId="0" borderId="18" xfId="0" applyFont="1" applyBorder="1"/>
    <xf numFmtId="0" fontId="11" fillId="0" borderId="0" xfId="0" applyFont="1" applyAlignment="1">
      <alignment horizontal="center"/>
    </xf>
    <xf numFmtId="0" fontId="11" fillId="0" borderId="18" xfId="0" applyFont="1" applyBorder="1"/>
    <xf numFmtId="0" fontId="11" fillId="0" borderId="31" xfId="0" applyFont="1" applyBorder="1" applyAlignment="1">
      <alignment horizontal="center"/>
    </xf>
    <xf numFmtId="0" fontId="11" fillId="0" borderId="32" xfId="0" applyFont="1" applyBorder="1"/>
    <xf numFmtId="0" fontId="48" fillId="6" borderId="35" xfId="0" applyFont="1" applyFill="1" applyBorder="1" applyAlignment="1">
      <alignment horizontal="center" vertical="center" wrapText="1"/>
    </xf>
    <xf numFmtId="166" fontId="38" fillId="2" borderId="1" xfId="0" applyNumberFormat="1" applyFont="1" applyFill="1" applyBorder="1"/>
    <xf numFmtId="166" fontId="38" fillId="2" borderId="1" xfId="2" applyFont="1" applyFill="1" applyBorder="1"/>
    <xf numFmtId="2" fontId="38" fillId="2" borderId="1" xfId="0" applyNumberFormat="1" applyFont="1" applyFill="1" applyBorder="1"/>
    <xf numFmtId="10" fontId="38" fillId="2" borderId="1" xfId="3" applyNumberFormat="1" applyFont="1" applyFill="1" applyBorder="1"/>
    <xf numFmtId="10" fontId="38" fillId="2" borderId="1" xfId="0" applyNumberFormat="1" applyFont="1" applyFill="1" applyBorder="1"/>
    <xf numFmtId="4" fontId="38" fillId="2" borderId="1" xfId="0" applyNumberFormat="1" applyFont="1" applyFill="1" applyBorder="1"/>
    <xf numFmtId="0" fontId="51" fillId="0" borderId="0" xfId="0" applyFont="1"/>
    <xf numFmtId="0" fontId="53" fillId="0" borderId="0" xfId="0" applyFont="1"/>
    <xf numFmtId="0" fontId="38" fillId="0" borderId="1" xfId="0" applyFont="1" applyBorder="1"/>
    <xf numFmtId="166" fontId="38" fillId="5" borderId="2" xfId="2" applyFont="1" applyFill="1" applyBorder="1"/>
    <xf numFmtId="165" fontId="38" fillId="5" borderId="2" xfId="0" applyNumberFormat="1" applyFont="1" applyFill="1" applyBorder="1"/>
    <xf numFmtId="0" fontId="38" fillId="0" borderId="1" xfId="0" applyFont="1" applyBorder="1" applyAlignment="1">
      <alignment horizontal="center"/>
    </xf>
    <xf numFmtId="3" fontId="38" fillId="0" borderId="1" xfId="0" applyNumberFormat="1" applyFont="1" applyBorder="1" applyAlignment="1">
      <alignment horizontal="center"/>
    </xf>
    <xf numFmtId="10" fontId="45" fillId="0" borderId="1" xfId="0" applyNumberFormat="1" applyFont="1" applyBorder="1" applyAlignment="1">
      <alignment horizontal="center"/>
    </xf>
    <xf numFmtId="169" fontId="45" fillId="0" borderId="1" xfId="1" applyNumberFormat="1" applyFont="1" applyBorder="1" applyAlignment="1">
      <alignment horizontal="center"/>
    </xf>
    <xf numFmtId="10" fontId="38" fillId="0" borderId="1" xfId="0" applyNumberFormat="1" applyFont="1" applyBorder="1" applyAlignment="1">
      <alignment horizontal="center"/>
    </xf>
    <xf numFmtId="0" fontId="38" fillId="0" borderId="0" xfId="0" applyFont="1" applyAlignment="1">
      <alignment horizontal="center"/>
    </xf>
    <xf numFmtId="173" fontId="38" fillId="0" borderId="1" xfId="0" applyNumberFormat="1" applyFont="1" applyBorder="1" applyAlignment="1">
      <alignment horizontal="center"/>
    </xf>
    <xf numFmtId="0" fontId="45" fillId="0" borderId="6" xfId="0" applyFont="1" applyBorder="1" applyAlignment="1">
      <alignment horizontal="center"/>
    </xf>
    <xf numFmtId="0" fontId="52" fillId="0" borderId="0" xfId="0" applyFont="1"/>
    <xf numFmtId="0" fontId="54" fillId="0" borderId="0" xfId="0" applyFont="1"/>
    <xf numFmtId="0" fontId="55" fillId="0" borderId="0" xfId="0" applyFont="1"/>
    <xf numFmtId="0" fontId="50" fillId="0" borderId="0" xfId="0" applyFont="1"/>
    <xf numFmtId="10" fontId="45" fillId="0" borderId="0" xfId="0" applyNumberFormat="1" applyFont="1"/>
    <xf numFmtId="166" fontId="38" fillId="0" borderId="0" xfId="2" applyFont="1"/>
    <xf numFmtId="168" fontId="45" fillId="0" borderId="6" xfId="0" applyNumberFormat="1" applyFont="1" applyBorder="1" applyAlignment="1">
      <alignment horizontal="center"/>
    </xf>
    <xf numFmtId="0" fontId="48" fillId="0" borderId="0" xfId="0" applyFont="1"/>
    <xf numFmtId="0" fontId="72" fillId="7" borderId="9" xfId="0" applyFont="1" applyFill="1" applyBorder="1"/>
    <xf numFmtId="0" fontId="73" fillId="7" borderId="9" xfId="0" applyFont="1" applyFill="1" applyBorder="1"/>
    <xf numFmtId="0" fontId="73" fillId="7" borderId="1" xfId="0" applyFont="1" applyFill="1" applyBorder="1"/>
    <xf numFmtId="10" fontId="73" fillId="7" borderId="1" xfId="3" applyNumberFormat="1" applyFont="1" applyFill="1" applyBorder="1"/>
    <xf numFmtId="166" fontId="38" fillId="5" borderId="1" xfId="0" applyNumberFormat="1" applyFont="1" applyFill="1" applyBorder="1"/>
    <xf numFmtId="168" fontId="38" fillId="5" borderId="2" xfId="0" applyNumberFormat="1" applyFont="1" applyFill="1" applyBorder="1"/>
    <xf numFmtId="10" fontId="38" fillId="5" borderId="2" xfId="0" applyNumberFormat="1" applyFont="1" applyFill="1" applyBorder="1"/>
    <xf numFmtId="2" fontId="45" fillId="5" borderId="2" xfId="0" applyNumberFormat="1" applyFont="1" applyFill="1" applyBorder="1" applyAlignment="1">
      <alignment horizontal="center"/>
    </xf>
    <xf numFmtId="0" fontId="45" fillId="5" borderId="4" xfId="0" applyFont="1" applyFill="1" applyBorder="1" applyAlignment="1">
      <alignment horizontal="center"/>
    </xf>
    <xf numFmtId="10" fontId="45" fillId="5" borderId="2" xfId="3" applyNumberFormat="1" applyFont="1" applyFill="1" applyBorder="1" applyAlignment="1">
      <alignment horizontal="center"/>
    </xf>
    <xf numFmtId="10" fontId="45" fillId="5" borderId="2" xfId="0" applyNumberFormat="1" applyFont="1" applyFill="1" applyBorder="1" applyAlignment="1">
      <alignment horizontal="center"/>
    </xf>
    <xf numFmtId="10" fontId="45" fillId="0" borderId="0" xfId="0" applyNumberFormat="1" applyFont="1" applyAlignment="1">
      <alignment horizontal="center"/>
    </xf>
    <xf numFmtId="10" fontId="51" fillId="0" borderId="0" xfId="0" applyNumberFormat="1" applyFont="1" applyAlignment="1">
      <alignment horizontal="center"/>
    </xf>
    <xf numFmtId="0" fontId="53" fillId="0" borderId="1" xfId="0" applyFont="1" applyBorder="1" applyAlignment="1">
      <alignment horizontal="centerContinuous"/>
    </xf>
    <xf numFmtId="0" fontId="53" fillId="0" borderId="1" xfId="0" applyFont="1" applyBorder="1"/>
    <xf numFmtId="0" fontId="53" fillId="0" borderId="1" xfId="0" applyFont="1" applyBorder="1" applyAlignment="1">
      <alignment horizontal="center"/>
    </xf>
    <xf numFmtId="10" fontId="38" fillId="0" borderId="38" xfId="3" applyNumberFormat="1" applyFont="1" applyBorder="1" applyAlignment="1">
      <alignment horizontal="center"/>
    </xf>
    <xf numFmtId="2" fontId="38" fillId="0" borderId="1" xfId="0" applyNumberFormat="1" applyFont="1" applyBorder="1" applyAlignment="1">
      <alignment horizontal="center"/>
    </xf>
    <xf numFmtId="0" fontId="38" fillId="0" borderId="1" xfId="0" applyFont="1" applyBorder="1" applyAlignment="1">
      <alignment horizontal="centerContinuous"/>
    </xf>
    <xf numFmtId="0" fontId="42" fillId="0" borderId="39" xfId="0" applyFont="1" applyBorder="1"/>
    <xf numFmtId="0" fontId="52" fillId="0" borderId="0" xfId="0" applyFont="1" applyAlignment="1">
      <alignment horizontal="centerContinuous"/>
    </xf>
    <xf numFmtId="0" fontId="50" fillId="3" borderId="1" xfId="0" applyFont="1" applyFill="1" applyBorder="1" applyAlignment="1">
      <alignment horizontal="center"/>
    </xf>
    <xf numFmtId="166" fontId="50" fillId="3" borderId="1" xfId="2" applyFont="1" applyFill="1" applyBorder="1"/>
    <xf numFmtId="2" fontId="54" fillId="0" borderId="1" xfId="0" applyNumberFormat="1" applyFont="1" applyBorder="1" applyAlignment="1">
      <alignment horizontal="center"/>
    </xf>
    <xf numFmtId="2" fontId="54" fillId="0" borderId="0" xfId="0" applyNumberFormat="1" applyFont="1"/>
    <xf numFmtId="2" fontId="50" fillId="0" borderId="0" xfId="0" applyNumberFormat="1" applyFont="1"/>
    <xf numFmtId="1" fontId="54" fillId="0" borderId="1" xfId="0" applyNumberFormat="1" applyFont="1" applyBorder="1" applyAlignment="1">
      <alignment horizontal="center"/>
    </xf>
    <xf numFmtId="2" fontId="56" fillId="0" borderId="0" xfId="0" applyNumberFormat="1" applyFont="1"/>
    <xf numFmtId="2" fontId="54" fillId="0" borderId="6" xfId="0" applyNumberFormat="1" applyFont="1" applyBorder="1" applyAlignment="1">
      <alignment horizontal="centerContinuous"/>
    </xf>
    <xf numFmtId="2" fontId="54" fillId="0" borderId="13" xfId="0" applyNumberFormat="1" applyFont="1" applyBorder="1" applyAlignment="1">
      <alignment horizontal="centerContinuous"/>
    </xf>
    <xf numFmtId="166" fontId="54" fillId="0" borderId="1" xfId="2" applyFont="1" applyBorder="1"/>
    <xf numFmtId="2" fontId="54" fillId="0" borderId="3" xfId="0" applyNumberFormat="1" applyFont="1" applyBorder="1" applyAlignment="1">
      <alignment horizontal="center"/>
    </xf>
    <xf numFmtId="166" fontId="54" fillId="0" borderId="3" xfId="2" applyFont="1" applyBorder="1"/>
    <xf numFmtId="166" fontId="50" fillId="0" borderId="2" xfId="2" applyFont="1" applyBorder="1"/>
    <xf numFmtId="166" fontId="54" fillId="0" borderId="0" xfId="2" applyFont="1"/>
    <xf numFmtId="166" fontId="50" fillId="0" borderId="0" xfId="2" applyFont="1"/>
    <xf numFmtId="168" fontId="50" fillId="0" borderId="40" xfId="0" applyNumberFormat="1" applyFont="1" applyBorder="1"/>
    <xf numFmtId="164" fontId="50" fillId="0" borderId="1" xfId="2" applyNumberFormat="1" applyFont="1" applyBorder="1"/>
    <xf numFmtId="0" fontId="39" fillId="0" borderId="1" xfId="0" applyFont="1" applyBorder="1" applyAlignment="1">
      <alignment vertical="center"/>
    </xf>
    <xf numFmtId="10" fontId="39" fillId="5" borderId="1" xfId="0" applyNumberFormat="1" applyFont="1" applyFill="1" applyBorder="1" applyAlignment="1">
      <alignment horizontal="center" vertical="center"/>
    </xf>
    <xf numFmtId="0" fontId="61" fillId="0" borderId="1" xfId="0" applyFont="1" applyBorder="1" applyAlignment="1">
      <alignment horizontal="center" wrapText="1"/>
    </xf>
    <xf numFmtId="0" fontId="61" fillId="0" borderId="13" xfId="0" applyFont="1" applyBorder="1" applyAlignment="1">
      <alignment horizontal="center" wrapText="1"/>
    </xf>
    <xf numFmtId="0" fontId="61" fillId="0" borderId="0" xfId="0" applyFont="1" applyAlignment="1">
      <alignment vertical="center"/>
    </xf>
    <xf numFmtId="0" fontId="41" fillId="0" borderId="1" xfId="0" applyFont="1" applyBorder="1" applyAlignment="1">
      <alignment horizontal="center"/>
    </xf>
    <xf numFmtId="10" fontId="39" fillId="5" borderId="9" xfId="3" applyNumberFormat="1" applyFont="1" applyFill="1" applyBorder="1" applyAlignment="1">
      <alignment horizontal="center"/>
    </xf>
    <xf numFmtId="10" fontId="39" fillId="5" borderId="1" xfId="3" applyNumberFormat="1" applyFont="1" applyFill="1" applyBorder="1" applyAlignment="1">
      <alignment horizontal="center"/>
    </xf>
    <xf numFmtId="2" fontId="39" fillId="5" borderId="1" xfId="0" applyNumberFormat="1" applyFont="1" applyFill="1" applyBorder="1" applyAlignment="1">
      <alignment horizontal="center"/>
    </xf>
    <xf numFmtId="166" fontId="75" fillId="9" borderId="1" xfId="0" applyNumberFormat="1" applyFont="1" applyFill="1" applyBorder="1"/>
    <xf numFmtId="9" fontId="39" fillId="0" borderId="0" xfId="0" applyNumberFormat="1" applyFont="1" applyAlignment="1">
      <alignment horizontal="center"/>
    </xf>
    <xf numFmtId="1" fontId="39" fillId="4" borderId="1" xfId="0" applyNumberFormat="1" applyFont="1" applyFill="1" applyBorder="1" applyAlignment="1">
      <alignment horizontal="center"/>
    </xf>
    <xf numFmtId="166" fontId="19" fillId="0" borderId="0" xfId="0" applyNumberFormat="1" applyFont="1" applyAlignment="1">
      <alignment horizontal="center"/>
    </xf>
    <xf numFmtId="166" fontId="19" fillId="0" borderId="0" xfId="0" applyNumberFormat="1" applyFont="1" applyAlignment="1">
      <alignment horizontal="left"/>
    </xf>
    <xf numFmtId="0" fontId="50" fillId="0" borderId="1" xfId="0" applyFont="1" applyBorder="1"/>
    <xf numFmtId="0" fontId="50" fillId="7" borderId="1" xfId="0" applyFont="1" applyFill="1" applyBorder="1"/>
    <xf numFmtId="10" fontId="50" fillId="0" borderId="1" xfId="0" applyNumberFormat="1" applyFont="1" applyBorder="1"/>
    <xf numFmtId="0" fontId="50" fillId="0" borderId="1" xfId="0" applyFont="1" applyBorder="1" applyAlignment="1">
      <alignment horizontal="center"/>
    </xf>
    <xf numFmtId="0" fontId="50" fillId="7" borderId="1" xfId="0" applyFont="1" applyFill="1" applyBorder="1" applyAlignment="1">
      <alignment horizontal="center"/>
    </xf>
    <xf numFmtId="10" fontId="50" fillId="7" borderId="1" xfId="0" applyNumberFormat="1" applyFont="1" applyFill="1" applyBorder="1"/>
    <xf numFmtId="172" fontId="50" fillId="0" borderId="1" xfId="0" applyNumberFormat="1" applyFont="1" applyBorder="1"/>
    <xf numFmtId="172" fontId="50" fillId="7" borderId="1" xfId="0" applyNumberFormat="1" applyFont="1" applyFill="1" applyBorder="1"/>
    <xf numFmtId="173" fontId="50" fillId="0" borderId="1" xfId="0" applyNumberFormat="1" applyFont="1" applyBorder="1"/>
    <xf numFmtId="166" fontId="50" fillId="7" borderId="1" xfId="0" applyNumberFormat="1" applyFont="1" applyFill="1" applyBorder="1"/>
    <xf numFmtId="179" fontId="50" fillId="0" borderId="1" xfId="0" applyNumberFormat="1" applyFont="1" applyBorder="1"/>
    <xf numFmtId="172" fontId="50" fillId="7" borderId="41" xfId="0" applyNumberFormat="1" applyFont="1" applyFill="1" applyBorder="1"/>
    <xf numFmtId="172" fontId="50" fillId="7" borderId="34" xfId="0" applyNumberFormat="1" applyFont="1" applyFill="1" applyBorder="1"/>
    <xf numFmtId="10" fontId="50" fillId="7" borderId="34" xfId="0" applyNumberFormat="1" applyFont="1" applyFill="1" applyBorder="1"/>
    <xf numFmtId="179" fontId="50" fillId="7" borderId="34" xfId="0" applyNumberFormat="1" applyFont="1" applyFill="1" applyBorder="1"/>
    <xf numFmtId="167" fontId="50" fillId="7" borderId="34" xfId="0" applyNumberFormat="1" applyFont="1" applyFill="1" applyBorder="1"/>
    <xf numFmtId="0" fontId="50" fillId="0" borderId="9" xfId="0" applyFont="1" applyBorder="1"/>
    <xf numFmtId="2" fontId="50" fillId="7" borderId="1" xfId="0" applyNumberFormat="1" applyFont="1" applyFill="1" applyBorder="1"/>
    <xf numFmtId="168" fontId="50" fillId="7" borderId="42" xfId="0" applyNumberFormat="1" applyFont="1" applyFill="1" applyBorder="1"/>
    <xf numFmtId="168" fontId="50" fillId="7" borderId="1" xfId="0" applyNumberFormat="1" applyFont="1" applyFill="1" applyBorder="1"/>
    <xf numFmtId="10" fontId="50" fillId="7" borderId="1" xfId="3" applyNumberFormat="1" applyFont="1" applyFill="1" applyBorder="1"/>
    <xf numFmtId="168" fontId="50" fillId="0" borderId="26" xfId="0" applyNumberFormat="1" applyFont="1" applyBorder="1"/>
    <xf numFmtId="0" fontId="18" fillId="7" borderId="1" xfId="0" applyFont="1" applyFill="1" applyBorder="1" applyAlignment="1">
      <alignment horizontal="center"/>
    </xf>
    <xf numFmtId="0" fontId="0" fillId="0" borderId="0" xfId="0" applyAlignment="1">
      <alignment vertical="center"/>
    </xf>
    <xf numFmtId="3" fontId="0" fillId="0" borderId="0" xfId="0" applyNumberFormat="1"/>
    <xf numFmtId="10" fontId="0" fillId="0" borderId="0" xfId="3" applyNumberFormat="1" applyFont="1"/>
    <xf numFmtId="2" fontId="0" fillId="0" borderId="0" xfId="0" applyNumberFormat="1"/>
    <xf numFmtId="178" fontId="0" fillId="0" borderId="0" xfId="0" applyNumberFormat="1"/>
    <xf numFmtId="0" fontId="0" fillId="0" borderId="51" xfId="0" applyBorder="1"/>
    <xf numFmtId="9" fontId="0" fillId="0" borderId="51" xfId="0" applyNumberFormat="1" applyBorder="1"/>
    <xf numFmtId="10" fontId="59" fillId="7" borderId="13" xfId="0" applyNumberFormat="1" applyFont="1" applyFill="1" applyBorder="1" applyAlignment="1">
      <alignment horizontal="left"/>
    </xf>
    <xf numFmtId="0" fontId="38" fillId="12" borderId="2" xfId="0" applyFont="1" applyFill="1" applyBorder="1" applyAlignment="1">
      <alignment horizontal="center"/>
    </xf>
    <xf numFmtId="166" fontId="39" fillId="8" borderId="1" xfId="0" applyNumberFormat="1" applyFont="1" applyFill="1" applyBorder="1" applyAlignment="1">
      <alignment horizontal="center"/>
    </xf>
    <xf numFmtId="0" fontId="0" fillId="0" borderId="51" xfId="0" applyBorder="1" applyAlignment="1">
      <alignment horizontal="center" wrapText="1"/>
    </xf>
    <xf numFmtId="9" fontId="0" fillId="0" borderId="51" xfId="0" applyNumberFormat="1" applyBorder="1" applyAlignment="1">
      <alignment horizontal="center" wrapText="1"/>
    </xf>
    <xf numFmtId="178" fontId="0" fillId="7" borderId="51" xfId="0" applyNumberFormat="1" applyFill="1" applyBorder="1" applyAlignment="1">
      <alignment horizontal="center"/>
    </xf>
    <xf numFmtId="0" fontId="0" fillId="0" borderId="0" xfId="0" applyAlignment="1">
      <alignment horizontal="center" wrapText="1"/>
    </xf>
    <xf numFmtId="9" fontId="0" fillId="0" borderId="0" xfId="0" applyNumberFormat="1" applyAlignment="1">
      <alignment horizontal="center" wrapText="1"/>
    </xf>
    <xf numFmtId="178" fontId="0" fillId="0" borderId="0" xfId="0" applyNumberFormat="1" applyAlignment="1">
      <alignment horizontal="center"/>
    </xf>
    <xf numFmtId="0" fontId="83" fillId="9" borderId="26" xfId="0" applyFont="1" applyFill="1" applyBorder="1"/>
    <xf numFmtId="0" fontId="83" fillId="9" borderId="27" xfId="0" applyFont="1" applyFill="1" applyBorder="1"/>
    <xf numFmtId="0" fontId="83" fillId="9" borderId="20" xfId="0" applyFont="1" applyFill="1" applyBorder="1"/>
    <xf numFmtId="0" fontId="83" fillId="9" borderId="28" xfId="0" applyFont="1" applyFill="1" applyBorder="1"/>
    <xf numFmtId="0" fontId="83" fillId="9" borderId="0" xfId="0" applyFont="1" applyFill="1"/>
    <xf numFmtId="0" fontId="83" fillId="9" borderId="29" xfId="0" applyFont="1" applyFill="1" applyBorder="1"/>
    <xf numFmtId="2" fontId="39" fillId="0" borderId="1" xfId="0" applyNumberFormat="1" applyFont="1" applyBorder="1" applyAlignment="1">
      <alignment horizontal="center"/>
    </xf>
    <xf numFmtId="0" fontId="41" fillId="0" borderId="3" xfId="0" applyFont="1" applyBorder="1"/>
    <xf numFmtId="166" fontId="68" fillId="10" borderId="13" xfId="0" applyNumberFormat="1" applyFont="1" applyFill="1" applyBorder="1" applyAlignment="1">
      <alignment horizontal="left"/>
    </xf>
    <xf numFmtId="0" fontId="67" fillId="4" borderId="3" xfId="0" applyFont="1" applyFill="1" applyBorder="1" applyAlignment="1">
      <alignment horizontal="center"/>
    </xf>
    <xf numFmtId="0" fontId="86" fillId="0" borderId="38" xfId="0" applyFont="1" applyBorder="1"/>
    <xf numFmtId="0" fontId="86" fillId="0" borderId="25" xfId="0" applyFont="1" applyBorder="1" applyAlignment="1">
      <alignment horizontal="center"/>
    </xf>
    <xf numFmtId="0" fontId="85" fillId="0" borderId="38" xfId="0" applyFont="1" applyBorder="1"/>
    <xf numFmtId="0" fontId="85" fillId="0" borderId="25" xfId="0" applyFont="1" applyBorder="1" applyAlignment="1">
      <alignment horizontal="left"/>
    </xf>
    <xf numFmtId="0" fontId="86" fillId="0" borderId="29" xfId="0" applyFont="1" applyBorder="1"/>
    <xf numFmtId="0" fontId="86" fillId="0" borderId="0" xfId="0" applyFont="1" applyAlignment="1">
      <alignment horizontal="center"/>
    </xf>
    <xf numFmtId="1" fontId="54" fillId="0" borderId="51" xfId="0" applyNumberFormat="1" applyFont="1" applyBorder="1" applyAlignment="1">
      <alignment horizontal="center"/>
    </xf>
    <xf numFmtId="2" fontId="54" fillId="3" borderId="51" xfId="0" applyNumberFormat="1" applyFont="1" applyFill="1" applyBorder="1" applyAlignment="1">
      <alignment horizontal="center"/>
    </xf>
    <xf numFmtId="0" fontId="41" fillId="0" borderId="55" xfId="0" applyFont="1" applyBorder="1"/>
    <xf numFmtId="0" fontId="39" fillId="0" borderId="56" xfId="0" applyFont="1" applyBorder="1"/>
    <xf numFmtId="0" fontId="40" fillId="0" borderId="55" xfId="0" applyFont="1" applyBorder="1"/>
    <xf numFmtId="0" fontId="41" fillId="0" borderId="63" xfId="0" applyFont="1" applyBorder="1" applyAlignment="1">
      <alignment horizontal="center"/>
    </xf>
    <xf numFmtId="0" fontId="39" fillId="0" borderId="55" xfId="0" applyFont="1" applyBorder="1"/>
    <xf numFmtId="10" fontId="39" fillId="5" borderId="64" xfId="3" applyNumberFormat="1" applyFont="1" applyFill="1" applyBorder="1" applyAlignment="1">
      <alignment horizontal="center"/>
    </xf>
    <xf numFmtId="10" fontId="39" fillId="5" borderId="63" xfId="3" applyNumberFormat="1" applyFont="1" applyFill="1" applyBorder="1" applyAlignment="1">
      <alignment horizontal="center"/>
    </xf>
    <xf numFmtId="2" fontId="39" fillId="5" borderId="63" xfId="0" applyNumberFormat="1" applyFont="1" applyFill="1" applyBorder="1" applyAlignment="1">
      <alignment horizontal="center"/>
    </xf>
    <xf numFmtId="2" fontId="39" fillId="0" borderId="56" xfId="0" applyNumberFormat="1" applyFont="1" applyBorder="1" applyAlignment="1">
      <alignment horizontal="center"/>
    </xf>
    <xf numFmtId="0" fontId="0" fillId="0" borderId="56" xfId="0" applyBorder="1"/>
    <xf numFmtId="0" fontId="39" fillId="0" borderId="57" xfId="0" applyFont="1" applyBorder="1"/>
    <xf numFmtId="0" fontId="39" fillId="0" borderId="58" xfId="0" applyFont="1" applyBorder="1"/>
    <xf numFmtId="10" fontId="39" fillId="5" borderId="65" xfId="3" applyNumberFormat="1" applyFont="1" applyFill="1" applyBorder="1" applyAlignment="1">
      <alignment horizontal="center"/>
    </xf>
    <xf numFmtId="10" fontId="39" fillId="5" borderId="66" xfId="3" applyNumberFormat="1" applyFont="1" applyFill="1" applyBorder="1" applyAlignment="1">
      <alignment horizontal="center"/>
    </xf>
    <xf numFmtId="10" fontId="39" fillId="5" borderId="67" xfId="3" applyNumberFormat="1" applyFont="1" applyFill="1" applyBorder="1" applyAlignment="1">
      <alignment horizontal="center"/>
    </xf>
    <xf numFmtId="0" fontId="41" fillId="0" borderId="13" xfId="0" applyFont="1" applyBorder="1" applyAlignment="1">
      <alignment horizontal="center"/>
    </xf>
    <xf numFmtId="10" fontId="39" fillId="5" borderId="13" xfId="0" applyNumberFormat="1" applyFont="1" applyFill="1" applyBorder="1" applyAlignment="1">
      <alignment horizontal="center"/>
    </xf>
    <xf numFmtId="10" fontId="39" fillId="5" borderId="13" xfId="3" applyNumberFormat="1" applyFont="1" applyFill="1" applyBorder="1" applyAlignment="1">
      <alignment horizontal="center"/>
    </xf>
    <xf numFmtId="2" fontId="39" fillId="5" borderId="13" xfId="0" applyNumberFormat="1" applyFont="1" applyFill="1" applyBorder="1" applyAlignment="1">
      <alignment horizontal="center"/>
    </xf>
    <xf numFmtId="2" fontId="39" fillId="0" borderId="13" xfId="0" applyNumberFormat="1" applyFont="1" applyBorder="1" applyAlignment="1">
      <alignment horizontal="center"/>
    </xf>
    <xf numFmtId="0" fontId="83" fillId="9" borderId="68" xfId="0" applyFont="1" applyFill="1" applyBorder="1" applyAlignment="1">
      <alignment horizontal="center"/>
    </xf>
    <xf numFmtId="10" fontId="83" fillId="9" borderId="68" xfId="0" applyNumberFormat="1" applyFont="1" applyFill="1" applyBorder="1" applyAlignment="1">
      <alignment horizontal="center"/>
    </xf>
    <xf numFmtId="2" fontId="83" fillId="9" borderId="68" xfId="0" applyNumberFormat="1" applyFont="1" applyFill="1" applyBorder="1" applyAlignment="1">
      <alignment horizontal="center"/>
    </xf>
    <xf numFmtId="10" fontId="83" fillId="9" borderId="68" xfId="3" applyNumberFormat="1" applyFont="1" applyFill="1" applyBorder="1" applyAlignment="1">
      <alignment horizontal="center"/>
    </xf>
    <xf numFmtId="10" fontId="83" fillId="9" borderId="68" xfId="3" applyNumberFormat="1" applyFont="1" applyFill="1" applyBorder="1"/>
    <xf numFmtId="168" fontId="82" fillId="9" borderId="68" xfId="2" applyNumberFormat="1" applyFont="1" applyFill="1" applyBorder="1"/>
    <xf numFmtId="167" fontId="82" fillId="9" borderId="68" xfId="0" applyNumberFormat="1" applyFont="1" applyFill="1" applyBorder="1"/>
    <xf numFmtId="10" fontId="50" fillId="0" borderId="0" xfId="0" applyNumberFormat="1" applyFont="1"/>
    <xf numFmtId="0" fontId="50" fillId="0" borderId="55" xfId="0" applyFont="1" applyBorder="1"/>
    <xf numFmtId="0" fontId="50" fillId="0" borderId="56" xfId="0" applyFont="1" applyBorder="1"/>
    <xf numFmtId="0" fontId="50" fillId="0" borderId="75" xfId="0" applyFont="1" applyBorder="1"/>
    <xf numFmtId="10" fontId="50" fillId="0" borderId="63" xfId="0" applyNumberFormat="1" applyFont="1" applyBorder="1"/>
    <xf numFmtId="10" fontId="50" fillId="0" borderId="56" xfId="0" applyNumberFormat="1" applyFont="1" applyBorder="1"/>
    <xf numFmtId="166" fontId="50" fillId="7" borderId="76" xfId="0" applyNumberFormat="1" applyFont="1" applyFill="1" applyBorder="1"/>
    <xf numFmtId="0" fontId="50" fillId="0" borderId="56" xfId="0" applyFont="1" applyBorder="1" applyAlignment="1">
      <alignment horizontal="center"/>
    </xf>
    <xf numFmtId="0" fontId="50" fillId="7" borderId="75" xfId="0" applyFont="1" applyFill="1" applyBorder="1"/>
    <xf numFmtId="10" fontId="50" fillId="7" borderId="75" xfId="0" applyNumberFormat="1" applyFont="1" applyFill="1" applyBorder="1"/>
    <xf numFmtId="167" fontId="50" fillId="7" borderId="75" xfId="0" applyNumberFormat="1" applyFont="1" applyFill="1" applyBorder="1"/>
    <xf numFmtId="0" fontId="50" fillId="7" borderId="77" xfId="0" applyFont="1" applyFill="1" applyBorder="1"/>
    <xf numFmtId="0" fontId="50" fillId="0" borderId="77" xfId="0" applyFont="1" applyBorder="1"/>
    <xf numFmtId="0" fontId="50" fillId="0" borderId="57" xfId="0" applyFont="1" applyBorder="1"/>
    <xf numFmtId="0" fontId="50" fillId="0" borderId="58" xfId="0" applyFont="1" applyBorder="1"/>
    <xf numFmtId="0" fontId="50" fillId="0" borderId="59" xfId="0" applyFont="1" applyBorder="1"/>
    <xf numFmtId="0" fontId="87" fillId="9" borderId="68" xfId="0" applyFont="1" applyFill="1" applyBorder="1"/>
    <xf numFmtId="166" fontId="87" fillId="9" borderId="68" xfId="0" applyNumberFormat="1" applyFont="1" applyFill="1" applyBorder="1" applyAlignment="1">
      <alignment horizontal="center"/>
    </xf>
    <xf numFmtId="10" fontId="87" fillId="9" borderId="68" xfId="0" applyNumberFormat="1" applyFont="1" applyFill="1" applyBorder="1" applyAlignment="1">
      <alignment horizontal="center"/>
    </xf>
    <xf numFmtId="2" fontId="87" fillId="9" borderId="68" xfId="0" applyNumberFormat="1" applyFont="1" applyFill="1" applyBorder="1" applyAlignment="1">
      <alignment horizontal="center"/>
    </xf>
    <xf numFmtId="168" fontId="8" fillId="0" borderId="3" xfId="0" applyNumberFormat="1" applyFont="1" applyBorder="1" applyAlignment="1">
      <alignment horizontal="center"/>
    </xf>
    <xf numFmtId="10" fontId="8" fillId="0" borderId="3" xfId="3" applyNumberFormat="1" applyFont="1" applyBorder="1" applyAlignment="1">
      <alignment horizontal="center"/>
    </xf>
    <xf numFmtId="168" fontId="8" fillId="0" borderId="9" xfId="0" applyNumberFormat="1" applyFont="1" applyBorder="1" applyAlignment="1">
      <alignment horizontal="center"/>
    </xf>
    <xf numFmtId="10" fontId="8" fillId="0" borderId="9" xfId="0" applyNumberFormat="1" applyFont="1" applyBorder="1" applyAlignment="1">
      <alignment horizontal="center"/>
    </xf>
    <xf numFmtId="168" fontId="87" fillId="9" borderId="68" xfId="0" applyNumberFormat="1" applyFont="1" applyFill="1" applyBorder="1" applyAlignment="1">
      <alignment horizontal="center"/>
    </xf>
    <xf numFmtId="10" fontId="87" fillId="9" borderId="68" xfId="3" applyNumberFormat="1" applyFont="1" applyFill="1" applyBorder="1" applyAlignment="1">
      <alignment horizontal="center"/>
    </xf>
    <xf numFmtId="0" fontId="49" fillId="6" borderId="48" xfId="0" applyFont="1" applyFill="1" applyBorder="1" applyAlignment="1">
      <alignment horizontal="center" vertical="center" wrapText="1"/>
    </xf>
    <xf numFmtId="0" fontId="49" fillId="6" borderId="78" xfId="0" applyFont="1" applyFill="1" applyBorder="1" applyAlignment="1">
      <alignment horizontal="center" vertical="center" wrapText="1"/>
    </xf>
    <xf numFmtId="0" fontId="88" fillId="9" borderId="68" xfId="0" applyFont="1" applyFill="1" applyBorder="1" applyAlignment="1">
      <alignment horizontal="left" vertical="top" wrapText="1"/>
    </xf>
    <xf numFmtId="9" fontId="88" fillId="9" borderId="68" xfId="3" applyFont="1" applyFill="1" applyBorder="1" applyAlignment="1">
      <alignment horizontal="left" vertical="top" wrapText="1"/>
    </xf>
    <xf numFmtId="10" fontId="88" fillId="9" borderId="68" xfId="3" applyNumberFormat="1" applyFont="1" applyFill="1" applyBorder="1" applyAlignment="1">
      <alignment horizontal="left" vertical="top" wrapText="1"/>
    </xf>
    <xf numFmtId="10" fontId="0" fillId="0" borderId="1" xfId="0" applyNumberFormat="1" applyBorder="1" applyAlignment="1">
      <alignment horizontal="center"/>
    </xf>
    <xf numFmtId="179" fontId="91" fillId="7" borderId="1" xfId="0" applyNumberFormat="1" applyFont="1" applyFill="1" applyBorder="1" applyAlignment="1">
      <alignment horizontal="center" wrapText="1"/>
    </xf>
    <xf numFmtId="0" fontId="92" fillId="0" borderId="0" xfId="0" applyFont="1"/>
    <xf numFmtId="0" fontId="91" fillId="0" borderId="0" xfId="0" applyFont="1"/>
    <xf numFmtId="179" fontId="92" fillId="0" borderId="1" xfId="0" applyNumberFormat="1" applyFont="1" applyBorder="1" applyAlignment="1">
      <alignment horizontal="center"/>
    </xf>
    <xf numFmtId="0" fontId="32" fillId="0" borderId="1" xfId="0" applyFont="1" applyBorder="1"/>
    <xf numFmtId="0" fontId="32" fillId="0" borderId="1" xfId="0" applyFont="1" applyBorder="1" applyAlignment="1">
      <alignment horizontal="center"/>
    </xf>
    <xf numFmtId="179" fontId="0" fillId="0" borderId="1" xfId="0" applyNumberFormat="1" applyBorder="1" applyAlignment="1">
      <alignment horizontal="center"/>
    </xf>
    <xf numFmtId="0" fontId="85" fillId="0" borderId="1" xfId="0" applyFont="1" applyBorder="1" applyAlignment="1">
      <alignment wrapText="1"/>
    </xf>
    <xf numFmtId="0" fontId="85" fillId="0" borderId="1" xfId="0" applyFont="1" applyBorder="1" applyAlignment="1">
      <alignment horizontal="center" wrapText="1"/>
    </xf>
    <xf numFmtId="10" fontId="85" fillId="0" borderId="1" xfId="0" applyNumberFormat="1" applyFont="1" applyBorder="1" applyAlignment="1">
      <alignment horizontal="center" wrapText="1"/>
    </xf>
    <xf numFmtId="2" fontId="85" fillId="0" borderId="1" xfId="0" applyNumberFormat="1" applyFont="1" applyBorder="1" applyAlignment="1">
      <alignment horizontal="center" wrapText="1"/>
    </xf>
    <xf numFmtId="10" fontId="0" fillId="0" borderId="0" xfId="0" applyNumberFormat="1" applyAlignment="1">
      <alignment horizontal="center"/>
    </xf>
    <xf numFmtId="10" fontId="93" fillId="0" borderId="0" xfId="0" applyNumberFormat="1" applyFont="1" applyAlignment="1">
      <alignment horizontal="center"/>
    </xf>
    <xf numFmtId="10" fontId="19" fillId="0" borderId="6" xfId="0" applyNumberFormat="1" applyFont="1" applyBorder="1" applyAlignment="1">
      <alignment horizontal="center"/>
    </xf>
    <xf numFmtId="0" fontId="31" fillId="0" borderId="0" xfId="0" applyFont="1" applyAlignment="1">
      <alignment horizontal="center"/>
    </xf>
    <xf numFmtId="10" fontId="1" fillId="0" borderId="1" xfId="3" applyNumberFormat="1" applyFont="1" applyBorder="1" applyAlignment="1">
      <alignment horizontal="center"/>
    </xf>
    <xf numFmtId="0" fontId="94" fillId="0" borderId="1" xfId="0" applyFont="1" applyBorder="1"/>
    <xf numFmtId="0" fontId="59" fillId="0" borderId="1" xfId="0" applyFont="1" applyBorder="1"/>
    <xf numFmtId="0" fontId="1" fillId="0" borderId="1" xfId="0" applyFont="1" applyBorder="1"/>
    <xf numFmtId="0" fontId="59" fillId="7" borderId="1" xfId="0" applyFont="1" applyFill="1" applyBorder="1" applyAlignment="1">
      <alignment horizontal="center"/>
    </xf>
    <xf numFmtId="0" fontId="94" fillId="7" borderId="1" xfId="0" applyFont="1" applyFill="1" applyBorder="1" applyAlignment="1">
      <alignment horizontal="center"/>
    </xf>
    <xf numFmtId="0" fontId="1" fillId="0" borderId="1" xfId="0" applyFont="1" applyBorder="1" applyAlignment="1">
      <alignment horizontal="left"/>
    </xf>
    <xf numFmtId="0" fontId="95" fillId="0" borderId="1" xfId="0" applyFont="1" applyBorder="1" applyAlignment="1">
      <alignment horizontal="center"/>
    </xf>
    <xf numFmtId="10" fontId="95" fillId="0" borderId="1" xfId="0" applyNumberFormat="1" applyFont="1" applyBorder="1" applyAlignment="1">
      <alignment horizontal="center"/>
    </xf>
    <xf numFmtId="180" fontId="39" fillId="4" borderId="1" xfId="2" applyNumberFormat="1" applyFont="1" applyFill="1" applyBorder="1" applyAlignment="1">
      <alignment horizontal="center"/>
    </xf>
    <xf numFmtId="180" fontId="39" fillId="4" borderId="9" xfId="2" applyNumberFormat="1" applyFont="1" applyFill="1" applyBorder="1" applyAlignment="1">
      <alignment horizontal="center"/>
    </xf>
    <xf numFmtId="180" fontId="39" fillId="4" borderId="6" xfId="2" applyNumberFormat="1" applyFont="1" applyFill="1" applyBorder="1" applyAlignment="1">
      <alignment horizontal="center"/>
    </xf>
    <xf numFmtId="181" fontId="39" fillId="4" borderId="1" xfId="0" applyNumberFormat="1" applyFont="1" applyFill="1" applyBorder="1" applyAlignment="1">
      <alignment horizontal="center"/>
    </xf>
    <xf numFmtId="181" fontId="37" fillId="4" borderId="1" xfId="0" applyNumberFormat="1" applyFont="1" applyFill="1" applyBorder="1" applyAlignment="1">
      <alignment horizontal="center"/>
    </xf>
    <xf numFmtId="182" fontId="39" fillId="5" borderId="1" xfId="0" applyNumberFormat="1" applyFont="1" applyFill="1" applyBorder="1"/>
    <xf numFmtId="180" fontId="19" fillId="5" borderId="1" xfId="2" applyNumberFormat="1" applyFont="1" applyFill="1" applyBorder="1"/>
    <xf numFmtId="180" fontId="19" fillId="5" borderId="1" xfId="2" applyNumberFormat="1" applyFont="1" applyFill="1" applyBorder="1" applyAlignment="1">
      <alignment horizontal="center"/>
    </xf>
    <xf numFmtId="180" fontId="74" fillId="9" borderId="1" xfId="2" applyNumberFormat="1" applyFont="1" applyFill="1" applyBorder="1" applyAlignment="1">
      <alignment horizontal="center"/>
    </xf>
    <xf numFmtId="180" fontId="19" fillId="5" borderId="1" xfId="0" applyNumberFormat="1" applyFont="1" applyFill="1" applyBorder="1" applyAlignment="1">
      <alignment horizontal="center"/>
    </xf>
    <xf numFmtId="0" fontId="62" fillId="0" borderId="6" xfId="0" applyFont="1" applyBorder="1" applyAlignment="1">
      <alignment horizontal="center"/>
    </xf>
    <xf numFmtId="0" fontId="62" fillId="0" borderId="5" xfId="0" applyFont="1" applyBorder="1" applyAlignment="1">
      <alignment horizontal="center"/>
    </xf>
    <xf numFmtId="0" fontId="62" fillId="0" borderId="13" xfId="0" applyFont="1" applyBorder="1" applyAlignment="1">
      <alignment horizontal="center"/>
    </xf>
    <xf numFmtId="0" fontId="59" fillId="0" borderId="35" xfId="0" applyFont="1" applyBorder="1" applyAlignment="1">
      <alignment horizontal="left"/>
    </xf>
    <xf numFmtId="0" fontId="59" fillId="0" borderId="5" xfId="0" applyFont="1" applyBorder="1" applyAlignment="1">
      <alignment horizontal="left"/>
    </xf>
    <xf numFmtId="0" fontId="59" fillId="0" borderId="45" xfId="0" applyFont="1" applyBorder="1" applyAlignment="1">
      <alignment horizontal="left"/>
    </xf>
    <xf numFmtId="0" fontId="59" fillId="0" borderId="46" xfId="0" applyFont="1" applyBorder="1" applyAlignment="1">
      <alignment horizontal="left"/>
    </xf>
    <xf numFmtId="0" fontId="65" fillId="7" borderId="26" xfId="0" applyFont="1" applyFill="1" applyBorder="1" applyAlignment="1">
      <alignment horizontal="left" vertical="top" wrapText="1"/>
    </xf>
    <xf numFmtId="0" fontId="65" fillId="7" borderId="27" xfId="0" applyFont="1" applyFill="1" applyBorder="1" applyAlignment="1">
      <alignment horizontal="left" vertical="top" wrapText="1"/>
    </xf>
    <xf numFmtId="0" fontId="65" fillId="7" borderId="20" xfId="0" applyFont="1" applyFill="1" applyBorder="1" applyAlignment="1">
      <alignment horizontal="left" vertical="top" wrapText="1"/>
    </xf>
    <xf numFmtId="0" fontId="65" fillId="7" borderId="28" xfId="0" applyFont="1" applyFill="1" applyBorder="1" applyAlignment="1">
      <alignment horizontal="left" vertical="top" wrapText="1"/>
    </xf>
    <xf numFmtId="0" fontId="65" fillId="7" borderId="0" xfId="0" applyFont="1" applyFill="1" applyAlignment="1">
      <alignment horizontal="left" vertical="top" wrapText="1"/>
    </xf>
    <xf numFmtId="0" fontId="65" fillId="7" borderId="29" xfId="0" applyFont="1" applyFill="1" applyBorder="1" applyAlignment="1">
      <alignment horizontal="left" vertical="top" wrapText="1"/>
    </xf>
    <xf numFmtId="0" fontId="65" fillId="7" borderId="47" xfId="0" applyFont="1" applyFill="1" applyBorder="1" applyAlignment="1">
      <alignment horizontal="left" vertical="top" wrapText="1"/>
    </xf>
    <xf numFmtId="0" fontId="65" fillId="7" borderId="25" xfId="0" applyFont="1" applyFill="1" applyBorder="1" applyAlignment="1">
      <alignment horizontal="left" vertical="top" wrapText="1"/>
    </xf>
    <xf numFmtId="0" fontId="65" fillId="7" borderId="38" xfId="0" applyFont="1" applyFill="1" applyBorder="1" applyAlignment="1">
      <alignment horizontal="left" vertical="top" wrapText="1"/>
    </xf>
    <xf numFmtId="0" fontId="76" fillId="0" borderId="26" xfId="0" applyFont="1" applyBorder="1" applyAlignment="1">
      <alignment horizontal="left" wrapText="1"/>
    </xf>
    <xf numFmtId="0" fontId="77" fillId="0" borderId="27" xfId="0" applyFont="1" applyBorder="1" applyAlignment="1">
      <alignment horizontal="left" wrapText="1"/>
    </xf>
    <xf numFmtId="0" fontId="77" fillId="0" borderId="20" xfId="0" applyFont="1" applyBorder="1" applyAlignment="1">
      <alignment horizontal="left" wrapText="1"/>
    </xf>
    <xf numFmtId="0" fontId="77" fillId="0" borderId="28" xfId="0" applyFont="1" applyBorder="1" applyAlignment="1">
      <alignment horizontal="left" wrapText="1"/>
    </xf>
    <xf numFmtId="0" fontId="77" fillId="0" borderId="0" xfId="0" applyFont="1" applyAlignment="1">
      <alignment horizontal="left" wrapText="1"/>
    </xf>
    <xf numFmtId="0" fontId="77" fillId="0" borderId="29" xfId="0" applyFont="1" applyBorder="1" applyAlignment="1">
      <alignment horizontal="left" wrapText="1"/>
    </xf>
    <xf numFmtId="0" fontId="77" fillId="0" borderId="47" xfId="0" applyFont="1" applyBorder="1" applyAlignment="1">
      <alignment horizontal="left" wrapText="1"/>
    </xf>
    <xf numFmtId="0" fontId="77" fillId="0" borderId="25" xfId="0" applyFont="1" applyBorder="1" applyAlignment="1">
      <alignment horizontal="left" wrapText="1"/>
    </xf>
    <xf numFmtId="0" fontId="77" fillId="0" borderId="38" xfId="0" applyFont="1" applyBorder="1" applyAlignment="1">
      <alignment horizontal="left" wrapText="1"/>
    </xf>
    <xf numFmtId="0" fontId="66" fillId="0" borderId="26" xfId="0" applyFont="1" applyBorder="1" applyAlignment="1">
      <alignment horizontal="left" vertical="center" wrapText="1"/>
    </xf>
    <xf numFmtId="0" fontId="66" fillId="0" borderId="27" xfId="0" applyFont="1" applyBorder="1" applyAlignment="1">
      <alignment horizontal="left" vertical="center" wrapText="1"/>
    </xf>
    <xf numFmtId="0" fontId="66" fillId="0" borderId="20" xfId="0" applyFont="1" applyBorder="1" applyAlignment="1">
      <alignment horizontal="left" vertical="center" wrapText="1"/>
    </xf>
    <xf numFmtId="0" fontId="66" fillId="0" borderId="28" xfId="0" applyFont="1" applyBorder="1" applyAlignment="1">
      <alignment horizontal="left" vertical="center" wrapText="1"/>
    </xf>
    <xf numFmtId="0" fontId="66" fillId="0" borderId="0" xfId="0" applyFont="1" applyAlignment="1">
      <alignment horizontal="left" vertical="center" wrapText="1"/>
    </xf>
    <xf numFmtId="0" fontId="66" fillId="0" borderId="29" xfId="0" applyFont="1" applyBorder="1" applyAlignment="1">
      <alignment horizontal="left" vertical="center" wrapText="1"/>
    </xf>
    <xf numFmtId="0" fontId="66" fillId="0" borderId="47" xfId="0" applyFont="1" applyBorder="1" applyAlignment="1">
      <alignment horizontal="left" vertical="center" wrapText="1"/>
    </xf>
    <xf numFmtId="0" fontId="66" fillId="0" borderId="25" xfId="0" applyFont="1" applyBorder="1" applyAlignment="1">
      <alignment horizontal="left" vertical="center" wrapText="1"/>
    </xf>
    <xf numFmtId="0" fontId="66" fillId="0" borderId="38" xfId="0" applyFont="1" applyBorder="1" applyAlignment="1">
      <alignment horizontal="left" vertical="center" wrapText="1"/>
    </xf>
    <xf numFmtId="0" fontId="78" fillId="0" borderId="26" xfId="0" applyFont="1" applyBorder="1" applyAlignment="1">
      <alignment horizontal="left" vertical="center" wrapText="1"/>
    </xf>
    <xf numFmtId="0" fontId="59" fillId="0" borderId="27" xfId="0" applyFont="1" applyBorder="1" applyAlignment="1">
      <alignment horizontal="left" vertical="center" wrapText="1"/>
    </xf>
    <xf numFmtId="0" fontId="59" fillId="0" borderId="20" xfId="0" applyFont="1" applyBorder="1" applyAlignment="1">
      <alignment horizontal="left" vertical="center" wrapText="1"/>
    </xf>
    <xf numFmtId="0" fontId="59" fillId="0" borderId="28" xfId="0" applyFont="1" applyBorder="1" applyAlignment="1">
      <alignment horizontal="left" vertical="center" wrapText="1"/>
    </xf>
    <xf numFmtId="0" fontId="59" fillId="0" borderId="0" xfId="0" applyFont="1" applyAlignment="1">
      <alignment horizontal="left" vertical="center" wrapText="1"/>
    </xf>
    <xf numFmtId="0" fontId="59" fillId="0" borderId="29" xfId="0" applyFont="1" applyBorder="1" applyAlignment="1">
      <alignment horizontal="left" vertical="center" wrapText="1"/>
    </xf>
    <xf numFmtId="0" fontId="59" fillId="0" borderId="47" xfId="0" applyFont="1" applyBorder="1" applyAlignment="1">
      <alignment horizontal="left" vertical="center" wrapText="1"/>
    </xf>
    <xf numFmtId="0" fontId="59" fillId="0" borderId="25" xfId="0" applyFont="1" applyBorder="1" applyAlignment="1">
      <alignment horizontal="left" vertical="center" wrapText="1"/>
    </xf>
    <xf numFmtId="0" fontId="59" fillId="0" borderId="38" xfId="0" applyFont="1" applyBorder="1" applyAlignment="1">
      <alignment horizontal="left" vertical="center" wrapText="1"/>
    </xf>
    <xf numFmtId="0" fontId="66" fillId="0" borderId="30" xfId="0" applyFont="1" applyBorder="1" applyAlignment="1">
      <alignment horizontal="left" vertical="center" wrapText="1"/>
    </xf>
    <xf numFmtId="172" fontId="59" fillId="7" borderId="5" xfId="2" applyNumberFormat="1" applyFont="1" applyFill="1" applyBorder="1" applyAlignment="1">
      <alignment horizontal="right"/>
    </xf>
    <xf numFmtId="10" fontId="59" fillId="7" borderId="6" xfId="3" applyNumberFormat="1" applyFont="1" applyFill="1" applyBorder="1" applyAlignment="1">
      <alignment horizontal="center"/>
    </xf>
    <xf numFmtId="10" fontId="59" fillId="7" borderId="13" xfId="3" applyNumberFormat="1" applyFont="1" applyFill="1" applyBorder="1" applyAlignment="1">
      <alignment horizontal="center"/>
    </xf>
    <xf numFmtId="0" fontId="79" fillId="7" borderId="1" xfId="0" applyFont="1" applyFill="1" applyBorder="1" applyAlignment="1">
      <alignment horizontal="center"/>
    </xf>
    <xf numFmtId="0" fontId="79" fillId="0" borderId="6" xfId="0" applyFont="1" applyBorder="1" applyAlignment="1">
      <alignment horizontal="center"/>
    </xf>
    <xf numFmtId="0" fontId="79" fillId="0" borderId="5" xfId="0" applyFont="1" applyBorder="1" applyAlignment="1">
      <alignment horizontal="center"/>
    </xf>
    <xf numFmtId="0" fontId="79" fillId="0" borderId="13" xfId="0" applyFont="1" applyBorder="1" applyAlignment="1">
      <alignment horizontal="center"/>
    </xf>
    <xf numFmtId="0" fontId="79" fillId="0" borderId="48" xfId="0" applyFont="1" applyBorder="1" applyAlignment="1">
      <alignment horizontal="center"/>
    </xf>
    <xf numFmtId="0" fontId="59" fillId="0" borderId="14" xfId="0" applyFont="1" applyBorder="1" applyAlignment="1">
      <alignment horizontal="left"/>
    </xf>
    <xf numFmtId="0" fontId="59" fillId="0" borderId="15" xfId="0" applyFont="1" applyBorder="1" applyAlignment="1">
      <alignment horizontal="left"/>
    </xf>
    <xf numFmtId="0" fontId="59" fillId="0" borderId="21" xfId="0" applyFont="1" applyBorder="1" applyAlignment="1">
      <alignment horizontal="left"/>
    </xf>
    <xf numFmtId="0" fontId="59" fillId="0" borderId="44" xfId="0" applyFont="1" applyBorder="1" applyAlignment="1">
      <alignment horizontal="right"/>
    </xf>
    <xf numFmtId="0" fontId="59" fillId="0" borderId="12" xfId="0" applyFont="1" applyBorder="1" applyAlignment="1">
      <alignment horizontal="left"/>
    </xf>
    <xf numFmtId="0" fontId="59" fillId="0" borderId="1" xfId="0" applyFont="1" applyBorder="1" applyAlignment="1">
      <alignment horizontal="left"/>
    </xf>
    <xf numFmtId="0" fontId="59" fillId="0" borderId="6" xfId="0" applyFont="1" applyBorder="1" applyAlignment="1">
      <alignment horizontal="left"/>
    </xf>
    <xf numFmtId="0" fontId="42" fillId="0" borderId="0" xfId="0" applyFont="1"/>
    <xf numFmtId="0" fontId="40" fillId="7" borderId="60" xfId="0" applyFont="1" applyFill="1" applyBorder="1" applyAlignment="1">
      <alignment horizontal="center"/>
    </xf>
    <xf numFmtId="0" fontId="40" fillId="7" borderId="61" xfId="0" applyFont="1" applyFill="1" applyBorder="1" applyAlignment="1">
      <alignment horizontal="center"/>
    </xf>
    <xf numFmtId="0" fontId="40" fillId="7" borderId="62" xfId="0" applyFont="1" applyFill="1" applyBorder="1" applyAlignment="1">
      <alignment horizontal="center"/>
    </xf>
    <xf numFmtId="0" fontId="40" fillId="0" borderId="7" xfId="0" applyFont="1" applyBorder="1" applyAlignment="1">
      <alignment horizontal="left"/>
    </xf>
    <xf numFmtId="0" fontId="40" fillId="0" borderId="16" xfId="0" applyFont="1" applyBorder="1" applyAlignment="1">
      <alignment horizontal="left"/>
    </xf>
    <xf numFmtId="0" fontId="40" fillId="0" borderId="17" xfId="0" applyFont="1" applyBorder="1" applyAlignment="1">
      <alignment horizontal="left"/>
    </xf>
    <xf numFmtId="0" fontId="68" fillId="0" borderId="28" xfId="0" applyFont="1" applyBorder="1" applyAlignment="1">
      <alignment horizontal="center" wrapText="1"/>
    </xf>
    <xf numFmtId="0" fontId="68" fillId="0" borderId="18" xfId="0" applyFont="1" applyBorder="1" applyAlignment="1">
      <alignment horizontal="center" wrapText="1"/>
    </xf>
    <xf numFmtId="0" fontId="41" fillId="0" borderId="1" xfId="0" applyFont="1" applyBorder="1" applyAlignment="1">
      <alignment horizontal="center"/>
    </xf>
    <xf numFmtId="0" fontId="41" fillId="0" borderId="63" xfId="0" applyFont="1" applyBorder="1" applyAlignment="1">
      <alignment horizontal="center"/>
    </xf>
    <xf numFmtId="0" fontId="40" fillId="0" borderId="52" xfId="0" applyFont="1" applyBorder="1" applyAlignment="1">
      <alignment horizontal="center"/>
    </xf>
    <xf numFmtId="0" fontId="40" fillId="0" borderId="53" xfId="0" applyFont="1" applyBorder="1" applyAlignment="1">
      <alignment horizontal="center"/>
    </xf>
    <xf numFmtId="0" fontId="40" fillId="0" borderId="54" xfId="0" applyFont="1" applyBorder="1" applyAlignment="1">
      <alignment horizontal="center"/>
    </xf>
    <xf numFmtId="2" fontId="39" fillId="4" borderId="51" xfId="0" applyNumberFormat="1" applyFont="1" applyFill="1" applyBorder="1" applyAlignment="1">
      <alignment horizontal="center" vertical="center"/>
    </xf>
    <xf numFmtId="0" fontId="90" fillId="7" borderId="7" xfId="4" applyFont="1" applyFill="1" applyBorder="1" applyAlignment="1">
      <alignment horizontal="left" vertical="top" wrapText="1"/>
    </xf>
    <xf numFmtId="0" fontId="90" fillId="7" borderId="16" xfId="4" applyFont="1" applyFill="1" applyBorder="1" applyAlignment="1">
      <alignment horizontal="left" vertical="top" wrapText="1"/>
    </xf>
    <xf numFmtId="0" fontId="90" fillId="7" borderId="17" xfId="4" applyFont="1" applyFill="1" applyBorder="1" applyAlignment="1">
      <alignment horizontal="left" vertical="top" wrapText="1"/>
    </xf>
    <xf numFmtId="0" fontId="90" fillId="7" borderId="30" xfId="4" applyFont="1" applyFill="1" applyBorder="1" applyAlignment="1">
      <alignment horizontal="left" vertical="top" wrapText="1"/>
    </xf>
    <xf numFmtId="0" fontId="90" fillId="7" borderId="0" xfId="4" applyFont="1" applyFill="1" applyBorder="1" applyAlignment="1">
      <alignment horizontal="left" vertical="top" wrapText="1"/>
    </xf>
    <xf numFmtId="0" fontId="90" fillId="7" borderId="18" xfId="4" applyFont="1" applyFill="1" applyBorder="1" applyAlignment="1">
      <alignment horizontal="left" vertical="top" wrapText="1"/>
    </xf>
    <xf numFmtId="0" fontId="90" fillId="7" borderId="39" xfId="4" applyFont="1" applyFill="1" applyBorder="1" applyAlignment="1">
      <alignment horizontal="left" vertical="top" wrapText="1"/>
    </xf>
    <xf numFmtId="0" fontId="90" fillId="7" borderId="31" xfId="4" applyFont="1" applyFill="1" applyBorder="1" applyAlignment="1">
      <alignment horizontal="left" vertical="top" wrapText="1"/>
    </xf>
    <xf numFmtId="0" fontId="90" fillId="7" borderId="32" xfId="4" applyFont="1" applyFill="1" applyBorder="1" applyAlignment="1">
      <alignment horizontal="left" vertical="top" wrapText="1"/>
    </xf>
    <xf numFmtId="0" fontId="74" fillId="9" borderId="0" xfId="0" applyFont="1" applyFill="1" applyAlignment="1">
      <alignment horizontal="left" vertical="top" wrapText="1"/>
    </xf>
    <xf numFmtId="17" fontId="48" fillId="0" borderId="72" xfId="0" applyNumberFormat="1" applyFont="1" applyBorder="1" applyAlignment="1">
      <alignment horizontal="center"/>
    </xf>
    <xf numFmtId="0" fontId="48" fillId="0" borderId="73" xfId="0" applyFont="1" applyBorder="1" applyAlignment="1">
      <alignment horizontal="center"/>
    </xf>
    <xf numFmtId="0" fontId="50" fillId="7" borderId="26" xfId="0" applyFont="1" applyFill="1" applyBorder="1" applyAlignment="1">
      <alignment horizontal="left" vertical="top" wrapText="1"/>
    </xf>
    <xf numFmtId="0" fontId="50" fillId="7" borderId="20" xfId="0" applyFont="1" applyFill="1" applyBorder="1" applyAlignment="1">
      <alignment horizontal="left" vertical="top" wrapText="1"/>
    </xf>
    <xf numFmtId="0" fontId="50" fillId="7" borderId="28" xfId="0" applyFont="1" applyFill="1" applyBorder="1" applyAlignment="1">
      <alignment horizontal="left" vertical="top" wrapText="1"/>
    </xf>
    <xf numFmtId="0" fontId="50" fillId="7" borderId="29" xfId="0" applyFont="1" applyFill="1" applyBorder="1" applyAlignment="1">
      <alignment horizontal="left" vertical="top" wrapText="1"/>
    </xf>
    <xf numFmtId="0" fontId="50" fillId="7" borderId="47" xfId="0" applyFont="1" applyFill="1" applyBorder="1" applyAlignment="1">
      <alignment horizontal="left" vertical="top" wrapText="1"/>
    </xf>
    <xf numFmtId="0" fontId="50" fillId="7" borderId="38" xfId="0" applyFont="1" applyFill="1" applyBorder="1" applyAlignment="1">
      <alignment horizontal="left" vertical="top" wrapText="1"/>
    </xf>
    <xf numFmtId="0" fontId="45" fillId="0" borderId="69" xfId="0" applyFont="1" applyBorder="1" applyAlignment="1">
      <alignment horizontal="center"/>
    </xf>
    <xf numFmtId="0" fontId="45" fillId="0" borderId="70" xfId="0" applyFont="1" applyBorder="1" applyAlignment="1">
      <alignment horizontal="center"/>
    </xf>
    <xf numFmtId="0" fontId="45" fillId="0" borderId="71" xfId="0" applyFont="1" applyBorder="1" applyAlignment="1">
      <alignment horizontal="center"/>
    </xf>
    <xf numFmtId="0" fontId="55" fillId="0" borderId="1" xfId="0" applyFont="1" applyBorder="1" applyAlignment="1">
      <alignment horizontal="center"/>
    </xf>
    <xf numFmtId="0" fontId="55" fillId="0" borderId="63" xfId="0" applyFont="1" applyBorder="1" applyAlignment="1">
      <alignment horizontal="center"/>
    </xf>
    <xf numFmtId="0" fontId="48" fillId="0" borderId="7" xfId="0" applyFont="1" applyBorder="1" applyAlignment="1">
      <alignment horizontal="center"/>
    </xf>
    <xf numFmtId="0" fontId="48" fillId="0" borderId="17" xfId="0" applyFont="1" applyBorder="1" applyAlignment="1">
      <alignment horizontal="center"/>
    </xf>
    <xf numFmtId="0" fontId="48" fillId="0" borderId="16" xfId="0" applyFont="1" applyBorder="1" applyAlignment="1">
      <alignment horizontal="center"/>
    </xf>
    <xf numFmtId="0" fontId="50" fillId="7" borderId="1" xfId="0" applyFont="1" applyFill="1" applyBorder="1" applyAlignment="1">
      <alignment horizontal="left" vertical="top" wrapText="1"/>
    </xf>
    <xf numFmtId="0" fontId="50" fillId="7" borderId="65" xfId="0" applyFont="1" applyFill="1" applyBorder="1" applyAlignment="1">
      <alignment horizontal="left" vertical="top" wrapText="1"/>
    </xf>
    <xf numFmtId="0" fontId="48" fillId="0" borderId="74" xfId="0" applyFont="1" applyBorder="1" applyAlignment="1">
      <alignment horizontal="center"/>
    </xf>
    <xf numFmtId="0" fontId="48" fillId="0" borderId="49" xfId="0" applyFont="1" applyBorder="1" applyAlignment="1">
      <alignment horizontal="center"/>
    </xf>
    <xf numFmtId="0" fontId="48" fillId="0" borderId="50" xfId="0" applyFont="1" applyBorder="1" applyAlignment="1">
      <alignment horizontal="center"/>
    </xf>
    <xf numFmtId="10" fontId="80" fillId="0" borderId="43" xfId="0" applyNumberFormat="1" applyFont="1" applyBorder="1" applyAlignment="1">
      <alignment horizontal="center"/>
    </xf>
    <xf numFmtId="10" fontId="80" fillId="0" borderId="22" xfId="0" applyNumberFormat="1" applyFont="1" applyBorder="1" applyAlignment="1">
      <alignment horizontal="center"/>
    </xf>
    <xf numFmtId="0" fontId="46" fillId="0" borderId="16" xfId="0" applyFont="1" applyBorder="1" applyAlignment="1">
      <alignment horizontal="center"/>
    </xf>
    <xf numFmtId="0" fontId="46" fillId="0" borderId="17" xfId="0" applyFont="1" applyBorder="1" applyAlignment="1">
      <alignment horizontal="center"/>
    </xf>
    <xf numFmtId="0" fontId="52" fillId="7" borderId="30" xfId="0" applyFont="1" applyFill="1" applyBorder="1" applyAlignment="1">
      <alignment horizontal="left" vertical="top" wrapText="1"/>
    </xf>
    <xf numFmtId="0" fontId="52" fillId="7" borderId="0" xfId="0" applyFont="1" applyFill="1" applyAlignment="1">
      <alignment horizontal="left" vertical="top" wrapText="1"/>
    </xf>
    <xf numFmtId="0" fontId="45" fillId="7" borderId="43" xfId="0" applyFont="1" applyFill="1" applyBorder="1" applyAlignment="1">
      <alignment horizontal="center"/>
    </xf>
    <xf numFmtId="0" fontId="45" fillId="7" borderId="44" xfId="0" applyFont="1" applyFill="1" applyBorder="1" applyAlignment="1">
      <alignment horizontal="center"/>
    </xf>
    <xf numFmtId="0" fontId="45" fillId="7" borderId="22" xfId="0" applyFont="1" applyFill="1" applyBorder="1" applyAlignment="1">
      <alignment horizontal="center"/>
    </xf>
    <xf numFmtId="0" fontId="38" fillId="7" borderId="7" xfId="0" applyFont="1" applyFill="1" applyBorder="1" applyAlignment="1">
      <alignment horizontal="left" wrapText="1"/>
    </xf>
    <xf numFmtId="0" fontId="38" fillId="7" borderId="16" xfId="0" applyFont="1" applyFill="1" applyBorder="1" applyAlignment="1">
      <alignment horizontal="left" wrapText="1"/>
    </xf>
    <xf numFmtId="0" fontId="38" fillId="7" borderId="17" xfId="0" applyFont="1" applyFill="1" applyBorder="1" applyAlignment="1">
      <alignment horizontal="left" wrapText="1"/>
    </xf>
    <xf numFmtId="0" fontId="38" fillId="7" borderId="39" xfId="0" applyFont="1" applyFill="1" applyBorder="1" applyAlignment="1">
      <alignment horizontal="left" wrapText="1"/>
    </xf>
    <xf numFmtId="0" fontId="38" fillId="7" borderId="31" xfId="0" applyFont="1" applyFill="1" applyBorder="1" applyAlignment="1">
      <alignment horizontal="left" wrapText="1"/>
    </xf>
    <xf numFmtId="0" fontId="38" fillId="7" borderId="32" xfId="0" applyFont="1" applyFill="1" applyBorder="1" applyAlignment="1">
      <alignment horizontal="left" wrapText="1"/>
    </xf>
    <xf numFmtId="0" fontId="33" fillId="7" borderId="7" xfId="0" applyFont="1" applyFill="1" applyBorder="1" applyAlignment="1">
      <alignment horizontal="left" vertical="top" wrapText="1"/>
    </xf>
    <xf numFmtId="0" fontId="33" fillId="7" borderId="16" xfId="0" applyFont="1" applyFill="1" applyBorder="1" applyAlignment="1">
      <alignment horizontal="left" vertical="top" wrapText="1"/>
    </xf>
    <xf numFmtId="0" fontId="33" fillId="7" borderId="17" xfId="0" applyFont="1" applyFill="1" applyBorder="1" applyAlignment="1">
      <alignment horizontal="left" vertical="top" wrapText="1"/>
    </xf>
    <xf numFmtId="0" fontId="33" fillId="7" borderId="30" xfId="0" applyFont="1" applyFill="1" applyBorder="1" applyAlignment="1">
      <alignment horizontal="left" vertical="top" wrapText="1"/>
    </xf>
    <xf numFmtId="0" fontId="33" fillId="7" borderId="0" xfId="0" applyFont="1" applyFill="1" applyAlignment="1">
      <alignment horizontal="left" vertical="top" wrapText="1"/>
    </xf>
    <xf numFmtId="0" fontId="33" fillId="7" borderId="18" xfId="0" applyFont="1" applyFill="1" applyBorder="1" applyAlignment="1">
      <alignment horizontal="left" vertical="top" wrapText="1"/>
    </xf>
    <xf numFmtId="0" fontId="33" fillId="7" borderId="39" xfId="0" applyFont="1" applyFill="1" applyBorder="1" applyAlignment="1">
      <alignment horizontal="left" vertical="top" wrapText="1"/>
    </xf>
    <xf numFmtId="0" fontId="33" fillId="7" borderId="31" xfId="0" applyFont="1" applyFill="1" applyBorder="1" applyAlignment="1">
      <alignment horizontal="left" vertical="top" wrapText="1"/>
    </xf>
    <xf numFmtId="0" fontId="33" fillId="7" borderId="32" xfId="0" applyFont="1" applyFill="1" applyBorder="1" applyAlignment="1">
      <alignment horizontal="left" vertical="top" wrapText="1"/>
    </xf>
    <xf numFmtId="0" fontId="0" fillId="0" borderId="27" xfId="0" applyBorder="1" applyAlignment="1">
      <alignment horizontal="left" vertical="top" wrapText="1"/>
    </xf>
    <xf numFmtId="0" fontId="0" fillId="0" borderId="0" xfId="0" applyAlignment="1">
      <alignment horizontal="left" vertical="top" wrapText="1"/>
    </xf>
    <xf numFmtId="0" fontId="34" fillId="7" borderId="7" xfId="0" applyFont="1" applyFill="1" applyBorder="1" applyAlignment="1">
      <alignment horizontal="left" vertical="top" wrapText="1"/>
    </xf>
    <xf numFmtId="0" fontId="34" fillId="7" borderId="16" xfId="0" applyFont="1" applyFill="1" applyBorder="1" applyAlignment="1">
      <alignment horizontal="left" vertical="top" wrapText="1"/>
    </xf>
    <xf numFmtId="0" fontId="34" fillId="7" borderId="17" xfId="0" applyFont="1" applyFill="1" applyBorder="1" applyAlignment="1">
      <alignment horizontal="left" vertical="top" wrapText="1"/>
    </xf>
    <xf numFmtId="0" fontId="34" fillId="7" borderId="30" xfId="0" applyFont="1" applyFill="1" applyBorder="1" applyAlignment="1">
      <alignment horizontal="left" vertical="top" wrapText="1"/>
    </xf>
    <xf numFmtId="0" fontId="34" fillId="7" borderId="0" xfId="0" applyFont="1" applyFill="1" applyAlignment="1">
      <alignment horizontal="left" vertical="top" wrapText="1"/>
    </xf>
    <xf numFmtId="0" fontId="34" fillId="7" borderId="18" xfId="0" applyFont="1" applyFill="1" applyBorder="1" applyAlignment="1">
      <alignment horizontal="left" vertical="top" wrapText="1"/>
    </xf>
    <xf numFmtId="0" fontId="34" fillId="7" borderId="39" xfId="0" applyFont="1" applyFill="1" applyBorder="1" applyAlignment="1">
      <alignment horizontal="left" vertical="top" wrapText="1"/>
    </xf>
    <xf numFmtId="0" fontId="34" fillId="7" borderId="31" xfId="0" applyFont="1" applyFill="1" applyBorder="1" applyAlignment="1">
      <alignment horizontal="left" vertical="top" wrapText="1"/>
    </xf>
    <xf numFmtId="0" fontId="34" fillId="7" borderId="32" xfId="0" applyFont="1" applyFill="1" applyBorder="1" applyAlignment="1">
      <alignment horizontal="left" vertical="top" wrapText="1"/>
    </xf>
    <xf numFmtId="0" fontId="0" fillId="7" borderId="1" xfId="0" applyFill="1" applyBorder="1" applyAlignment="1">
      <alignment horizontal="left" vertical="top" wrapText="1"/>
    </xf>
    <xf numFmtId="0" fontId="11" fillId="11" borderId="0" xfId="0" applyFont="1" applyFill="1" applyAlignment="1">
      <alignment horizontal="center" vertical="center" wrapText="1"/>
    </xf>
    <xf numFmtId="0" fontId="2" fillId="7" borderId="1" xfId="0" applyFont="1" applyFill="1" applyBorder="1" applyAlignment="1">
      <alignment horizontal="left" vertical="top" wrapText="1"/>
    </xf>
    <xf numFmtId="0" fontId="23" fillId="0" borderId="27" xfId="0" applyFont="1" applyBorder="1" applyAlignment="1">
      <alignment horizontal="center"/>
    </xf>
    <xf numFmtId="0" fontId="35" fillId="0" borderId="43" xfId="0" applyFont="1" applyBorder="1" applyAlignment="1">
      <alignment horizontal="center"/>
    </xf>
    <xf numFmtId="0" fontId="35" fillId="0" borderId="44" xfId="0" applyFont="1" applyBorder="1" applyAlignment="1">
      <alignment horizontal="center"/>
    </xf>
    <xf numFmtId="0" fontId="35" fillId="0" borderId="22" xfId="0" applyFont="1" applyBorder="1" applyAlignment="1">
      <alignment horizontal="center"/>
    </xf>
    <xf numFmtId="0" fontId="25" fillId="0" borderId="43" xfId="0" applyFont="1" applyBorder="1" applyAlignment="1">
      <alignment horizontal="center"/>
    </xf>
    <xf numFmtId="0" fontId="25" fillId="0" borderId="44" xfId="0" applyFont="1" applyBorder="1" applyAlignment="1">
      <alignment horizontal="center"/>
    </xf>
    <xf numFmtId="0" fontId="25" fillId="0" borderId="22" xfId="0" applyFont="1" applyBorder="1" applyAlignment="1">
      <alignment horizontal="center"/>
    </xf>
    <xf numFmtId="0" fontId="25" fillId="0" borderId="16" xfId="0" applyFont="1" applyBorder="1" applyAlignment="1">
      <alignment horizontal="center"/>
    </xf>
    <xf numFmtId="0" fontId="26" fillId="7" borderId="43" xfId="0" applyFont="1" applyFill="1" applyBorder="1" applyAlignment="1">
      <alignment horizontal="center"/>
    </xf>
    <xf numFmtId="0" fontId="26" fillId="7" borderId="44" xfId="0" applyFont="1" applyFill="1" applyBorder="1" applyAlignment="1">
      <alignment horizontal="center"/>
    </xf>
    <xf numFmtId="0" fontId="26" fillId="7" borderId="22" xfId="0" applyFont="1" applyFill="1" applyBorder="1" applyAlignment="1">
      <alignment horizontal="center"/>
    </xf>
    <xf numFmtId="0" fontId="81" fillId="0" borderId="3" xfId="0" applyFont="1" applyBorder="1" applyAlignment="1">
      <alignment horizontal="center" vertical="center" textRotation="90" wrapText="1"/>
    </xf>
    <xf numFmtId="0" fontId="81" fillId="0" borderId="48" xfId="0" applyFont="1" applyBorder="1" applyAlignment="1">
      <alignment horizontal="center" vertical="center" textRotation="90" wrapText="1"/>
    </xf>
    <xf numFmtId="0" fontId="81" fillId="0" borderId="9" xfId="0" applyFont="1" applyBorder="1" applyAlignment="1">
      <alignment horizontal="center" vertical="center" textRotation="90" wrapText="1"/>
    </xf>
    <xf numFmtId="0" fontId="0" fillId="0" borderId="0" xfId="0" applyAlignment="1">
      <alignment horizontal="center"/>
    </xf>
    <xf numFmtId="0" fontId="61" fillId="0" borderId="25" xfId="0" applyFont="1" applyBorder="1" applyAlignment="1">
      <alignment horizontal="center"/>
    </xf>
    <xf numFmtId="2" fontId="61" fillId="0" borderId="25" xfId="0" applyNumberFormat="1" applyFont="1" applyBorder="1" applyAlignment="1">
      <alignment horizontal="center"/>
    </xf>
    <xf numFmtId="168" fontId="0" fillId="0" borderId="28" xfId="0" applyNumberFormat="1" applyBorder="1" applyAlignment="1">
      <alignment horizontal="center" vertical="center" wrapText="1"/>
    </xf>
    <xf numFmtId="0" fontId="37" fillId="7" borderId="52" xfId="0" applyFont="1" applyFill="1" applyBorder="1" applyAlignment="1">
      <alignment horizontal="left" vertical="top" wrapText="1"/>
    </xf>
    <xf numFmtId="0" fontId="0" fillId="7" borderId="53" xfId="0" applyFill="1" applyBorder="1" applyAlignment="1">
      <alignment horizontal="left" vertical="top" wrapText="1"/>
    </xf>
    <xf numFmtId="0" fontId="0" fillId="7" borderId="54" xfId="0" applyFill="1" applyBorder="1" applyAlignment="1">
      <alignment horizontal="left" vertical="top" wrapText="1"/>
    </xf>
    <xf numFmtId="0" fontId="0" fillId="7" borderId="55" xfId="0" applyFill="1" applyBorder="1" applyAlignment="1">
      <alignment horizontal="left" vertical="top" wrapText="1"/>
    </xf>
    <xf numFmtId="0" fontId="0" fillId="7" borderId="0" xfId="0" applyFill="1" applyAlignment="1">
      <alignment horizontal="left" vertical="top" wrapText="1"/>
    </xf>
    <xf numFmtId="0" fontId="0" fillId="7" borderId="56" xfId="0" applyFill="1" applyBorder="1" applyAlignment="1">
      <alignment horizontal="left" vertical="top" wrapText="1"/>
    </xf>
    <xf numFmtId="0" fontId="0" fillId="7" borderId="57" xfId="0" applyFill="1" applyBorder="1" applyAlignment="1">
      <alignment horizontal="left" vertical="top" wrapText="1"/>
    </xf>
    <xf numFmtId="0" fontId="0" fillId="7" borderId="58" xfId="0" applyFill="1" applyBorder="1" applyAlignment="1">
      <alignment horizontal="left" vertical="top" wrapText="1"/>
    </xf>
    <xf numFmtId="0" fontId="0" fillId="7" borderId="59" xfId="0" applyFill="1" applyBorder="1" applyAlignment="1">
      <alignment horizontal="left" vertical="top" wrapText="1"/>
    </xf>
  </cellXfs>
  <cellStyles count="5">
    <cellStyle name="Comma" xfId="1" builtinId="3"/>
    <cellStyle name="Currency" xfId="2" builtinId="4"/>
    <cellStyle name="Hyperlink" xfId="4" builtinId="8"/>
    <cellStyle name="Normal" xfId="0" builtinId="0"/>
    <cellStyle name="Percent" xfId="3" builtinId="5"/>
  </cellStyles>
  <dxfs count="5">
    <dxf>
      <border>
        <left/>
        <right/>
        <top/>
        <bottom/>
      </border>
    </dxf>
    <dxf>
      <font>
        <b val="0"/>
        <i val="0"/>
        <strike val="0"/>
        <condense val="0"/>
        <extend val="0"/>
        <outline val="0"/>
        <shadow val="0"/>
        <u val="none"/>
        <vertAlign val="baseline"/>
        <sz val="9"/>
        <color auto="1"/>
        <name val="Geneva"/>
        <family val="2"/>
        <scheme val="none"/>
      </font>
      <alignment horizontal="center"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9"/>
        <color auto="1"/>
        <name val="Geneva"/>
        <family val="2"/>
        <scheme val="none"/>
      </font>
      <border diagonalUp="0" diagonalDown="0">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3213C44C-2C18-5269-9BED-E16097F356AB}"/>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0ACE79DE-FA05-4FFF-B08E-56815DA6CBFB}"/>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EBBD73A6-7FFA-3B0E-2170-31F7230A167D}"/>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59B96528-72AE-2BFE-FAB4-5916EAA28196}"/>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persons/person.xml><?xml version="1.0" encoding="utf-8"?>
<personList xmlns="http://schemas.microsoft.com/office/spreadsheetml/2018/threadedcomments" xmlns:x="http://schemas.openxmlformats.org/spreadsheetml/2006/main">
  <person displayName="Aswath Damodaran" id="{B8988432-A585-3645-9E20-E422F2920603}" userId="589fc2f8758a430e" providerId="Windows Live"/>
  <person displayName="Aswath Damodaran" id="{0F80F988-B051-7943-8010-D75DA554ADAF}" userId="Aswath Damodaran" providerId="None"/>
  <person displayName="Microsoft Office User" id="{4042FB09-E9EB-D84D-8E02-872BC23B2B37}" userId="Microsoft Office Use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C6521-F3FC-AA4B-8C99-14D0EBFC4850}" name="Table1" displayName="Table1" ref="A43:B141" totalsRowShown="0" headerRowBorderDxfId="4" tableBorderDxfId="3">
  <autoFilter ref="A43:B141" xr:uid="{30CC6521-F3FC-AA4B-8C99-14D0EBFC4850}"/>
  <tableColumns count="2">
    <tableColumn id="1" xr3:uid="{C59A5F9E-BF2B-AB41-998B-4A1A243E38D4}" name="Industry Name" dataDxfId="2"/>
    <tableColumn id="2" xr3:uid="{AFFDDF7B-820A-014E-AA29-B247367E7F0B}" name="Amortization Period"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7" dT="2024-02-15T12:43:21.21" personId="{B8988432-A585-3645-9E20-E422F2920603}" id="{71F54301-01F9-6142-81B2-70E7EE6CDDF7}">
    <text>This is a pull down menu, and you should enter your country of incorporation. You can always add more details on geographic risk exposure in the cost of capital worksheet.</text>
  </threadedComment>
  <threadedComment ref="B8" personId="{0F80F988-B051-7943-8010-D75DA554ADAF}" id="{54FBC3F9-EB9F-7C41-8C6D-97F512BA685D}">
    <text>If you are in multiple businesses, make your judgment on the one industry group that it most falls into, and pick that one for this cell. Later, in the cost of capital section, you will be able to break the company down into more detail.</text>
  </threadedComment>
  <threadedComment ref="B9" personId="{0F80F988-B051-7943-8010-D75DA554ADAF}" id="{CA4A0E69-2EC1-064C-82D5-50B182E99825}">
    <text>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ext>
  </threadedComment>
  <threadedComment ref="C10" personId="{4042FB09-E9EB-D84D-8E02-872BC23B2B37}" id="{E0152BD4-8763-E340-9F3D-57E83246CD86}">
    <text xml:space="preserve">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ext>
  </threadedComment>
  <threadedComment ref="D10" personId="{0F80F988-B051-7943-8010-D75DA554ADAF}" id="{2D890560-A4D2-9046-BCC4-FEE8DA2A9099}">
    <text>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ext>
  </threadedComment>
  <threadedComment ref="B11" personId="{0F80F988-B051-7943-8010-D75DA554ADAF}" id="{09E9FA1F-138A-9547-B116-0278E256325D}">
    <text>Enter the revenues from the most recent twelve months. If your company had no revenues, enter a  small positive number. (You need a base for your growth rate)</text>
  </threadedComment>
  <threadedComment ref="C11" personId="{0F80F988-B051-7943-8010-D75DA554ADAF}" id="{B4FAFBEA-7EF5-9E49-BDDC-74E67266D7B3}">
    <text xml:space="preserve">Enter the revenues from the last annual report before your most recent 12 months ended. </text>
  </threadedComment>
  <threadedComment ref="D11" dT="2024-02-15T12:52:49.91" personId="{B8988432-A585-3645-9E20-E422F2920603}" id="{2F9D57EC-A335-6C45-8636-50B8E9391785}">
    <text>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ext>
  </threadedComment>
  <threadedComment ref="B12" personId="{0F80F988-B051-7943-8010-D75DA554ADAF}" id="{AFFC9966-65E7-7849-A618-5DEF034E694A}">
    <text>Enter the operating income or EBIT from the most recent 12 months, even if that number is negative. If you have operating leases or R&amp;D and want to adjust for them, use the options below to start the process and enter the numbers in the relevant worksheets.</text>
  </threadedComment>
  <threadedComment ref="C12" personId="{0F80F988-B051-7943-8010-D75DA554ADAF}" id="{E540843E-F2A3-134C-8531-DA60E38A7694}">
    <text>Enter the operating income or EBIT from the annual report or 10K in the fiscal year prior to your most recent 12 month data.</text>
  </threadedComment>
  <threadedComment ref="B14" personId="{0F80F988-B051-7943-8010-D75DA554ADAF}" id="{77A98811-E565-A44B-A04A-39493A90F633}">
    <text>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ext>
  </threadedComment>
  <threadedComment ref="C14" personId="{0F80F988-B051-7943-8010-D75DA554ADAF}" id="{1B0C707C-9FE4-EC47-8991-BFB3094AFE63}">
    <text>Enter the book value of equity (total) from the end of the annual report in the fiscal year prior to your most recent 12 months.</text>
  </threadedComment>
  <threadedComment ref="B15" personId="{0F80F988-B051-7943-8010-D75DA554ADAF}" id="{4EBAB3AE-4130-E345-91F6-F196751794B7}">
    <text xml:space="preserve">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ext>
  </threadedComment>
  <threadedComment ref="C15" personId="{0F80F988-B051-7943-8010-D75DA554ADAF}" id="{EEE67F91-B486-C642-BCF8-918B32B4F8EF}">
    <text>Enter the book value of interest bearing debt (short and long term) at your company from the balance sheet of the fiscal year prior to your most recent 12 months of data.</text>
  </threadedComment>
  <threadedComment ref="B16" dT="2024-02-15T12:57:50.34" personId="{B8988432-A585-3645-9E20-E422F2920603}" id="{2A62643D-C33C-9A46-A5F0-E66BADC89EAC}">
    <text>If you decide to challenge the accountants, and move an expense (like R&amp;D or customer acquisition costs) from operating to capital expenses, enter yes here, but make sure that you go into the R&amp;D worksheet and enter the numbers for your company.</text>
  </threadedComment>
  <threadedComment ref="B17" dT="2024-02-15T13:01:21.23" personId="{B8988432-A585-3645-9E20-E422F2920603}" id="{AEED2D9E-7933-0546-A108-B06B6DBDF425}">
    <text>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ext>
  </threadedComment>
  <threadedComment ref="B18" personId="{0F80F988-B051-7943-8010-D75DA554ADAF}" id="{E2546F12-07E7-8E43-BAF4-4BA7F486E85D}">
    <text>Enter the cash and marketable securities in your most recent balance sheet. In most companies, this will show up under current assets, and can either show up as a consolidated item or as sub-items for cash and short term investments.</text>
  </threadedComment>
  <threadedComment ref="C18" personId="{0F80F988-B051-7943-8010-D75DA554ADAF}" id="{7036E80F-6A3B-5240-ADB4-827D900C1913}">
    <text>Enter the cash balance from the balance sheet of the fiscal year prior to your most recent twelve months.</text>
  </threadedComment>
  <threadedComment ref="B19" personId="{0F80F988-B051-7943-8010-D75DA554ADAF}" id="{4EF0786B-4C78-E749-BA0E-D37E40A13CCA}">
    <text>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ext>
  </threadedComment>
  <threadedComment ref="B20" personId="{0F80F988-B051-7943-8010-D75DA554ADAF}" id="{66B71247-062C-884C-A110-2FA7FC5BB361}">
    <text>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ext>
  </threadedComment>
  <threadedComment ref="B21" personId="{0F80F988-B051-7943-8010-D75DA554ADAF}" id="{51B4C672-001E-AC42-885D-01422D0EE688}">
    <text>Enter the most recent update you have on the number of shares. If you have different classes of shares, aggregate them all and enter one number. Count restricted stock units (RSUs) as shares but don't count shares underlying employee options.</text>
  </threadedComment>
  <threadedComment ref="B22" personId="{0F80F988-B051-7943-8010-D75DA554ADAF}" id="{38AE7BD4-BE10-B140-8F0C-6498039783B4}">
    <text xml:space="preserve">Enter the most recent stock price (how about today's?) in here. </text>
  </threadedComment>
  <threadedComment ref="B23" personId="{0F80F988-B051-7943-8010-D75DA554ADAF}" id="{218968A8-BC08-A64F-9F0E-C67E68AA4DD8}">
    <text>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ext>
  </threadedComment>
  <threadedComment ref="B24" personId="{0F80F988-B051-7943-8010-D75DA554ADAF}" id="{7EC7B7C4-E2EF-5C47-9F07-E86FFDCD3214}">
    <text>This is a statutory tax rate. I use the tax rate of the country the company is domiciled in. See the country equity risk premium worksheet embedded in this spreadsheet for country tax rates.</text>
  </threadedComment>
  <threadedComment ref="B26" dT="2024-02-15T13:12:54.24" personId="{B8988432-A585-3645-9E20-E422F2920603}" id="{4B2B4743-2757-3E4B-9959-BA2D9ACB4202}">
    <text>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ext>
  </threadedComment>
  <threadedComment ref="B27" dT="2024-02-15T13:15:13.08" personId="{B8988432-A585-3645-9E20-E422F2920603}" id="{751B8FE4-9055-B84E-A3C8-0E4DEADB3EA0}">
    <text>Again, I am separating out the operating margin for next year, to allow you to use the superior information you may have for the near term to play out in this estimate.</text>
  </threadedComment>
  <threadedComment ref="B28" personId="{0F80F988-B051-7943-8010-D75DA554ADAF}" id="{5CA1C1D1-F4A5-8446-B5E9-71CD54EF2545}">
    <text>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ext>
  </threadedComment>
  <threadedComment ref="B29" personId="{0F80F988-B051-7943-8010-D75DA554ADAF}" id="{3FA629D8-89D5-E143-B22C-AFE6CD0C8514}">
    <text xml:space="preserve">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ext>
  </threadedComment>
  <threadedComment ref="B30" personId="{0F80F988-B051-7943-8010-D75DA554ADAF}" id="{594B4E1B-3ACD-0F43-A4CB-A9BE88E089B5}">
    <text>This is the forecast year in which your current margin will converge on target.</text>
  </threadedComment>
  <threadedComment ref="B31" personId="{0F80F988-B051-7943-8010-D75DA554ADAF}" id="{AE13966B-AB4E-B34C-AB49-2D7FEA7E9120}">
    <tex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ext>
  </threadedComment>
  <threadedComment ref="B32" dT="2024-02-15T13:18:43.09" personId="{B8988432-A585-3645-9E20-E422F2920603}" id="{FBD5A24E-83BA-4543-B49C-42E85C8B9500}">
    <text>I give you a second chance to input the sales to invested capital to allow for the fact that as companies scale up they might need to reinvest less (or more) to get the same growth.</text>
  </threadedComment>
  <threadedComment ref="B34" personId="{0F80F988-B051-7943-8010-D75DA554ADAF}" id="{48C76159-0827-874B-B96B-C4FD25D34B6A}">
    <text>This should be today's long term riskfree rate. If you are working with a currency where the government has default risk, clean up the government bond rate to make it riskfree (by subtracting the default spread for the government).</text>
  </threadedComment>
  <threadedComment ref="J34" personId="{0F80F988-B051-7943-8010-D75DA554ADAF}" id="{41BD63FD-2E13-334D-AC8A-F4702E32C3C5}">
    <text>Compare to your total market and check your market share.</text>
  </threadedComment>
  <threadedComment ref="B35" personId="{0F80F988-B051-7943-8010-D75DA554ADAF}" id="{A59C3A77-9765-B147-B40F-B2F3A4E48AC3}">
    <text>Use the cost of capital worksheet to either input directly, calculate from company details on business &amp; geography mix, use an industry average or even a histogram across all companies.</text>
  </threadedComment>
  <threadedComment ref="J35" personId="{0F80F988-B051-7943-8010-D75DA554ADAF}" id="{DB629F1F-F83F-F647-853F-47BFC31610CD}">
    <text xml:space="preserve">Determined by your target margin. </text>
  </threadedComment>
  <threadedComment ref="J36" personId="{0F80F988-B051-7943-8010-D75DA554ADAF}" id="{B1F53202-2F0D-D541-9E18-76005E4E45E4}">
    <text>Function of both your target margin and your sales to capital ratio.</text>
  </threadedComment>
  <threadedComment ref="B37" dT="2024-02-15T13:23:01.81" personId="{B8988432-A585-3645-9E20-E422F2920603}" id="{3B1FC220-3FE7-E54A-96FA-E03CEFCBFDE2}">
    <text xml:space="preserve">Check your annual report or 10K for whether your companies has employee options still outstanding.  </text>
  </threadedComment>
  <threadedComment ref="B38" personId="{0F80F988-B051-7943-8010-D75DA554ADAF}" id="{635D9BDD-F56D-3A4B-BB73-B545395723F2}">
    <text xml:space="preserve">Check your company's annual report or 10K. If it does have options outstanding, enter the total number here (vested and non vested, in the money and out… </text>
  </threadedComment>
  <threadedComment ref="B39" personId="{0F80F988-B051-7943-8010-D75DA554ADAF}" id="{F6C404B5-0607-B64F-8A31-FA7F51831376}">
    <text>Enter the weighted average strike price of your options. (Should be in your 10K or annual report.)</text>
  </threadedComment>
  <threadedComment ref="B40" personId="{0F80F988-B051-7943-8010-D75DA554ADAF}" id="{84D307F5-C671-864E-A8B6-E08441B4818E}">
    <text>The weighted average maturity of your options should be reported in your financial statements.</text>
  </threadedComment>
  <threadedComment ref="B41" personId="{0F80F988-B051-7943-8010-D75DA554ADAF}" id="{2377327B-59EE-3545-8F8A-AE8AED070076}">
    <text>If you have a standard deviation for your stock, enter that number. If not, use the US and Global Industry average worksheets in this spreadsheet to look up the industry average standard deviation.</text>
  </threadedComment>
  <threadedComment ref="B46" dT="2024-02-15T13:29:34.01" personId="{B8988432-A585-3645-9E20-E422F2920603}" id="{23A45B0B-C6F1-6248-99DC-D3FB7F79095D}">
    <text>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ext>
  </threadedComment>
  <threadedComment ref="B49" personId="{0F80F988-B051-7943-8010-D75DA554ADAF}" id="{C653EB8A-25F4-464F-BD99-C6B45BEA26C3}">
    <text>Even if you believe your firm has significant competitive advantages, you should expect the return on capital for a company to come down over time, at least on new projects. If you don’t see long term competitive advantages, you should just leave the cell above at No.</text>
  </threadedComment>
  <threadedComment ref="B51" dT="2024-02-15T13:32:45.96" personId="{B8988432-A585-3645-9E20-E422F2920603}" id="{BC8F5940-D88C-FF41-BFB0-C57C664414DF}">
    <text>If your company is money-losing or in decline, and you believe that there is a significant chance it will not survive, enter yes here, and the inputs below. Failure can also be caused by catastrophes or government action.</text>
  </threadedComment>
  <threadedComment ref="B52" personId="{0F80F988-B051-7943-8010-D75DA554ADAF}" id="{E70E7C6A-F80C-1541-B56C-B7B598D70448}">
    <text xml:space="preserve">Aswath Damodaran
If you want to look at ways of estimating this probability, try the failure rate worksheet embedded in this spreadsheet.  </text>
  </threadedComment>
  <threadedComment ref="B53" personId="{0F80F988-B051-7943-8010-D75DA554ADAF}" id="{2714D861-0A48-5D43-B0B4-66453AEB395D}">
    <text>If the firm fail and has to liquidate its assets, you need to specify what the liquidation proceeds will be tied to. For young growth companies, I would tie it to value and with distressed firms (especially ones with significant assets in place), I would use book value.</text>
  </threadedComment>
  <threadedComment ref="B54" personId="{0F80F988-B051-7943-8010-D75DA554ADAF}" id="{BACA5868-B98A-F34A-BB35-5BF8D7D47027}">
    <text>You will generally not get 100% of fair value. How much less than 100% you get will depend on whether there are lots of potential buyers for your assets and how much of a hurry you are in to liquidate. It may well be zero for a young growth company with no tangible assets.</text>
  </threadedComment>
  <threadedComment ref="B56" dT="2024-02-15T13:34:21.98" personId="{B8988432-A585-3645-9E20-E422F2920603}" id="{70BF85C9-F9B1-4243-88BC-086E5E41286E}">
    <text>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ext>
  </threadedComment>
  <threadedComment ref="B57" dT="2024-02-15T13:36:04.00" personId="{B8988432-A585-3645-9E20-E422F2920603}" id="{D5616C1A-972E-EA45-89C6-4108E9869A9C}">
    <text>The default is set to zero (contemporaneous growth, but you can a lag up to three years between investment and growth)</text>
  </threadedComment>
  <threadedComment ref="B59" dT="2024-02-15T13:38:16.33" personId="{B8988432-A585-3645-9E20-E422F2920603}" id="{864108E8-64F4-C649-B7F6-27546ED36042}">
    <text>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ext>
  </threadedComment>
  <threadedComment ref="B62" personId="{0F80F988-B051-7943-8010-D75DA554ADAF}" id="{52953B18-6ABF-C140-A50D-98AA9E44D651}">
    <text>This is the NOL from prior years carried forward into this year. Check the footnotes to your financial statements to see if there are any loss carry forwards.</text>
  </threadedComment>
  <threadedComment ref="B64" dT="2024-02-15T13:42:30.70" personId="{B8988432-A585-3645-9E20-E422F2920603}" id="{25389A54-C635-ED40-849A-EEB0EC5D59A1}">
    <text>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ext>
  </threadedComment>
  <threadedComment ref="B65" dT="2024-02-15T13:43:05.44" personId="{B8988432-A585-3645-9E20-E422F2920603}" id="{2C7CA6D9-70A4-454D-A0BD-19CB3A5D02DF}">
    <text>This is your forecast for the long-term, default free rate in the currency that you are working with, ten years from now.</text>
  </threadedComment>
  <threadedComment ref="B67" dT="2024-02-15T13:44:07.86" personId="{B8988432-A585-3645-9E20-E422F2920603}" id="{997F1F94-CD24-FE40-933F-77DF8B8E547F}">
    <text>Leave this  at no,  for the most part, but use yes, if you have a firm that you see declining after year 10 or growing at a rate much lower than the rest of the economy.</text>
  </threadedComment>
  <threadedComment ref="B68" personId="{0F80F988-B051-7943-8010-D75DA554ADAF}" id="{FC146819-31BC-CD4B-BB8F-10573BD83B4A}">
    <text xml:space="preserve">Be VERY, VERY careful. This is a growth rate in perpetuity, after year 10. Entering numbers significantly (more than 1%) higher than the risk free rate will render your valuation close to useless.
</text>
  </threadedComment>
  <threadedComment ref="B70" dT="2024-02-15T13:45:59.57" personId="{B8988432-A585-3645-9E20-E422F2920603}" id="{3402EFD0-3B2F-EB41-AC9A-ADE509BA8833}">
    <text>US tax law no longer has the global taxation feature that it used to have prior to 2017. So, no is the better answer. However, it the tax laws revert back to pre-2017 standards, this option will come into play, as companies part their cash outside the US.</text>
  </threadedComment>
  <threadedComment ref="B71" personId="{0F80F988-B051-7943-8010-D75DA554ADAF}" id="{486B0BE4-91F5-A947-86B6-995AD147925C}">
    <text>If your concern is that a portion of the cash is trapped in foreign markets and will be subject to tax, when returned, enter the trapped cash balance. If you feel that the entire cash balance is being discounted because markets don't trust managers, enter the entire cash balance.</text>
  </threadedComment>
  <threadedComment ref="B72" personId="{0F80F988-B051-7943-8010-D75DA554ADAF}" id="{BC724579-4871-0448-B3E6-EFAC6D77BD38}">
    <text>This is the additional tax due, if the cash is trapped cash. If your concern is that all cash is being discounted by the market because of management mistrust, enter the percentage discount to apply to cash.</text>
  </threadedComment>
</ThreadedComments>
</file>

<file path=xl/threadedComments/threadedComment2.xml><?xml version="1.0" encoding="utf-8"?>
<ThreadedComments xmlns="http://schemas.microsoft.com/office/spreadsheetml/2018/threadedcomments" xmlns:x="http://schemas.openxmlformats.org/spreadsheetml/2006/main">
  <threadedComment ref="F8" personId="{0F80F988-B051-7943-8010-D75DA554ADAF}" id="{AA550503-3638-E344-A76C-EC9EE16E8E35}">
    <text xml:space="preserve">If your most recent year's operating income is unusually low or high, you can use the average operating income from the last few years. </text>
  </threadedComment>
  <threadedComment ref="F9" personId="{0F80F988-B051-7943-8010-D75DA554ADAF}" id="{0773F50D-8F4A-8942-A093-8D85A28A7EFC}">
    <text>Enter the interest expense from the most recent income statement.</text>
  </threadedComment>
  <threadedComment ref="F10" personId="{0F80F988-B051-7943-8010-D75DA554ADAF}" id="{92B75667-258A-9041-A90E-BA34684C64D8}">
    <text>I use a 10 year government bond rate.</text>
  </threadedComment>
</ThreadedComments>
</file>

<file path=xl/threadedComments/threadedComment3.xml><?xml version="1.0" encoding="utf-8"?>
<ThreadedComments xmlns="http://schemas.microsoft.com/office/spreadsheetml/2018/threadedcomments" xmlns:x="http://schemas.openxmlformats.org/spreadsheetml/2006/main">
  <threadedComment ref="F7" dT="2024-02-15T13:50:32.06" personId="{B8988432-A585-3645-9E20-E422F2920603}" id="{BC7D716B-CF00-F547-AE72-E2F45BCC1F61}">
    <text>Enter the R&amp;D expense in the most recent 12 months of data.</text>
  </threadedComment>
  <threadedComment ref="B10" dT="2024-02-15T13:51:20.64" personId="{B8988432-A585-3645-9E20-E422F2920603}" id="{ED7E82EC-F310-0248-9E9E-817504C4829B}">
    <text>Enter the R&amp;D expenses from the years before the last 12 months, starting with the last year (-1), the year before that (-2) etc..</text>
  </threadedComment>
  <threadedComment ref="D40" personId="{0F80F988-B051-7943-8010-D75DA554ADAF}" id="{592C6C60-5223-4B45-8A69-B291166B7E7E}">
    <text>By expensing R&amp;D rather than capitalizing it, the firm gets a tax benefit. This is the dollar value of that tax benefit.</text>
  </threadedComment>
</ThreadedComments>
</file>

<file path=xl/threadedComments/threadedComment4.xml><?xml version="1.0" encoding="utf-8"?>
<ThreadedComments xmlns="http://schemas.microsoft.com/office/spreadsheetml/2018/threadedcomments" xmlns:x="http://schemas.openxmlformats.org/spreadsheetml/2006/main">
  <threadedComment ref="E4" dT="2024-02-15T13:52:05.27" personId="{B8988432-A585-3645-9E20-E422F2920603}" id="{4E9D46C3-9490-AE49-9C1C-FE39D8287CF7}">
    <text>Enter the operating lease expense in the most recent 12 months.</text>
  </threadedComment>
  <threadedComment ref="B6" dT="2024-02-15T13:53:08.40" personId="{B8988432-A585-3645-9E20-E422F2920603}" id="{088A5D00-F7DB-F641-B5E4-2511B8451119}">
    <text>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ext>
  </threadedComment>
</ThreadedComments>
</file>

<file path=xl/threadedComments/threadedComment5.xml><?xml version="1.0" encoding="utf-8"?>
<ThreadedComments xmlns="http://schemas.microsoft.com/office/spreadsheetml/2018/threadedcomments" xmlns:x="http://schemas.openxmlformats.org/spreadsheetml/2006/main">
  <threadedComment ref="B23" personId="{0F80F988-B051-7943-8010-D75DA554ADAF}" id="{A23E286D-FDA4-E04B-B2B6-8101484E8233}">
    <text>If you input a beta directly, I will unlever that beta using the current debt to equity ratio.</text>
  </threadedComment>
  <threadedComment ref="B25" personId="{0F80F988-B051-7943-8010-D75DA554ADAF}" id="{E56104C5-7C66-F848-B455-D4DEB1B906C4}">
    <text>If you pick operating regions or countries, please input the revenues by country or region in the table to the right.</text>
  </threadedComment>
  <threadedComment ref="B27" personId="{0F80F988-B051-7943-8010-D75DA554ADAF}" id="{48141766-7F07-C447-89ED-3E1A81023B2B}">
    <text>If your company has risk exposure in emergiing markets, incorporate that risk premiums here. See worksheet on country risk premiums.</text>
  </threadedComment>
  <threadedComment ref="B31" personId="{0F80F988-B051-7943-8010-D75DA554ADAF}" id="{568DD258-B547-7D4B-8EA5-8936C8A36C7A}">
    <text>Interest expense (gross) from most recent financial statement.</text>
  </threadedComment>
  <threadedComment ref="B32" personId="{0F80F988-B051-7943-8010-D75DA554ADAF}" id="{0B49E534-4839-224A-A0D8-3E69E03A9811}">
    <text>Generally found in footnotes to financial statements. If you cannot find it, enter zero,</text>
  </threadedComment>
  <threadedComment ref="B33" dT="2024-02-15T13:59:05.23" personId="{B8988432-A585-3645-9E20-E422F2920603}" id="{5A91BFC2-E30D-1B4A-87B9-BB138BF07698}">
    <text>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ext>
  </threadedComment>
  <threadedComment ref="B35" dT="2024-02-15T14:01:00.10" personId="{B8988432-A585-3645-9E20-E422F2920603}" id="{99D69372-A294-2A49-8F68-E27D38561195}">
    <text>If you cannot find your rating on this pulldown menu, pick the closest one you can find.</text>
  </threadedComment>
  <threadedComment ref="B36" personId="{0F80F988-B051-7943-8010-D75DA554ADAF}" id="{CDB18AC1-A933-1F49-84C1-AA536ECAB35B}">
    <text>This input is used only when you pick the synthetic rating option.
1: Large market cap (&gt;$5 billion) and safe.
2: Small market cap (&lt;$5 billion) or risky.
If company has volatile earnings or is in risky business, use 2, even if large market cap.</text>
  </threadedComment>
  <threadedComment ref="B37" personId="{0F80F988-B051-7943-8010-D75DA554ADAF}" id="{40F47070-A7F9-764E-BF6F-3CDF01F6763D}">
    <text>Current, long term cost of borrowing money. If you have a rating use it, if not use a synthetic rating. See the worksheet attached.</text>
  </threadedComment>
</ThreadedComments>
</file>

<file path=xl/threadedComments/threadedComment6.xml><?xml version="1.0" encoding="utf-8"?>
<ThreadedComments xmlns="http://schemas.microsoft.com/office/spreadsheetml/2018/threadedcomments" xmlns:x="http://schemas.openxmlformats.org/spreadsheetml/2006/main">
  <threadedComment ref="B1" personId="{4042FB09-E9EB-D84D-8E02-872BC23B2B37}" id="{C3B82CD1-0285-F746-B2B0-DC065BFFA19E}">
    <text>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youtu.be/kyKfJ_7-mdg?si=FIeHhnLH2_2brag3"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zoomScale="116" zoomScaleNormal="116" workbookViewId="0">
      <selection activeCell="E36" sqref="E36"/>
    </sheetView>
  </sheetViews>
  <sheetFormatPr defaultColWidth="11" defaultRowHeight="15.6"/>
  <cols>
    <col min="1" max="1" width="20.375" style="128" customWidth="1"/>
    <col min="2" max="2" width="19.5" style="128" customWidth="1"/>
    <col min="3" max="3" width="17.625" style="128" customWidth="1"/>
    <col min="4" max="4" width="16.5" style="128" customWidth="1"/>
    <col min="5" max="5" width="19.125" style="128" customWidth="1"/>
    <col min="6" max="6" width="24.625" style="130" customWidth="1"/>
    <col min="7" max="7" width="37.375" style="128" customWidth="1"/>
    <col min="8" max="8" width="17" customWidth="1"/>
    <col min="13" max="13" width="12.5" bestFit="1" customWidth="1"/>
  </cols>
  <sheetData>
    <row r="1" spans="1:11">
      <c r="A1" s="501" t="str">
        <f>'Input sheet'!B4</f>
        <v>Spicejet</v>
      </c>
      <c r="B1" s="502"/>
      <c r="C1" s="502"/>
      <c r="D1" s="502"/>
      <c r="E1" s="502"/>
      <c r="F1" s="503"/>
      <c r="G1" s="150">
        <f>'Input sheet'!B3</f>
        <v>44074</v>
      </c>
    </row>
    <row r="2" spans="1:11">
      <c r="A2" s="548" t="s">
        <v>630</v>
      </c>
      <c r="B2" s="548"/>
      <c r="C2" s="548"/>
      <c r="D2" s="548"/>
      <c r="E2" s="548"/>
      <c r="F2" s="548"/>
      <c r="G2" s="548"/>
    </row>
    <row r="3" spans="1:11" ht="16.05" customHeight="1">
      <c r="A3" s="508" t="s">
        <v>631</v>
      </c>
      <c r="B3" s="509"/>
      <c r="C3" s="509"/>
      <c r="D3" s="509"/>
      <c r="E3" s="509"/>
      <c r="F3" s="509"/>
      <c r="G3" s="510"/>
      <c r="H3" s="517" t="s">
        <v>522</v>
      </c>
      <c r="I3" s="518"/>
      <c r="J3" s="518"/>
      <c r="K3" s="519"/>
    </row>
    <row r="4" spans="1:11" ht="16.05" customHeight="1">
      <c r="A4" s="511"/>
      <c r="B4" s="512"/>
      <c r="C4" s="512"/>
      <c r="D4" s="512"/>
      <c r="E4" s="512"/>
      <c r="F4" s="512"/>
      <c r="G4" s="513"/>
      <c r="H4" s="520"/>
      <c r="I4" s="521"/>
      <c r="J4" s="521"/>
      <c r="K4" s="522"/>
    </row>
    <row r="5" spans="1:11" ht="12" customHeight="1">
      <c r="A5" s="511"/>
      <c r="B5" s="512"/>
      <c r="C5" s="512"/>
      <c r="D5" s="512"/>
      <c r="E5" s="512"/>
      <c r="F5" s="512"/>
      <c r="G5" s="513"/>
      <c r="H5" s="520"/>
      <c r="I5" s="521"/>
      <c r="J5" s="521"/>
      <c r="K5" s="522"/>
    </row>
    <row r="6" spans="1:11" ht="16.95" customHeight="1">
      <c r="A6" s="514"/>
      <c r="B6" s="515"/>
      <c r="C6" s="515"/>
      <c r="D6" s="515"/>
      <c r="E6" s="515"/>
      <c r="F6" s="515"/>
      <c r="G6" s="516"/>
      <c r="H6" s="523"/>
      <c r="I6" s="524"/>
      <c r="J6" s="524"/>
      <c r="K6" s="525"/>
    </row>
    <row r="7" spans="1:11">
      <c r="A7" s="549" t="s">
        <v>502</v>
      </c>
      <c r="B7" s="550"/>
      <c r="C7" s="550"/>
      <c r="D7" s="550"/>
      <c r="E7" s="550"/>
      <c r="F7" s="550"/>
      <c r="G7" s="551"/>
    </row>
    <row r="8" spans="1:11">
      <c r="A8" s="113"/>
      <c r="B8" s="110" t="s">
        <v>503</v>
      </c>
      <c r="C8" s="171" t="s">
        <v>621</v>
      </c>
      <c r="D8" s="111" t="s">
        <v>619</v>
      </c>
      <c r="E8" s="110" t="s">
        <v>504</v>
      </c>
      <c r="F8" s="110" t="s">
        <v>36</v>
      </c>
      <c r="G8" s="112" t="s">
        <v>511</v>
      </c>
    </row>
    <row r="9" spans="1:11">
      <c r="A9" s="114" t="s">
        <v>512</v>
      </c>
      <c r="B9" s="163">
        <f>'Valuation output'!B3</f>
        <v>98597.5</v>
      </c>
      <c r="C9" s="172">
        <f>'Input sheet'!B26</f>
        <v>0.20699999999999999</v>
      </c>
      <c r="D9" s="153">
        <f>'Input sheet'!B28</f>
        <v>0.2</v>
      </c>
      <c r="E9" s="153" t="s">
        <v>868</v>
      </c>
      <c r="F9" s="115">
        <f>'Valuation output'!M2</f>
        <v>7.3599999999999999E-2</v>
      </c>
      <c r="G9" s="236" t="s">
        <v>632</v>
      </c>
      <c r="H9" s="526" t="s">
        <v>523</v>
      </c>
      <c r="I9" s="527"/>
      <c r="J9" s="527"/>
      <c r="K9" s="528"/>
    </row>
    <row r="10" spans="1:11" ht="46.8">
      <c r="A10" s="114" t="s">
        <v>513</v>
      </c>
      <c r="B10" s="115">
        <f>'Valuation output'!B4</f>
        <v>0.89949948020994441</v>
      </c>
      <c r="C10" s="172">
        <f>'Input sheet'!B27</f>
        <v>0.112</v>
      </c>
      <c r="D10" s="154" t="s">
        <v>869</v>
      </c>
      <c r="E10" s="155">
        <f>'Valuation output'!G4</f>
        <v>1.08</v>
      </c>
      <c r="F10" s="115">
        <f>'Valuation output'!M4</f>
        <v>1.08</v>
      </c>
      <c r="G10" s="237" t="s">
        <v>633</v>
      </c>
      <c r="H10" s="529"/>
      <c r="I10" s="530"/>
      <c r="J10" s="530"/>
      <c r="K10" s="531"/>
    </row>
    <row r="11" spans="1:11">
      <c r="A11" s="114" t="s">
        <v>130</v>
      </c>
      <c r="B11" s="115">
        <f>'Valuation output'!B6</f>
        <v>0.19</v>
      </c>
      <c r="C11" s="173"/>
      <c r="D11" s="153">
        <f>B11</f>
        <v>0.19</v>
      </c>
      <c r="E11" s="153" t="s">
        <v>868</v>
      </c>
      <c r="F11" s="115">
        <f>'Valuation output'!M6</f>
        <v>0.3</v>
      </c>
      <c r="G11" s="238" t="s">
        <v>634</v>
      </c>
      <c r="H11" s="529"/>
      <c r="I11" s="530"/>
      <c r="J11" s="530"/>
      <c r="K11" s="531"/>
    </row>
    <row r="12" spans="1:11">
      <c r="A12" s="114" t="s">
        <v>870</v>
      </c>
      <c r="B12" s="116"/>
      <c r="C12" s="174">
        <f>'Input sheet'!B31</f>
        <v>1.2</v>
      </c>
      <c r="D12" s="152">
        <f>'Input sheet'!B31</f>
        <v>1.2</v>
      </c>
      <c r="E12" s="151">
        <f>'Input sheet'!B32</f>
        <v>1.2</v>
      </c>
      <c r="F12" s="117">
        <f>'Valuation output'!M2/'Valuation output'!M40</f>
        <v>0.64167393199651268</v>
      </c>
      <c r="G12" s="238" t="s">
        <v>835</v>
      </c>
      <c r="H12" s="529"/>
      <c r="I12" s="530"/>
      <c r="J12" s="530"/>
      <c r="K12" s="531"/>
    </row>
    <row r="13" spans="1:11">
      <c r="A13" s="131" t="s">
        <v>525</v>
      </c>
      <c r="B13" s="133">
        <f>'Valuation output'!B40</f>
        <v>0.74281763725445704</v>
      </c>
      <c r="C13" s="115" t="s">
        <v>526</v>
      </c>
      <c r="D13" s="546">
        <f>Diagnostics!C27</f>
        <v>0.88539986710167018</v>
      </c>
      <c r="E13" s="547"/>
      <c r="F13" s="132">
        <f>'Valuation output'!M40</f>
        <v>0.11469999999999998</v>
      </c>
      <c r="G13" s="239" t="s">
        <v>836</v>
      </c>
      <c r="H13" s="529"/>
      <c r="I13" s="530"/>
      <c r="J13" s="530"/>
      <c r="K13" s="531"/>
    </row>
    <row r="14" spans="1:11" ht="16.2" thickBot="1">
      <c r="A14" s="118" t="s">
        <v>514</v>
      </c>
      <c r="B14" s="134"/>
      <c r="C14" s="116"/>
      <c r="D14" s="154">
        <f>'Valuation output'!C12</f>
        <v>0.11879999999999999</v>
      </c>
      <c r="E14" s="155"/>
      <c r="F14" s="119">
        <f>'Valuation output'!M12</f>
        <v>0.1147</v>
      </c>
      <c r="G14" s="240" t="s">
        <v>635</v>
      </c>
      <c r="H14" s="532"/>
      <c r="I14" s="533"/>
      <c r="J14" s="533"/>
      <c r="K14" s="534"/>
    </row>
    <row r="15" spans="1:11" ht="16.2" thickBot="1">
      <c r="A15" s="552" t="s">
        <v>506</v>
      </c>
      <c r="B15" s="552"/>
      <c r="C15" s="552"/>
      <c r="D15" s="552"/>
      <c r="E15" s="552"/>
      <c r="F15" s="552"/>
      <c r="G15" s="552"/>
    </row>
    <row r="16" spans="1:11">
      <c r="A16" s="109"/>
      <c r="B16" s="160" t="s">
        <v>5</v>
      </c>
      <c r="C16" s="160" t="s">
        <v>505</v>
      </c>
      <c r="D16" s="161" t="s">
        <v>517</v>
      </c>
      <c r="E16" s="161" t="s">
        <v>507</v>
      </c>
      <c r="F16" s="161" t="s">
        <v>515</v>
      </c>
      <c r="G16" s="162" t="s">
        <v>10</v>
      </c>
      <c r="H16" s="535" t="s">
        <v>524</v>
      </c>
      <c r="I16" s="536"/>
      <c r="J16" s="536"/>
      <c r="K16" s="537"/>
    </row>
    <row r="17" spans="1:11">
      <c r="A17" s="120">
        <v>1</v>
      </c>
      <c r="B17" s="163">
        <f>'Valuation output'!C3</f>
        <v>119007.18250000001</v>
      </c>
      <c r="C17" s="121">
        <f>'Valuation output'!C4</f>
        <v>0.112</v>
      </c>
      <c r="D17" s="163">
        <f>B17*C17</f>
        <v>13328.804440000002</v>
      </c>
      <c r="E17" s="163">
        <f>'Valuation output'!C7</f>
        <v>10796.331596400001</v>
      </c>
      <c r="F17" s="163">
        <f>'Valuation output'!C8</f>
        <v>19834.530416666665</v>
      </c>
      <c r="G17" s="165">
        <f>E17-F17</f>
        <v>-9038.1988202666635</v>
      </c>
      <c r="H17" s="538"/>
      <c r="I17" s="539"/>
      <c r="J17" s="539"/>
      <c r="K17" s="540"/>
    </row>
    <row r="18" spans="1:11">
      <c r="A18" s="120">
        <v>2</v>
      </c>
      <c r="B18" s="163">
        <f>'Valuation output'!D3</f>
        <v>142808.61900000001</v>
      </c>
      <c r="C18" s="121">
        <f>'Valuation output'!D4</f>
        <v>0.75733333333333341</v>
      </c>
      <c r="D18" s="163">
        <f t="shared" ref="D18:D27" si="0">B18*C18</f>
        <v>108153.72745600002</v>
      </c>
      <c r="E18" s="163">
        <f>'Valuation output'!D7</f>
        <v>87604.519239360015</v>
      </c>
      <c r="F18" s="163">
        <f>'Valuation output'!D8</f>
        <v>23801.436500000007</v>
      </c>
      <c r="G18" s="165">
        <f t="shared" ref="G18:G27" si="1">E18-F18</f>
        <v>63803.082739360005</v>
      </c>
      <c r="H18" s="538"/>
      <c r="I18" s="539"/>
      <c r="J18" s="539"/>
      <c r="K18" s="540"/>
    </row>
    <row r="19" spans="1:11">
      <c r="A19" s="120">
        <v>3</v>
      </c>
      <c r="B19" s="163">
        <f>'Valuation output'!E3</f>
        <v>171370.34280000001</v>
      </c>
      <c r="C19" s="121">
        <f>'Valuation output'!E4</f>
        <v>1.08</v>
      </c>
      <c r="D19" s="163">
        <f t="shared" si="0"/>
        <v>185079.97022400002</v>
      </c>
      <c r="E19" s="163">
        <f>'Valuation output'!E7</f>
        <v>149914.77588144003</v>
      </c>
      <c r="F19" s="163">
        <f>'Valuation output'!E8</f>
        <v>28561.723799999989</v>
      </c>
      <c r="G19" s="165">
        <f t="shared" si="1"/>
        <v>121353.05208144004</v>
      </c>
      <c r="H19" s="538"/>
      <c r="I19" s="539"/>
      <c r="J19" s="539"/>
      <c r="K19" s="540"/>
    </row>
    <row r="20" spans="1:11">
      <c r="A20" s="120">
        <v>4</v>
      </c>
      <c r="B20" s="163">
        <f>'Valuation output'!F3</f>
        <v>205644.41136</v>
      </c>
      <c r="C20" s="121">
        <f>'Valuation output'!F4</f>
        <v>1.08</v>
      </c>
      <c r="D20" s="163">
        <f t="shared" si="0"/>
        <v>222095.96426880002</v>
      </c>
      <c r="E20" s="163">
        <f>'Valuation output'!F7</f>
        <v>179897.731057728</v>
      </c>
      <c r="F20" s="163">
        <f>'Valuation output'!F8</f>
        <v>34274.068559999992</v>
      </c>
      <c r="G20" s="165">
        <f t="shared" si="1"/>
        <v>145623.66249772802</v>
      </c>
      <c r="H20" s="538"/>
      <c r="I20" s="539"/>
      <c r="J20" s="539"/>
      <c r="K20" s="540"/>
    </row>
    <row r="21" spans="1:11">
      <c r="A21" s="120">
        <v>5</v>
      </c>
      <c r="B21" s="163">
        <f>'Valuation output'!G3</f>
        <v>246773.29363199999</v>
      </c>
      <c r="C21" s="121">
        <f>'Valuation output'!G4</f>
        <v>1.08</v>
      </c>
      <c r="D21" s="163">
        <f t="shared" si="0"/>
        <v>266515.15712256002</v>
      </c>
      <c r="E21" s="163">
        <f>'Valuation output'!G7</f>
        <v>215877.27726927362</v>
      </c>
      <c r="F21" s="163">
        <f>'Valuation output'!G8</f>
        <v>35930.191552819211</v>
      </c>
      <c r="G21" s="165">
        <f t="shared" si="1"/>
        <v>179947.0857164544</v>
      </c>
      <c r="H21" s="538"/>
      <c r="I21" s="539"/>
      <c r="J21" s="539"/>
      <c r="K21" s="540"/>
    </row>
    <row r="22" spans="1:11">
      <c r="A22" s="120">
        <v>6</v>
      </c>
      <c r="B22" s="163">
        <f>'Valuation output'!H3</f>
        <v>289889.52349538304</v>
      </c>
      <c r="C22" s="121">
        <f>'Valuation output'!H4</f>
        <v>1.08</v>
      </c>
      <c r="D22" s="163">
        <f t="shared" si="0"/>
        <v>313080.68537501368</v>
      </c>
      <c r="E22" s="163">
        <f>'Valuation output'!H7</f>
        <v>246707.58007551078</v>
      </c>
      <c r="F22" s="163">
        <f>'Valuation output'!H8</f>
        <v>36100.908659291701</v>
      </c>
      <c r="G22" s="165">
        <f t="shared" si="1"/>
        <v>210606.67141621909</v>
      </c>
      <c r="H22" s="538"/>
      <c r="I22" s="539"/>
      <c r="J22" s="539"/>
      <c r="K22" s="540"/>
    </row>
    <row r="23" spans="1:11">
      <c r="A23" s="120">
        <v>7</v>
      </c>
      <c r="B23" s="163">
        <f>'Valuation output'!I3</f>
        <v>333210.61388653307</v>
      </c>
      <c r="C23" s="121">
        <f>'Valuation output'!I4</f>
        <v>1.08</v>
      </c>
      <c r="D23" s="163">
        <f t="shared" si="0"/>
        <v>359867.46299745573</v>
      </c>
      <c r="E23" s="163">
        <f>'Valuation output'!I7</f>
        <v>275658.47665605112</v>
      </c>
      <c r="F23" s="163">
        <f>'Valuation output'!I8</f>
        <v>34476.191516793289</v>
      </c>
      <c r="G23" s="165">
        <f t="shared" si="1"/>
        <v>241182.28513925785</v>
      </c>
      <c r="H23" s="538"/>
      <c r="I23" s="539"/>
      <c r="J23" s="539"/>
      <c r="K23" s="540"/>
    </row>
    <row r="24" spans="1:11">
      <c r="A24" s="120">
        <v>8</v>
      </c>
      <c r="B24" s="163">
        <f>'Valuation output'!J3</f>
        <v>374582.04370668501</v>
      </c>
      <c r="C24" s="121">
        <f>'Valuation output'!J4</f>
        <v>1.08</v>
      </c>
      <c r="D24" s="163">
        <f t="shared" si="0"/>
        <v>404548.60720321984</v>
      </c>
      <c r="E24" s="163">
        <f>'Valuation output'!J7</f>
        <v>300984.1637591956</v>
      </c>
      <c r="F24" s="163">
        <f>'Valuation output'!J8</f>
        <v>30865.560401430848</v>
      </c>
      <c r="G24" s="165">
        <f t="shared" si="1"/>
        <v>270118.60335776478</v>
      </c>
      <c r="H24" s="538"/>
      <c r="I24" s="539"/>
      <c r="J24" s="539"/>
      <c r="K24" s="540"/>
    </row>
    <row r="25" spans="1:11">
      <c r="A25" s="120">
        <v>9</v>
      </c>
      <c r="B25" s="163">
        <f>'Valuation output'!K3</f>
        <v>411620.71618840203</v>
      </c>
      <c r="C25" s="121">
        <f>'Valuation output'!K4</f>
        <v>1.08</v>
      </c>
      <c r="D25" s="163">
        <f t="shared" si="0"/>
        <v>444550.37348347425</v>
      </c>
      <c r="E25" s="163">
        <f>'Valuation output'!K7</f>
        <v>320965.36965506838</v>
      </c>
      <c r="F25" s="163">
        <f>'Valuation output'!K8</f>
        <v>25246.070592888624</v>
      </c>
      <c r="G25" s="165">
        <f t="shared" si="1"/>
        <v>295719.29906217975</v>
      </c>
      <c r="H25" s="538"/>
      <c r="I25" s="539"/>
      <c r="J25" s="539"/>
      <c r="K25" s="540"/>
    </row>
    <row r="26" spans="1:11">
      <c r="A26" s="120">
        <v>10</v>
      </c>
      <c r="B26" s="163">
        <f>'Valuation output'!L3</f>
        <v>441916.00089986838</v>
      </c>
      <c r="C26" s="121">
        <f>'Valuation output'!L4</f>
        <v>1.08</v>
      </c>
      <c r="D26" s="163">
        <f t="shared" si="0"/>
        <v>477269.28097185789</v>
      </c>
      <c r="E26" s="163">
        <f>'Valuation output'!L7</f>
        <v>334088.49668030051</v>
      </c>
      <c r="F26" s="163">
        <f>'Valuation output'!L8</f>
        <v>27104.181388525227</v>
      </c>
      <c r="G26" s="165">
        <f t="shared" si="1"/>
        <v>306984.31529177527</v>
      </c>
      <c r="H26" s="538"/>
      <c r="I26" s="539"/>
      <c r="J26" s="539"/>
      <c r="K26" s="540"/>
    </row>
    <row r="27" spans="1:11" ht="16.2" thickBot="1">
      <c r="A27" s="122" t="s">
        <v>38</v>
      </c>
      <c r="B27" s="164">
        <f>'Valuation output'!M3</f>
        <v>474441.01856609865</v>
      </c>
      <c r="C27" s="123">
        <f>'Valuation output'!M4</f>
        <v>1.08</v>
      </c>
      <c r="D27" s="163">
        <f t="shared" si="0"/>
        <v>512396.30005138658</v>
      </c>
      <c r="E27" s="164">
        <f>'Valuation output'!M7</f>
        <v>358677.41003597056</v>
      </c>
      <c r="F27" s="164">
        <f>'Valuation output'!M8</f>
        <v>230153.94401610666</v>
      </c>
      <c r="G27" s="165">
        <f t="shared" si="1"/>
        <v>128523.4660198639</v>
      </c>
      <c r="H27" s="541"/>
      <c r="I27" s="542"/>
      <c r="J27" s="542"/>
      <c r="K27" s="543"/>
    </row>
    <row r="28" spans="1:11" ht="16.2" thickBot="1">
      <c r="A28" s="552" t="s">
        <v>508</v>
      </c>
      <c r="B28" s="552"/>
      <c r="C28" s="552"/>
      <c r="D28" s="552"/>
      <c r="E28" s="552"/>
      <c r="F28" s="552"/>
      <c r="G28" s="552"/>
    </row>
    <row r="29" spans="1:11">
      <c r="A29" s="506" t="s">
        <v>509</v>
      </c>
      <c r="B29" s="507"/>
      <c r="C29" s="507"/>
      <c r="D29" s="433">
        <f>'Valuation output'!B18</f>
        <v>3127091.630653623</v>
      </c>
      <c r="E29" s="124"/>
      <c r="F29" s="125"/>
      <c r="G29" s="126"/>
      <c r="H29" s="544" t="s">
        <v>527</v>
      </c>
      <c r="I29" s="530"/>
      <c r="J29" s="530"/>
      <c r="K29" s="530"/>
    </row>
    <row r="30" spans="1:11">
      <c r="A30" s="504" t="s">
        <v>510</v>
      </c>
      <c r="B30" s="505"/>
      <c r="C30" s="505"/>
      <c r="D30" s="433">
        <f>'Valuation output'!B19</f>
        <v>1028956.6028426442</v>
      </c>
      <c r="E30" s="127"/>
      <c r="F30" s="128"/>
      <c r="G30" s="129"/>
      <c r="H30" s="544"/>
      <c r="I30" s="530"/>
      <c r="J30" s="530"/>
      <c r="K30" s="530"/>
    </row>
    <row r="31" spans="1:11">
      <c r="A31" s="504" t="s">
        <v>39</v>
      </c>
      <c r="B31" s="505"/>
      <c r="C31" s="505"/>
      <c r="D31" s="433">
        <f>'Valuation output'!B20</f>
        <v>862777.87209001556</v>
      </c>
      <c r="E31" s="127"/>
      <c r="F31" s="128"/>
      <c r="G31" s="129"/>
      <c r="H31" s="544"/>
      <c r="I31" s="530"/>
      <c r="J31" s="530"/>
      <c r="K31" s="530"/>
    </row>
    <row r="32" spans="1:11">
      <c r="A32" s="504" t="s">
        <v>37</v>
      </c>
      <c r="B32" s="505"/>
      <c r="C32" s="505"/>
      <c r="D32" s="433">
        <f>'Valuation output'!B21</f>
        <v>1891734.4749326599</v>
      </c>
      <c r="E32" s="127"/>
      <c r="F32" s="128"/>
      <c r="G32" s="129"/>
      <c r="H32" s="544"/>
      <c r="I32" s="530"/>
      <c r="J32" s="530"/>
      <c r="K32" s="530"/>
    </row>
    <row r="33" spans="1:13">
      <c r="A33" s="504" t="s">
        <v>518</v>
      </c>
      <c r="B33" s="505"/>
      <c r="C33" s="505"/>
      <c r="D33" s="433">
        <f>D32-'Valuation output'!B24</f>
        <v>0</v>
      </c>
      <c r="E33" s="545" t="s">
        <v>100</v>
      </c>
      <c r="F33" s="545"/>
      <c r="G33" s="381">
        <f>'Valuation output'!B22</f>
        <v>0</v>
      </c>
      <c r="H33" s="530"/>
      <c r="I33" s="530"/>
      <c r="J33" s="530"/>
      <c r="K33" s="530"/>
    </row>
    <row r="34" spans="1:13">
      <c r="A34" s="504" t="s">
        <v>606</v>
      </c>
      <c r="B34" s="505"/>
      <c r="C34" s="505"/>
      <c r="D34" s="433">
        <f>'Valuation output'!B25+'Valuation output'!B26</f>
        <v>129349.04</v>
      </c>
      <c r="E34" s="127"/>
      <c r="F34" s="128"/>
      <c r="G34" s="129"/>
      <c r="H34" s="544"/>
      <c r="I34" s="530"/>
      <c r="J34" s="530"/>
      <c r="K34" s="530"/>
    </row>
    <row r="35" spans="1:13">
      <c r="A35" s="504" t="s">
        <v>519</v>
      </c>
      <c r="B35" s="505"/>
      <c r="C35" s="505"/>
      <c r="D35" s="433">
        <f>'Valuation output'!B27+'Valuation output'!B28</f>
        <v>350.73</v>
      </c>
      <c r="E35" s="127"/>
      <c r="F35" s="128"/>
      <c r="G35" s="129"/>
      <c r="H35" s="544"/>
      <c r="I35" s="530"/>
      <c r="J35" s="530"/>
      <c r="K35" s="530"/>
    </row>
    <row r="36" spans="1:13">
      <c r="A36" s="504" t="s">
        <v>45</v>
      </c>
      <c r="B36" s="505"/>
      <c r="C36" s="505"/>
      <c r="D36" s="433">
        <f>D32-D33-D34+D35</f>
        <v>1762736.1649326598</v>
      </c>
      <c r="E36" s="127"/>
      <c r="F36" s="128"/>
      <c r="G36" s="129"/>
      <c r="H36" s="544"/>
      <c r="I36" s="530"/>
      <c r="J36" s="530"/>
      <c r="K36" s="530"/>
    </row>
    <row r="37" spans="1:13">
      <c r="A37" s="504" t="s">
        <v>520</v>
      </c>
      <c r="B37" s="505"/>
      <c r="C37" s="505"/>
      <c r="D37" s="433">
        <f>'Valuation output'!B30</f>
        <v>0</v>
      </c>
      <c r="E37" s="127"/>
      <c r="F37" s="128"/>
      <c r="G37" s="129"/>
      <c r="H37" s="544"/>
      <c r="I37" s="530"/>
      <c r="J37" s="530"/>
      <c r="K37" s="530"/>
    </row>
    <row r="38" spans="1:13" ht="16.2" thickBot="1">
      <c r="A38" s="557" t="s">
        <v>516</v>
      </c>
      <c r="B38" s="558"/>
      <c r="C38" s="559"/>
      <c r="D38" s="434">
        <f>'Valuation output'!B32</f>
        <v>1042.5999999999999</v>
      </c>
      <c r="G38" s="129"/>
      <c r="H38" s="544"/>
      <c r="I38" s="530"/>
      <c r="J38" s="530"/>
      <c r="K38" s="530"/>
    </row>
    <row r="39" spans="1:13" ht="16.2" thickBot="1">
      <c r="A39" s="553" t="s">
        <v>496</v>
      </c>
      <c r="B39" s="554"/>
      <c r="C39" s="555"/>
      <c r="D39" s="433">
        <f>(D36-D37)/D38</f>
        <v>1690.711840526242</v>
      </c>
      <c r="E39" s="556" t="s">
        <v>521</v>
      </c>
      <c r="F39" s="556"/>
      <c r="G39" s="135">
        <f>'Input sheet'!B22</f>
        <v>58.99</v>
      </c>
      <c r="H39" s="544"/>
      <c r="I39" s="530"/>
      <c r="J39" s="530"/>
      <c r="K39" s="530"/>
      <c r="M39" s="149"/>
    </row>
    <row r="40" spans="1:13">
      <c r="M40" s="142"/>
    </row>
  </sheetData>
  <mergeCells count="24">
    <mergeCell ref="A33:C33"/>
    <mergeCell ref="A32:C32"/>
    <mergeCell ref="E39:F39"/>
    <mergeCell ref="A31:C31"/>
    <mergeCell ref="A34:C34"/>
    <mergeCell ref="A35:C35"/>
    <mergeCell ref="A38:C38"/>
    <mergeCell ref="A36:C36"/>
    <mergeCell ref="A1:F1"/>
    <mergeCell ref="A37:C37"/>
    <mergeCell ref="A29:C29"/>
    <mergeCell ref="A3:G6"/>
    <mergeCell ref="H3:K6"/>
    <mergeCell ref="H9:K14"/>
    <mergeCell ref="H16:K27"/>
    <mergeCell ref="H29:K39"/>
    <mergeCell ref="E33:F33"/>
    <mergeCell ref="D13:E13"/>
    <mergeCell ref="A2:G2"/>
    <mergeCell ref="A7:G7"/>
    <mergeCell ref="A15:G15"/>
    <mergeCell ref="A28:G28"/>
    <mergeCell ref="A30:C30"/>
    <mergeCell ref="A39:C39"/>
  </mergeCells>
  <pageMargins left="0.75" right="0.75" top="1" bottom="1" header="0.3" footer="0.3"/>
  <pageSetup orientation="portrait" horizontalDpi="0" verticalDpi="0"/>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4"/>
  <sheetViews>
    <sheetView zoomScale="148" zoomScaleNormal="148" workbookViewId="0">
      <selection activeCell="J27" sqref="J27"/>
    </sheetView>
  </sheetViews>
  <sheetFormatPr defaultColWidth="11" defaultRowHeight="11.4"/>
  <sheetData>
    <row r="1" spans="1:12" s="5" customFormat="1" ht="17.399999999999999">
      <c r="A1" s="15" t="s">
        <v>105</v>
      </c>
      <c r="B1" s="15"/>
      <c r="C1" s="15"/>
      <c r="D1" s="15"/>
      <c r="E1" s="15"/>
      <c r="F1" s="15"/>
      <c r="G1" s="15"/>
      <c r="H1" s="15"/>
      <c r="I1" s="15"/>
      <c r="J1" s="15"/>
      <c r="K1" s="15"/>
    </row>
    <row r="2" spans="1:12" s="5" customFormat="1" ht="18" thickBot="1">
      <c r="A2" s="15" t="s">
        <v>145</v>
      </c>
      <c r="B2" s="15"/>
      <c r="C2" s="15"/>
      <c r="D2" s="15"/>
      <c r="E2" s="15"/>
      <c r="F2" s="15"/>
      <c r="G2" s="15"/>
      <c r="H2" s="15"/>
      <c r="I2" s="15"/>
      <c r="J2" s="15"/>
      <c r="K2" s="15"/>
    </row>
    <row r="3" spans="1:12" s="11" customFormat="1" ht="13.05" customHeight="1">
      <c r="A3" s="11" t="s">
        <v>4</v>
      </c>
      <c r="H3" s="621" t="s">
        <v>722</v>
      </c>
      <c r="I3" s="622"/>
      <c r="J3" s="622"/>
      <c r="K3" s="622"/>
      <c r="L3" s="623"/>
    </row>
    <row r="4" spans="1:12" s="6" customFormat="1" ht="13.2">
      <c r="A4" s="6" t="s">
        <v>106</v>
      </c>
      <c r="E4" s="19">
        <v>295</v>
      </c>
      <c r="H4" s="624"/>
      <c r="I4" s="625"/>
      <c r="J4" s="625"/>
      <c r="K4" s="625"/>
      <c r="L4" s="626"/>
    </row>
    <row r="5" spans="1:12" s="9" customFormat="1" ht="13.2">
      <c r="A5" s="9" t="s">
        <v>107</v>
      </c>
      <c r="H5" s="624"/>
      <c r="I5" s="625"/>
      <c r="J5" s="625"/>
      <c r="K5" s="625"/>
      <c r="L5" s="626"/>
    </row>
    <row r="6" spans="1:12" s="6" customFormat="1" ht="13.2">
      <c r="A6" s="16" t="s">
        <v>108</v>
      </c>
      <c r="B6" s="16" t="s">
        <v>109</v>
      </c>
      <c r="C6" s="6" t="s">
        <v>110</v>
      </c>
      <c r="H6" s="624"/>
      <c r="I6" s="625"/>
      <c r="J6" s="625"/>
      <c r="K6" s="625"/>
      <c r="L6" s="626"/>
    </row>
    <row r="7" spans="1:12" s="6" customFormat="1" ht="13.2">
      <c r="A7" s="16">
        <v>1</v>
      </c>
      <c r="B7" s="167">
        <v>287</v>
      </c>
      <c r="H7" s="624"/>
      <c r="I7" s="625"/>
      <c r="J7" s="625"/>
      <c r="K7" s="625"/>
      <c r="L7" s="626"/>
    </row>
    <row r="8" spans="1:12" s="6" customFormat="1" ht="13.2">
      <c r="A8" s="16">
        <v>2</v>
      </c>
      <c r="B8" s="167">
        <v>235</v>
      </c>
      <c r="H8" s="624"/>
      <c r="I8" s="625"/>
      <c r="J8" s="625"/>
      <c r="K8" s="625"/>
      <c r="L8" s="626"/>
    </row>
    <row r="9" spans="1:12" s="6" customFormat="1" ht="13.2">
      <c r="A9" s="16">
        <v>3</v>
      </c>
      <c r="B9" s="167">
        <v>194</v>
      </c>
      <c r="H9" s="624"/>
      <c r="I9" s="625"/>
      <c r="J9" s="625"/>
      <c r="K9" s="625"/>
      <c r="L9" s="626"/>
    </row>
    <row r="10" spans="1:12" s="6" customFormat="1" ht="13.2">
      <c r="A10" s="16">
        <v>4</v>
      </c>
      <c r="B10" s="167">
        <v>151</v>
      </c>
      <c r="H10" s="624"/>
      <c r="I10" s="625"/>
      <c r="J10" s="625"/>
      <c r="K10" s="625"/>
      <c r="L10" s="626"/>
    </row>
    <row r="11" spans="1:12" s="6" customFormat="1" ht="13.8" thickBot="1">
      <c r="A11" s="16">
        <v>5</v>
      </c>
      <c r="B11" s="167">
        <v>98</v>
      </c>
      <c r="H11" s="627"/>
      <c r="I11" s="628"/>
      <c r="J11" s="628"/>
      <c r="K11" s="628"/>
      <c r="L11" s="629"/>
    </row>
    <row r="12" spans="1:12" s="6" customFormat="1" ht="13.8">
      <c r="A12" s="16" t="s">
        <v>111</v>
      </c>
      <c r="B12" s="140">
        <v>605</v>
      </c>
    </row>
    <row r="13" spans="1:12" s="6" customFormat="1" ht="13.2"/>
    <row r="14" spans="1:12" s="17" customFormat="1" ht="16.2" thickBot="1">
      <c r="A14" s="17" t="s">
        <v>112</v>
      </c>
    </row>
    <row r="15" spans="1:12" s="6" customFormat="1" ht="13.8" thickBot="1">
      <c r="A15" s="6" t="s">
        <v>113</v>
      </c>
      <c r="C15" s="38">
        <f>'Cost of capital worksheet'!B37</f>
        <v>8.2799999999999999E-2</v>
      </c>
      <c r="D15" s="6" t="s">
        <v>218</v>
      </c>
    </row>
    <row r="16" spans="1:12" s="6" customFormat="1" ht="13.2"/>
    <row r="17" spans="1:7" s="6" customFormat="1" ht="13.2">
      <c r="D17" s="20"/>
    </row>
    <row r="18" spans="1:7" s="6" customFormat="1" ht="13.2">
      <c r="A18" s="6" t="s">
        <v>114</v>
      </c>
      <c r="D18" s="21">
        <f>IF(B12&gt;0,ROUND(B12/AVERAGE(B7:B11),0),0)</f>
        <v>3</v>
      </c>
      <c r="E18" s="6" t="s">
        <v>115</v>
      </c>
    </row>
    <row r="19" spans="1:7" s="11" customFormat="1" ht="13.2">
      <c r="E19" s="6" t="s">
        <v>116</v>
      </c>
    </row>
    <row r="20" spans="1:7" s="9" customFormat="1" ht="13.2">
      <c r="A20" s="9" t="s">
        <v>117</v>
      </c>
    </row>
    <row r="21" spans="1:7" s="6" customFormat="1" ht="13.2">
      <c r="A21" s="16" t="s">
        <v>108</v>
      </c>
      <c r="B21" s="16" t="s">
        <v>109</v>
      </c>
      <c r="C21" s="16" t="s">
        <v>118</v>
      </c>
    </row>
    <row r="22" spans="1:7" s="6" customFormat="1" ht="13.2">
      <c r="A22" s="12">
        <f>A7</f>
        <v>1</v>
      </c>
      <c r="B22" s="14">
        <f>B7</f>
        <v>287</v>
      </c>
      <c r="C22" s="7">
        <f>B22/(1+$C$15)^A22</f>
        <v>265.05356483191724</v>
      </c>
    </row>
    <row r="23" spans="1:7" s="6" customFormat="1" ht="13.2">
      <c r="A23" s="12">
        <f t="shared" ref="A23:B26" si="0">A8</f>
        <v>2</v>
      </c>
      <c r="B23" s="14">
        <f t="shared" si="0"/>
        <v>235</v>
      </c>
      <c r="C23" s="7">
        <f>B23/(1+$C$15)^A23</f>
        <v>200.43398820035728</v>
      </c>
    </row>
    <row r="24" spans="1:7" s="6" customFormat="1" ht="13.2">
      <c r="A24" s="12">
        <f t="shared" si="0"/>
        <v>3</v>
      </c>
      <c r="B24" s="14">
        <f t="shared" si="0"/>
        <v>194</v>
      </c>
      <c r="C24" s="7">
        <f>B24/(1+$C$15)^A24</f>
        <v>152.81183421574215</v>
      </c>
    </row>
    <row r="25" spans="1:7" s="6" customFormat="1" ht="13.2">
      <c r="A25" s="12">
        <f t="shared" si="0"/>
        <v>4</v>
      </c>
      <c r="B25" s="14">
        <f t="shared" si="0"/>
        <v>151</v>
      </c>
      <c r="C25" s="7">
        <f>B25/(1+$C$15)^A25</f>
        <v>109.8459271618116</v>
      </c>
    </row>
    <row r="26" spans="1:7" s="6" customFormat="1" ht="13.2">
      <c r="A26" s="12">
        <f t="shared" si="0"/>
        <v>5</v>
      </c>
      <c r="B26" s="14">
        <f t="shared" si="0"/>
        <v>98</v>
      </c>
      <c r="C26" s="7">
        <f>B26/(1+$C$15)^A26</f>
        <v>65.839244721543224</v>
      </c>
    </row>
    <row r="27" spans="1:7" s="6" customFormat="1" ht="13.8" thickBot="1">
      <c r="A27" s="22" t="str">
        <f>A12</f>
        <v>6 and beyond</v>
      </c>
      <c r="B27" s="23">
        <f>IF(B12&gt;0,IF(D18&gt;0,B12/D18,B12),0)</f>
        <v>201.66666666666666</v>
      </c>
      <c r="C27" s="24">
        <f>IF(D18&gt;0,(B27*(1-(1+C15)^(-D18))/C15)/(1+$C$15)^5,B27/(1+C15)^6)</f>
        <v>347.4027643220532</v>
      </c>
      <c r="D27" s="6" t="s">
        <v>119</v>
      </c>
    </row>
    <row r="28" spans="1:7" s="6" customFormat="1" ht="13.8" thickBot="1">
      <c r="A28" s="18" t="s">
        <v>120</v>
      </c>
      <c r="B28" s="25"/>
      <c r="C28" s="26">
        <f>SUM(C22:C27)</f>
        <v>1141.3873234534246</v>
      </c>
    </row>
    <row r="29" spans="1:7" s="6" customFormat="1" ht="13.2"/>
    <row r="30" spans="1:7" s="6" customFormat="1" ht="13.2">
      <c r="A30" s="9" t="s">
        <v>121</v>
      </c>
    </row>
    <row r="31" spans="1:7" s="6" customFormat="1" ht="13.8" thickBot="1">
      <c r="A31" s="6" t="s">
        <v>122</v>
      </c>
      <c r="F31" s="24">
        <f>C28/(5+D18)</f>
        <v>142.67341543167808</v>
      </c>
      <c r="G31" s="6" t="s">
        <v>123</v>
      </c>
    </row>
    <row r="32" spans="1:7" s="6" customFormat="1" ht="13.8" thickBot="1">
      <c r="A32" s="6" t="s">
        <v>124</v>
      </c>
      <c r="F32" s="39">
        <f>E4-F31</f>
        <v>152.32658456832192</v>
      </c>
      <c r="G32" s="6" t="s">
        <v>126</v>
      </c>
    </row>
    <row r="33" spans="1:7" s="6" customFormat="1" ht="13.8" thickBot="1">
      <c r="A33" s="6" t="s">
        <v>125</v>
      </c>
      <c r="F33" s="27">
        <f>C28</f>
        <v>1141.3873234534246</v>
      </c>
      <c r="G33" s="6" t="s">
        <v>127</v>
      </c>
    </row>
    <row r="34" spans="1:7" ht="13.2">
      <c r="A34" s="6" t="s">
        <v>467</v>
      </c>
      <c r="F34" s="108">
        <f>C28/(5+D18)</f>
        <v>142.67341543167808</v>
      </c>
    </row>
  </sheetData>
  <mergeCells count="1">
    <mergeCell ref="H3:L11"/>
  </mergeCells>
  <pageMargins left="0.75" right="0.75" top="1" bottom="1" header="0.5" footer="0.5"/>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89"/>
  <sheetViews>
    <sheetView topLeftCell="A12" workbookViewId="0">
      <selection activeCell="C28" sqref="C28"/>
    </sheetView>
  </sheetViews>
  <sheetFormatPr defaultColWidth="11" defaultRowHeight="11.4"/>
  <cols>
    <col min="1" max="1" width="40.125" bestFit="1" customWidth="1"/>
    <col min="2" max="2" width="17.375" bestFit="1" customWidth="1"/>
    <col min="3" max="3" width="12.875" bestFit="1" customWidth="1"/>
    <col min="4" max="4" width="13.625" customWidth="1"/>
    <col min="5" max="5" width="12" customWidth="1"/>
    <col min="7" max="7" width="19.5" bestFit="1" customWidth="1"/>
    <col min="8" max="8" width="16.375" customWidth="1"/>
    <col min="10" max="10" width="14.625" customWidth="1"/>
    <col min="11" max="11" width="18.125" bestFit="1" customWidth="1"/>
    <col min="12" max="12" width="17.5" customWidth="1"/>
  </cols>
  <sheetData>
    <row r="1" spans="1:17">
      <c r="A1" s="643" t="s">
        <v>585</v>
      </c>
      <c r="B1" s="643"/>
      <c r="C1" s="643"/>
      <c r="D1" s="643"/>
      <c r="E1" s="643"/>
      <c r="F1" s="643"/>
      <c r="G1" s="643"/>
      <c r="H1" s="643"/>
      <c r="I1" s="643"/>
      <c r="J1" s="643"/>
      <c r="K1" s="643"/>
    </row>
    <row r="2" spans="1:17">
      <c r="A2" s="643"/>
      <c r="B2" s="643"/>
      <c r="C2" s="643"/>
      <c r="D2" s="643"/>
      <c r="E2" s="643"/>
      <c r="F2" s="643"/>
      <c r="G2" s="643"/>
      <c r="H2" s="643"/>
      <c r="I2" s="643"/>
      <c r="J2" s="643"/>
      <c r="K2" s="643"/>
    </row>
    <row r="3" spans="1:17" s="57" customFormat="1" ht="18.600000000000001" thickBot="1">
      <c r="A3" s="644" t="s">
        <v>164</v>
      </c>
      <c r="B3" s="644"/>
      <c r="C3" s="644"/>
      <c r="D3" s="644"/>
      <c r="E3" s="644"/>
      <c r="G3" s="70" t="s">
        <v>482</v>
      </c>
    </row>
    <row r="4" spans="1:17" s="8" customFormat="1" ht="15" customHeight="1">
      <c r="A4" s="632" t="s">
        <v>861</v>
      </c>
      <c r="B4" s="633"/>
      <c r="C4" s="633"/>
      <c r="D4" s="633"/>
      <c r="E4" s="634"/>
      <c r="F4" s="57"/>
      <c r="G4" s="81" t="s">
        <v>332</v>
      </c>
      <c r="H4" s="81" t="s">
        <v>5</v>
      </c>
      <c r="I4" s="81" t="s">
        <v>358</v>
      </c>
      <c r="J4" s="81" t="s">
        <v>360</v>
      </c>
      <c r="K4" s="81" t="s">
        <v>359</v>
      </c>
    </row>
    <row r="5" spans="1:17" s="6" customFormat="1" ht="15" customHeight="1">
      <c r="A5" s="635"/>
      <c r="B5" s="636"/>
      <c r="C5" s="636"/>
      <c r="D5" s="636"/>
      <c r="E5" s="637"/>
      <c r="F5" s="57"/>
      <c r="G5" s="79" t="s">
        <v>327</v>
      </c>
      <c r="H5" s="79">
        <v>193636</v>
      </c>
      <c r="I5" s="64">
        <f>IF(H5=0,0,VLOOKUP(G5,'Country equity risk premiums'!$A$5:$D$195,4))</f>
        <v>4.1099999999999998E-2</v>
      </c>
      <c r="J5" s="64">
        <f t="shared" ref="J5:J12" si="0">IF(H5&gt;0,H5/$H$18,)</f>
        <v>0.85880667580309666</v>
      </c>
      <c r="K5" s="64">
        <f t="shared" ref="K5:K12" si="1">IF(J5=0,0,I5*J5)</f>
        <v>3.529695437550727E-2</v>
      </c>
      <c r="M5" s="642" t="s">
        <v>529</v>
      </c>
      <c r="N5" s="642"/>
      <c r="O5" s="642"/>
      <c r="P5" s="642"/>
      <c r="Q5" s="642"/>
    </row>
    <row r="6" spans="1:17" s="6" customFormat="1" ht="15" customHeight="1">
      <c r="A6" s="635"/>
      <c r="B6" s="636"/>
      <c r="C6" s="636"/>
      <c r="D6" s="636"/>
      <c r="E6" s="637"/>
      <c r="F6" s="57"/>
      <c r="G6" s="79" t="s">
        <v>251</v>
      </c>
      <c r="H6" s="79">
        <v>500</v>
      </c>
      <c r="I6" s="64">
        <f>IF(H6=0,0,VLOOKUP(G6,'Country equity risk premiums'!$A$5:$D$195,4))</f>
        <v>4.9712594284146823E-2</v>
      </c>
      <c r="J6" s="64">
        <f t="shared" si="0"/>
        <v>2.2175800879048746E-3</v>
      </c>
      <c r="K6" s="64">
        <f t="shared" si="1"/>
        <v>1.1024165920261768E-4</v>
      </c>
      <c r="M6" s="642"/>
      <c r="N6" s="642"/>
      <c r="O6" s="642"/>
      <c r="P6" s="642"/>
      <c r="Q6" s="642"/>
    </row>
    <row r="7" spans="1:17" s="6" customFormat="1" ht="15" customHeight="1">
      <c r="A7" s="635"/>
      <c r="B7" s="636"/>
      <c r="C7" s="636"/>
      <c r="D7" s="636"/>
      <c r="E7" s="637"/>
      <c r="F7" s="57"/>
      <c r="G7" s="79"/>
      <c r="H7" s="79"/>
      <c r="I7" s="64">
        <f>IF(H7=0,0,VLOOKUP(G7,'Country equity risk premiums'!$A$5:$D$195,4))</f>
        <v>0</v>
      </c>
      <c r="J7" s="64">
        <f t="shared" si="0"/>
        <v>0</v>
      </c>
      <c r="K7" s="64">
        <f t="shared" si="1"/>
        <v>0</v>
      </c>
      <c r="M7" s="642"/>
      <c r="N7" s="642"/>
      <c r="O7" s="642"/>
      <c r="P7" s="642"/>
      <c r="Q7" s="642"/>
    </row>
    <row r="8" spans="1:17" s="6" customFormat="1" ht="15" customHeight="1">
      <c r="A8" s="635"/>
      <c r="B8" s="636"/>
      <c r="C8" s="636"/>
      <c r="D8" s="636"/>
      <c r="E8" s="637"/>
      <c r="F8" s="57"/>
      <c r="G8" s="79"/>
      <c r="H8" s="79"/>
      <c r="I8" s="64">
        <f>IF(H8=0,0,VLOOKUP(G8,'Country equity risk premiums'!$A$5:$D$195,4))</f>
        <v>0</v>
      </c>
      <c r="J8" s="64">
        <f t="shared" si="0"/>
        <v>0</v>
      </c>
      <c r="K8" s="64">
        <f t="shared" si="1"/>
        <v>0</v>
      </c>
      <c r="M8" s="642"/>
      <c r="N8" s="642"/>
      <c r="O8" s="642"/>
      <c r="P8" s="642"/>
      <c r="Q8" s="642"/>
    </row>
    <row r="9" spans="1:17" s="6" customFormat="1" ht="15" customHeight="1" thickBot="1">
      <c r="A9" s="638"/>
      <c r="B9" s="639"/>
      <c r="C9" s="639"/>
      <c r="D9" s="639"/>
      <c r="E9" s="640"/>
      <c r="F9" s="57"/>
      <c r="G9" s="79"/>
      <c r="H9" s="79"/>
      <c r="I9" s="64">
        <f>IF(H9=0,0,VLOOKUP(G9,'Country equity risk premiums'!$A$5:$D$195,4))</f>
        <v>0</v>
      </c>
      <c r="J9" s="64">
        <f t="shared" si="0"/>
        <v>0</v>
      </c>
      <c r="K9" s="64">
        <f t="shared" si="1"/>
        <v>0</v>
      </c>
      <c r="M9" s="642"/>
      <c r="N9" s="642"/>
      <c r="O9" s="642"/>
      <c r="P9" s="642"/>
      <c r="Q9" s="642"/>
    </row>
    <row r="10" spans="1:17" s="6" customFormat="1" ht="15" customHeight="1">
      <c r="A10" s="183"/>
      <c r="B10" s="183"/>
      <c r="C10" s="183"/>
      <c r="D10" s="183"/>
      <c r="E10" s="183"/>
      <c r="F10" s="57"/>
      <c r="G10" s="79"/>
      <c r="H10" s="79"/>
      <c r="I10" s="64">
        <f>IF(H10=0,0,VLOOKUP(G10,'Country equity risk premiums'!$A$5:$D$195,4))</f>
        <v>0</v>
      </c>
      <c r="J10" s="64">
        <f t="shared" si="0"/>
        <v>0</v>
      </c>
      <c r="K10" s="64">
        <f t="shared" si="1"/>
        <v>0</v>
      </c>
      <c r="M10" s="642"/>
      <c r="N10" s="642"/>
      <c r="O10" s="642"/>
      <c r="P10" s="642"/>
      <c r="Q10" s="642"/>
    </row>
    <row r="11" spans="1:17" s="6" customFormat="1" ht="15" customHeight="1">
      <c r="A11" s="183" t="s">
        <v>732</v>
      </c>
      <c r="B11" s="184" t="s">
        <v>743</v>
      </c>
      <c r="C11" s="183"/>
      <c r="D11" s="183"/>
      <c r="E11" s="183"/>
      <c r="F11" s="57"/>
      <c r="G11" s="79"/>
      <c r="H11" s="79"/>
      <c r="I11" s="64">
        <f>IF(H11=0,0,VLOOKUP(G11,'Country equity risk premiums'!$A$5:$D$195,4))</f>
        <v>0</v>
      </c>
      <c r="J11" s="64">
        <f t="shared" si="0"/>
        <v>0</v>
      </c>
      <c r="K11" s="64">
        <f t="shared" si="1"/>
        <v>0</v>
      </c>
      <c r="M11" s="642"/>
      <c r="N11" s="642"/>
      <c r="O11" s="642"/>
      <c r="P11" s="642"/>
      <c r="Q11" s="642"/>
    </row>
    <row r="12" spans="1:17" s="6" customFormat="1" ht="15" customHeight="1">
      <c r="A12" s="183" t="s">
        <v>736</v>
      </c>
      <c r="B12" s="185">
        <v>0.09</v>
      </c>
      <c r="C12" s="183"/>
      <c r="D12" s="183"/>
      <c r="E12" s="183"/>
      <c r="F12" s="57"/>
      <c r="G12" s="79"/>
      <c r="H12" s="79"/>
      <c r="I12" s="64">
        <f>IF(H12=0,0,VLOOKUP(G12,'Country equity risk premiums'!$A$5:$D$195,4))</f>
        <v>0</v>
      </c>
      <c r="J12" s="64">
        <f t="shared" si="0"/>
        <v>0</v>
      </c>
      <c r="K12" s="64">
        <f t="shared" si="1"/>
        <v>0</v>
      </c>
      <c r="M12" s="642"/>
      <c r="N12" s="642"/>
      <c r="O12" s="642"/>
      <c r="P12" s="642"/>
      <c r="Q12" s="642"/>
    </row>
    <row r="13" spans="1:17" s="6" customFormat="1" ht="15" customHeight="1">
      <c r="A13" s="183" t="s">
        <v>735</v>
      </c>
      <c r="B13" s="186">
        <f>IF(B11="I will input",B12,IF(B11="Detailed",E62,IF(B11="Industry Average",B67,B72)))</f>
        <v>0.11879999999999999</v>
      </c>
      <c r="C13" s="183"/>
      <c r="D13" s="183"/>
      <c r="E13" s="183"/>
      <c r="F13" s="57"/>
      <c r="G13" s="79"/>
      <c r="H13" s="79"/>
      <c r="I13" s="64">
        <f>IF(H13=0,0,VLOOKUP(G13,'Country equity risk premiums'!$A$5:$D$195,4))</f>
        <v>0</v>
      </c>
      <c r="J13" s="64">
        <f>IF(H13&gt;0,H13/$H$18,)</f>
        <v>0</v>
      </c>
      <c r="K13" s="64">
        <f>IF(J13=0,0,I13*J13)</f>
        <v>0</v>
      </c>
      <c r="M13" s="642"/>
      <c r="N13" s="642"/>
      <c r="O13" s="642"/>
      <c r="P13" s="642"/>
      <c r="Q13" s="642"/>
    </row>
    <row r="14" spans="1:17" s="6" customFormat="1" ht="15" customHeight="1" thickBot="1">
      <c r="A14" s="183"/>
      <c r="B14" s="183"/>
      <c r="C14" s="183"/>
      <c r="D14" s="183"/>
      <c r="E14" s="183"/>
      <c r="F14" s="57"/>
      <c r="G14" s="79"/>
      <c r="H14" s="79"/>
      <c r="I14" s="64">
        <f>IF(H14=0,0,VLOOKUP(G14,'Country equity risk premiums'!$A$5:$D$195,4))</f>
        <v>0</v>
      </c>
      <c r="J14" s="64">
        <f>IF(H14&gt;0,H14/$H$18,)</f>
        <v>0</v>
      </c>
      <c r="K14" s="64">
        <f>IF(J14=0,0,I14*J14)</f>
        <v>0</v>
      </c>
      <c r="M14" s="642"/>
      <c r="N14" s="642"/>
      <c r="O14" s="642"/>
      <c r="P14" s="642"/>
      <c r="Q14" s="642"/>
    </row>
    <row r="15" spans="1:17" s="6" customFormat="1" ht="15" customHeight="1" thickBot="1">
      <c r="A15" s="645" t="s">
        <v>724</v>
      </c>
      <c r="B15" s="646"/>
      <c r="C15" s="646"/>
      <c r="D15" s="646"/>
      <c r="E15" s="646"/>
      <c r="F15" s="647"/>
      <c r="G15" s="79"/>
      <c r="H15" s="79"/>
      <c r="I15" s="64">
        <f>IF(H15=0,0,VLOOKUP(G15,'Country equity risk premiums'!$A$5:$D$195,4))</f>
        <v>0</v>
      </c>
      <c r="J15" s="64">
        <f>IF(H15&gt;0,H15/$H$18,)</f>
        <v>0</v>
      </c>
      <c r="K15" s="64">
        <f>IF(J15=0,0,I15*J15)</f>
        <v>0</v>
      </c>
      <c r="M15" s="642"/>
      <c r="N15" s="642"/>
      <c r="O15" s="642"/>
      <c r="P15" s="642"/>
      <c r="Q15" s="642"/>
    </row>
    <row r="16" spans="1:17" s="6" customFormat="1" ht="15" customHeight="1">
      <c r="A16" s="8" t="s">
        <v>4</v>
      </c>
      <c r="B16" s="175"/>
      <c r="C16" s="105"/>
      <c r="D16" s="8"/>
      <c r="E16" s="8"/>
      <c r="F16" s="8"/>
      <c r="G16" s="137" t="s">
        <v>588</v>
      </c>
      <c r="H16" s="79">
        <v>31335</v>
      </c>
      <c r="I16" s="143">
        <v>6.4100000000000004E-2</v>
      </c>
      <c r="J16" s="64">
        <f>IF(H16&gt;0,H16/$H$18,)</f>
        <v>0.13897574410899849</v>
      </c>
      <c r="K16" s="64">
        <f>IF(J16=0,0,I16*J16)</f>
        <v>8.9083451973868029E-3</v>
      </c>
      <c r="M16" s="642"/>
      <c r="N16" s="642"/>
      <c r="O16" s="642"/>
      <c r="P16" s="642"/>
      <c r="Q16" s="642"/>
    </row>
    <row r="17" spans="1:17" s="6" customFormat="1" ht="15" customHeight="1">
      <c r="A17" s="11" t="s">
        <v>165</v>
      </c>
      <c r="B17" s="176"/>
      <c r="G17" s="137"/>
      <c r="H17" s="79"/>
      <c r="I17" s="137"/>
      <c r="J17" s="64">
        <f>IF(H17&gt;0,H17/$H$18,)</f>
        <v>0</v>
      </c>
      <c r="K17" s="64">
        <f>IF(J17=0,0,I17*J17)</f>
        <v>0</v>
      </c>
      <c r="M17" s="642"/>
      <c r="N17" s="642"/>
      <c r="O17" s="642"/>
      <c r="P17" s="642"/>
      <c r="Q17" s="642"/>
    </row>
    <row r="18" spans="1:17" s="6" customFormat="1" ht="15" customHeight="1">
      <c r="A18" s="6" t="s">
        <v>166</v>
      </c>
      <c r="B18" s="61">
        <f>'Input sheet'!B21</f>
        <v>1042.5999999999999</v>
      </c>
      <c r="G18" s="80" t="s">
        <v>361</v>
      </c>
      <c r="H18" s="80">
        <f>SUM(H5:H17)</f>
        <v>225471</v>
      </c>
      <c r="I18" s="80"/>
      <c r="J18" s="64">
        <f>SUM(J5:J17)</f>
        <v>1</v>
      </c>
      <c r="K18" s="64">
        <f>SUM(K5:K17)</f>
        <v>4.4315541232096689E-2</v>
      </c>
      <c r="M18" s="642"/>
      <c r="N18" s="642"/>
      <c r="O18" s="642"/>
      <c r="P18" s="642"/>
      <c r="Q18" s="642"/>
    </row>
    <row r="19" spans="1:17" s="6" customFormat="1" ht="15" customHeight="1">
      <c r="A19" s="6" t="s">
        <v>167</v>
      </c>
      <c r="B19" s="62">
        <f>'Input sheet'!B22</f>
        <v>58.99</v>
      </c>
      <c r="G19" s="70" t="s">
        <v>420</v>
      </c>
      <c r="M19" s="642"/>
      <c r="N19" s="642"/>
      <c r="O19" s="642"/>
      <c r="P19" s="642"/>
      <c r="Q19" s="642"/>
    </row>
    <row r="20" spans="1:17" s="6" customFormat="1" ht="15" customHeight="1">
      <c r="G20" s="12" t="s">
        <v>335</v>
      </c>
      <c r="H20" s="12" t="s">
        <v>5</v>
      </c>
      <c r="I20" s="12" t="s">
        <v>358</v>
      </c>
      <c r="J20" s="12" t="s">
        <v>360</v>
      </c>
      <c r="K20" s="12" t="s">
        <v>359</v>
      </c>
    </row>
    <row r="21" spans="1:17" s="6" customFormat="1" ht="15" customHeight="1">
      <c r="A21" s="6" t="s">
        <v>446</v>
      </c>
      <c r="B21" s="79" t="s">
        <v>452</v>
      </c>
      <c r="G21" s="12" t="str">
        <f>'Country equity risk premiums'!A201</f>
        <v>Africa</v>
      </c>
      <c r="H21" s="79"/>
      <c r="I21" s="13">
        <f>'Country equity risk premiums'!B201</f>
        <v>0.11683734316589314</v>
      </c>
      <c r="J21" s="64">
        <f t="shared" ref="J21:J29" si="2">H21/$H$32</f>
        <v>0</v>
      </c>
      <c r="K21" s="82">
        <f>I21*J21</f>
        <v>0</v>
      </c>
    </row>
    <row r="22" spans="1:17" s="6" customFormat="1" ht="15" customHeight="1">
      <c r="A22" s="6" t="s">
        <v>448</v>
      </c>
      <c r="B22" s="106">
        <v>1.2</v>
      </c>
      <c r="G22" s="12" t="str">
        <f>'Country equity risk premiums'!A202</f>
        <v>Asia</v>
      </c>
      <c r="H22" s="79">
        <v>36154</v>
      </c>
      <c r="I22" s="13">
        <f>'Country equity risk premiums'!B202</f>
        <v>5.5121781227330989E-2</v>
      </c>
      <c r="J22" s="64">
        <f t="shared" si="2"/>
        <v>9.5087805121812016E-2</v>
      </c>
      <c r="K22" s="82">
        <f t="shared" ref="K22:K29" si="3">I22*J22</f>
        <v>5.2414091913116053E-3</v>
      </c>
    </row>
    <row r="23" spans="1:17" s="6" customFormat="1" ht="15" customHeight="1">
      <c r="A23" s="6" t="s">
        <v>192</v>
      </c>
      <c r="B23" s="61">
        <f>IF(B21="Single Business(US)",VLOOKUP('Input sheet'!B8,'Industry Averages(US)'!A2:G95,7),IF(B21="Multibusiness(US)",K48,IF(B21="Single Business(Global)",VLOOKUP('Input sheet'!B9,'Industry Average Beta (Global)'!A2:G95,7),'Cost of capital worksheet'!K64)))</f>
        <v>0.64018804683047448</v>
      </c>
      <c r="G23" s="12" t="str">
        <f>'Country equity risk premiums'!A203</f>
        <v>Australia &amp; New Zealand</v>
      </c>
      <c r="H23" s="79"/>
      <c r="I23" s="13">
        <f>'Country equity risk premiums'!B203</f>
        <v>4.1139287052754374E-2</v>
      </c>
      <c r="J23" s="64">
        <f t="shared" si="2"/>
        <v>0</v>
      </c>
      <c r="K23" s="82">
        <f t="shared" si="3"/>
        <v>0</v>
      </c>
    </row>
    <row r="24" spans="1:17" s="6" customFormat="1" ht="15" customHeight="1">
      <c r="A24" s="6" t="s">
        <v>168</v>
      </c>
      <c r="B24" s="66">
        <f>'Input sheet'!B34</f>
        <v>7.3599999999999999E-2</v>
      </c>
      <c r="G24" s="12" t="str">
        <f>'Country equity risk premiums'!A204</f>
        <v>Caribbean</v>
      </c>
      <c r="H24" s="79"/>
      <c r="I24" s="13">
        <f>'Country equity risk premiums'!B204</f>
        <v>0.1152398876495359</v>
      </c>
      <c r="J24" s="64">
        <f t="shared" si="2"/>
        <v>0</v>
      </c>
      <c r="K24" s="82">
        <f t="shared" si="3"/>
        <v>0</v>
      </c>
    </row>
    <row r="25" spans="1:17" s="6" customFormat="1" ht="15" customHeight="1">
      <c r="A25" s="6" t="s">
        <v>412</v>
      </c>
      <c r="B25" s="101" t="s">
        <v>416</v>
      </c>
      <c r="G25" s="12" t="str">
        <f>'Country equity risk premiums'!A205</f>
        <v>Central and South America</v>
      </c>
      <c r="H25" s="79"/>
      <c r="I25" s="13">
        <f>'Country equity risk premiums'!B205</f>
        <v>8.7779347378296041E-2</v>
      </c>
      <c r="J25" s="64">
        <f t="shared" si="2"/>
        <v>0</v>
      </c>
      <c r="K25" s="82">
        <f t="shared" si="3"/>
        <v>0</v>
      </c>
    </row>
    <row r="26" spans="1:17" s="6" customFormat="1" ht="15" customHeight="1">
      <c r="A26" s="6" t="s">
        <v>418</v>
      </c>
      <c r="B26" s="101">
        <v>0.06</v>
      </c>
      <c r="G26" s="12" t="str">
        <f>'Country equity risk premiums'!A206</f>
        <v>Eastern Europe &amp; Russia</v>
      </c>
      <c r="H26" s="79"/>
      <c r="I26" s="13">
        <f>'Country equity risk premiums'!B206</f>
        <v>7.481322634397318E-2</v>
      </c>
      <c r="J26" s="64">
        <f t="shared" si="2"/>
        <v>0</v>
      </c>
      <c r="K26" s="82">
        <f t="shared" si="3"/>
        <v>0</v>
      </c>
    </row>
    <row r="27" spans="1:17" s="6" customFormat="1" ht="15" customHeight="1">
      <c r="A27" s="6" t="s">
        <v>419</v>
      </c>
      <c r="B27" s="102">
        <f>IF(B25="Will Input",B26,IF(B25="Country of Incorporation",VLOOKUP('Input sheet'!B7,'Country equity risk premiums'!A5:E195,4),IF(B25="Operating regions",'Cost of capital worksheet'!K32,'Cost of capital worksheet'!K18)))</f>
        <v>4.9015479559570481E-2</v>
      </c>
      <c r="G27" s="12" t="str">
        <f>'Country equity risk premiums'!A207</f>
        <v>Middle East</v>
      </c>
      <c r="H27" s="79"/>
      <c r="I27" s="13">
        <f>'Country equity risk premiums'!B207</f>
        <v>5.9317417528343748E-2</v>
      </c>
      <c r="J27" s="64">
        <f t="shared" si="2"/>
        <v>0</v>
      </c>
      <c r="K27" s="82">
        <f t="shared" si="3"/>
        <v>0</v>
      </c>
    </row>
    <row r="28" spans="1:17" s="6" customFormat="1" ht="15" customHeight="1">
      <c r="G28" s="12" t="str">
        <f>'Country equity risk premiums'!A208</f>
        <v>North America</v>
      </c>
      <c r="H28" s="79">
        <v>162560</v>
      </c>
      <c r="I28" s="13">
        <f>'Country equity risk premiums'!B208</f>
        <v>4.1099999999999998E-2</v>
      </c>
      <c r="J28" s="64">
        <f t="shared" si="2"/>
        <v>0.4275453228025049</v>
      </c>
      <c r="K28" s="82">
        <f t="shared" si="3"/>
        <v>1.757211276718295E-2</v>
      </c>
    </row>
    <row r="29" spans="1:17" s="6" customFormat="1" ht="15" customHeight="1">
      <c r="A29" s="11" t="s">
        <v>169</v>
      </c>
      <c r="G29" s="12" t="str">
        <f>'Country equity risk premiums'!A209</f>
        <v>Western Europe</v>
      </c>
      <c r="H29" s="79">
        <v>94294</v>
      </c>
      <c r="I29" s="13">
        <f>'Country equity risk premiums'!B209</f>
        <v>5.2371232668126128E-2</v>
      </c>
      <c r="J29" s="64">
        <f t="shared" si="2"/>
        <v>0.24800048393417443</v>
      </c>
      <c r="K29" s="82">
        <f t="shared" si="3"/>
        <v>1.2988091045924525E-2</v>
      </c>
    </row>
    <row r="30" spans="1:17" s="6" customFormat="1" ht="15" customHeight="1">
      <c r="A30" s="6" t="s">
        <v>170</v>
      </c>
      <c r="B30" s="62">
        <f>'Input sheet'!B15</f>
        <v>129349.04</v>
      </c>
      <c r="G30" s="79"/>
      <c r="H30" s="79">
        <f>14650</f>
        <v>14650</v>
      </c>
      <c r="I30" s="138">
        <v>6.4100000000000004E-2</v>
      </c>
      <c r="J30" s="64">
        <f>H30/$H$32</f>
        <v>3.8530628562110585E-2</v>
      </c>
      <c r="K30" s="82">
        <f>I30*J30</f>
        <v>2.4698132908312887E-3</v>
      </c>
    </row>
    <row r="31" spans="1:17" s="6" customFormat="1" ht="15" customHeight="1">
      <c r="A31" s="6" t="s">
        <v>171</v>
      </c>
      <c r="B31" s="62">
        <f>'Input sheet'!B13</f>
        <v>6316.44</v>
      </c>
      <c r="G31" s="79" t="s">
        <v>251</v>
      </c>
      <c r="H31" s="79">
        <v>72559</v>
      </c>
      <c r="I31" s="138">
        <v>5.6300000000000003E-2</v>
      </c>
      <c r="J31" s="64">
        <f>H31/$H$32</f>
        <v>0.19083575957939808</v>
      </c>
      <c r="K31" s="82">
        <f>I31*J31</f>
        <v>1.0744053264320113E-2</v>
      </c>
    </row>
    <row r="32" spans="1:17" s="6" customFormat="1" ht="15" customHeight="1">
      <c r="A32" s="6" t="s">
        <v>172</v>
      </c>
      <c r="B32" s="58">
        <v>3</v>
      </c>
      <c r="G32" s="80" t="s">
        <v>361</v>
      </c>
      <c r="H32" s="80">
        <f>SUM(H21:H31)</f>
        <v>380217</v>
      </c>
      <c r="I32" s="66"/>
      <c r="J32" s="64">
        <f>SUM(J21:J31)</f>
        <v>1</v>
      </c>
      <c r="K32" s="83">
        <f>SUM(K21:K31)</f>
        <v>4.9015479559570481E-2</v>
      </c>
    </row>
    <row r="33" spans="1:15" s="6" customFormat="1" ht="15" customHeight="1">
      <c r="A33" s="6" t="s">
        <v>425</v>
      </c>
      <c r="B33" s="73" t="s">
        <v>424</v>
      </c>
    </row>
    <row r="34" spans="1:15" s="6" customFormat="1" ht="15" customHeight="1">
      <c r="A34" s="6" t="s">
        <v>427</v>
      </c>
      <c r="B34" s="103">
        <v>0.04</v>
      </c>
      <c r="G34" s="57" t="s">
        <v>449</v>
      </c>
    </row>
    <row r="35" spans="1:15" s="6" customFormat="1" ht="15" customHeight="1">
      <c r="A35" s="6" t="s">
        <v>426</v>
      </c>
      <c r="B35" s="73" t="s">
        <v>440</v>
      </c>
      <c r="G35" s="12" t="s">
        <v>371</v>
      </c>
      <c r="H35" s="12" t="s">
        <v>5</v>
      </c>
      <c r="I35" s="12" t="s">
        <v>153</v>
      </c>
      <c r="J35" s="12" t="s">
        <v>372</v>
      </c>
      <c r="K35" s="12" t="s">
        <v>193</v>
      </c>
      <c r="L35" s="12" t="s">
        <v>135</v>
      </c>
    </row>
    <row r="36" spans="1:15" s="6" customFormat="1" ht="15" customHeight="1">
      <c r="A36" s="6" t="s">
        <v>443</v>
      </c>
      <c r="B36" s="73">
        <v>2</v>
      </c>
      <c r="G36" s="79" t="s">
        <v>654</v>
      </c>
      <c r="H36" s="84">
        <v>195010</v>
      </c>
      <c r="I36" s="85">
        <f>IF(G36=0,,VLOOKUP(G36,'Industry Averages(US)'!$A$2:$S$95,15))</f>
        <v>5.5117305732812101</v>
      </c>
      <c r="J36" s="86">
        <f>H36*I36</f>
        <v>1074842.5790955687</v>
      </c>
      <c r="K36" s="177">
        <f>IF(I36=0,0,VLOOKUP(G36,'Industry Averages(US)'!$A$2:$S$95,7))</f>
        <v>1.1003543807483607</v>
      </c>
      <c r="L36" s="179">
        <f>IF(I36=0,0,VLOOKUP(G36,'Industry Averages(US)'!$A$2:$S$95,13))</f>
        <v>8.7884327608428986E-2</v>
      </c>
    </row>
    <row r="37" spans="1:15" s="6" customFormat="1" ht="15" customHeight="1">
      <c r="A37" s="6" t="s">
        <v>113</v>
      </c>
      <c r="B37" s="102">
        <f>IF(B33="Direct Input",B34,IF(B33="Synthetic Rating",'Synthetic rating'!D16,B24+VLOOKUP('Cost of capital worksheet'!B35,'Synthetic rating'!G42:H56,2)))</f>
        <v>8.2799999999999999E-2</v>
      </c>
      <c r="G37" s="79" t="s">
        <v>609</v>
      </c>
      <c r="H37" s="84">
        <v>43000</v>
      </c>
      <c r="I37" s="85">
        <f>IF(G37=0,,VLOOKUP(G37,'Industry Averages(US)'!$A$2:$S$95,15))</f>
        <v>2.1770119295764263</v>
      </c>
      <c r="J37" s="86">
        <f>H37*I37</f>
        <v>93611.512971786331</v>
      </c>
      <c r="K37" s="177">
        <f>IF(I37=0,0,VLOOKUP(G37,'Industry Averages(US)'!$A$2:$S$95,7))</f>
        <v>0.8772051743933108</v>
      </c>
      <c r="L37" s="179">
        <f>IF(I37=0,0,VLOOKUP(G37,'Industry Averages(US)'!$A$2:$S$95,13))</f>
        <v>7.5361085152728532E-2</v>
      </c>
    </row>
    <row r="38" spans="1:15" s="6" customFormat="1" ht="15" customHeight="1">
      <c r="A38" s="6" t="s">
        <v>173</v>
      </c>
      <c r="B38" s="104">
        <f>'Input sheet'!B24</f>
        <v>0.3</v>
      </c>
      <c r="G38" s="79" t="s">
        <v>481</v>
      </c>
      <c r="H38" s="84">
        <v>15000</v>
      </c>
      <c r="I38" s="85">
        <f>IF(G38=0,,VLOOKUP(G38,'Industry Averages(US)'!$A$2:$S$95,15))</f>
        <v>3.0674272548861663</v>
      </c>
      <c r="J38" s="86">
        <f t="shared" ref="J38:J47" si="4">H38*I38</f>
        <v>46011.408823292491</v>
      </c>
      <c r="K38" s="177">
        <f>IF(I38=0,0,VLOOKUP(G38,'Industry Averages(US)'!$A$2:$S$95,7))</f>
        <v>0.86571919280395593</v>
      </c>
      <c r="L38" s="179">
        <f>IF(I38=0,0,VLOOKUP(G38,'Industry Averages(US)'!$A$2:$S$95,13))</f>
        <v>7.4634882763526755E-2</v>
      </c>
    </row>
    <row r="39" spans="1:15" s="6" customFormat="1" ht="15" customHeight="1">
      <c r="G39" s="79"/>
      <c r="H39" s="84"/>
      <c r="I39" s="85">
        <f>IF(G39=0,,VLOOKUP(G39,'Industry Averages(US)'!$A$2:$S$95,15))</f>
        <v>0</v>
      </c>
      <c r="J39" s="86">
        <f t="shared" si="4"/>
        <v>0</v>
      </c>
      <c r="K39" s="177">
        <f>IF(I39=0,0,VLOOKUP(G39,'Industry Averages(US)'!$A$2:$S$95,7))</f>
        <v>0</v>
      </c>
      <c r="L39" s="179">
        <f>IF(I39=0,0,VLOOKUP(G39,'Industry Averages(US)'!$A$2:$S$95,13))</f>
        <v>0</v>
      </c>
    </row>
    <row r="40" spans="1:15" s="59" customFormat="1" ht="15" customHeight="1">
      <c r="A40" s="6" t="s">
        <v>174</v>
      </c>
      <c r="B40" s="58">
        <v>0</v>
      </c>
      <c r="C40" s="6"/>
      <c r="D40" s="6"/>
      <c r="E40" s="6"/>
      <c r="F40" s="6"/>
      <c r="G40" s="79"/>
      <c r="H40" s="84"/>
      <c r="I40" s="85">
        <f>IF(G40=0,,VLOOKUP(G40,'Industry Averages(US)'!$A$2:$S$95,15))</f>
        <v>0</v>
      </c>
      <c r="J40" s="86">
        <f t="shared" si="4"/>
        <v>0</v>
      </c>
      <c r="K40" s="177">
        <f>IF(I40=0,0,VLOOKUP(G40,'Industry Averages(US)'!$A$2:$S$95,7))</f>
        <v>0</v>
      </c>
      <c r="L40" s="179">
        <f>IF(I40=0,0,VLOOKUP(G40,'Industry Averages(US)'!$A$2:$S$95,13))</f>
        <v>0</v>
      </c>
    </row>
    <row r="41" spans="1:15" s="6" customFormat="1" ht="15" customHeight="1">
      <c r="A41" s="6" t="s">
        <v>175</v>
      </c>
      <c r="B41" s="58">
        <v>0</v>
      </c>
      <c r="G41" s="79"/>
      <c r="H41" s="84"/>
      <c r="I41" s="85">
        <f>IF(G41=0,,VLOOKUP(G41,'Industry Averages(US)'!$A$2:$S$95,15))</f>
        <v>0</v>
      </c>
      <c r="J41" s="86">
        <f t="shared" si="4"/>
        <v>0</v>
      </c>
      <c r="K41" s="177">
        <f>IF(I41=0,0,VLOOKUP(G41,'Industry Averages(US)'!$A$2:$S$95,7))</f>
        <v>0</v>
      </c>
      <c r="L41" s="179">
        <f>IF(I41=0,0,VLOOKUP(G41,'Industry Averages(US)'!$A$2:$S$95,13))</f>
        <v>0</v>
      </c>
    </row>
    <row r="42" spans="1:15" s="6" customFormat="1" ht="15" customHeight="1">
      <c r="A42" s="6" t="s">
        <v>176</v>
      </c>
      <c r="B42" s="58">
        <v>0</v>
      </c>
      <c r="G42" s="79"/>
      <c r="H42" s="84"/>
      <c r="I42" s="85">
        <f>IF(G42=0,,VLOOKUP(G42,'Industry Averages(US)'!$A$2:$S$95,15))</f>
        <v>0</v>
      </c>
      <c r="J42" s="86">
        <f t="shared" si="4"/>
        <v>0</v>
      </c>
      <c r="K42" s="177">
        <f>IF(I42=0,0,VLOOKUP(G42,'Industry Averages(US)'!$A$2:$S$95,7))</f>
        <v>0</v>
      </c>
      <c r="L42" s="179">
        <f>IF(I42=0,0,VLOOKUP(G42,'Industry Averages(US)'!$A$2:$S$95,13))</f>
        <v>0</v>
      </c>
    </row>
    <row r="43" spans="1:15" s="6" customFormat="1" ht="15" customHeight="1">
      <c r="A43" s="6" t="s">
        <v>177</v>
      </c>
      <c r="B43" s="58">
        <v>0</v>
      </c>
      <c r="G43" s="79"/>
      <c r="H43" s="84"/>
      <c r="I43" s="85">
        <f>IF(G43=0,,VLOOKUP(G43,'Industry Averages(US)'!$A$2:$S$95,15))</f>
        <v>0</v>
      </c>
      <c r="J43" s="86">
        <f t="shared" si="4"/>
        <v>0</v>
      </c>
      <c r="K43" s="177">
        <f>IF(I43=0,0,VLOOKUP(G43,'Industry Averages(US)'!$A$2:$S$95,7))</f>
        <v>0</v>
      </c>
      <c r="L43" s="179">
        <f>IF(I43=0,0,VLOOKUP(G43,'Industry Averages(US)'!$A$2:$S$95,13))</f>
        <v>0</v>
      </c>
    </row>
    <row r="44" spans="1:15" ht="13.2">
      <c r="A44" s="6"/>
      <c r="B44" s="6"/>
      <c r="C44" s="6"/>
      <c r="D44" s="6"/>
      <c r="E44" s="6"/>
      <c r="F44" s="6"/>
      <c r="G44" s="79"/>
      <c r="H44" s="84"/>
      <c r="I44" s="85">
        <f>IF(G44=0,,VLOOKUP(G44,'Industry Averages(US)'!$A$2:$S$95,15))</f>
        <v>0</v>
      </c>
      <c r="J44" s="86">
        <f t="shared" si="4"/>
        <v>0</v>
      </c>
      <c r="K44" s="177">
        <f>IF(I44=0,0,VLOOKUP(G44,'Industry Averages(US)'!$A$2:$S$95,7))</f>
        <v>0</v>
      </c>
      <c r="L44" s="179">
        <f>IF(I44=0,0,VLOOKUP(G44,'Industry Averages(US)'!$A$2:$S$95,13))</f>
        <v>0</v>
      </c>
      <c r="M44" s="641" t="s">
        <v>746</v>
      </c>
      <c r="N44" s="641"/>
      <c r="O44" s="641"/>
    </row>
    <row r="45" spans="1:15" ht="13.2">
      <c r="A45" s="6" t="s">
        <v>178</v>
      </c>
      <c r="B45" s="62">
        <f>IF('Input sheet'!B17="Yes",'Operating lease converter'!F33,0)</f>
        <v>0</v>
      </c>
      <c r="C45" s="6"/>
      <c r="D45" s="6"/>
      <c r="E45" s="6"/>
      <c r="F45" s="6"/>
      <c r="G45" s="79"/>
      <c r="H45" s="84"/>
      <c r="I45" s="85">
        <f>IF(G45=0,,VLOOKUP(G45,'Industry Averages(US)'!$A$2:$S$95,15))</f>
        <v>0</v>
      </c>
      <c r="J45" s="86">
        <f t="shared" si="4"/>
        <v>0</v>
      </c>
      <c r="K45" s="177">
        <f>IF(I45=0,0,VLOOKUP(G45,'Industry Averages(US)'!$A$2:$S$95,7))</f>
        <v>0</v>
      </c>
      <c r="L45" s="179">
        <f>IF(I45=0,0,VLOOKUP(G45,'Industry Averages(US)'!$A$2:$S$95,13))</f>
        <v>0</v>
      </c>
      <c r="M45" s="641"/>
      <c r="N45" s="641"/>
      <c r="O45" s="641"/>
    </row>
    <row r="46" spans="1:15" ht="13.2">
      <c r="A46" s="6"/>
      <c r="B46" s="6"/>
      <c r="C46" s="6"/>
      <c r="D46" s="6"/>
      <c r="E46" s="6"/>
      <c r="F46" s="6"/>
      <c r="G46" s="79"/>
      <c r="H46" s="84"/>
      <c r="I46" s="85">
        <f>IF(G46=0,,VLOOKUP(G46,'Industry Averages(US)'!$A$2:$S$95,15))</f>
        <v>0</v>
      </c>
      <c r="J46" s="86">
        <f t="shared" si="4"/>
        <v>0</v>
      </c>
      <c r="K46" s="177">
        <f>IF(I46=0,0,VLOOKUP(G46,'Industry Averages(US)'!$A$2:$S$95,7))</f>
        <v>0</v>
      </c>
      <c r="L46" s="179">
        <f>IF(I46=0,0,VLOOKUP(G46,'Industry Averages(US)'!$A$2:$S$95,13))</f>
        <v>0</v>
      </c>
      <c r="M46" s="641"/>
      <c r="N46" s="641"/>
      <c r="O46" s="641"/>
    </row>
    <row r="47" spans="1:15" ht="13.2">
      <c r="A47" s="11" t="s">
        <v>179</v>
      </c>
      <c r="B47" s="6"/>
      <c r="C47" s="6"/>
      <c r="D47" s="6"/>
      <c r="E47" s="6"/>
      <c r="F47" s="6"/>
      <c r="G47" s="79"/>
      <c r="H47" s="84"/>
      <c r="I47" s="85">
        <f>IF(G47=0,,VLOOKUP(G47,'Industry Averages(US)'!$A$2:$S$95,15))</f>
        <v>0</v>
      </c>
      <c r="J47" s="86">
        <f t="shared" si="4"/>
        <v>0</v>
      </c>
      <c r="K47" s="177">
        <f>IF(I47=0,0,VLOOKUP(G47,'Industry Averages(US)'!$A$2:$S$95,7))</f>
        <v>0</v>
      </c>
      <c r="L47" s="179">
        <f>IF(I47=0,0,VLOOKUP(G47,'Industry Averages(US)'!$A$2:$S$95,13))</f>
        <v>0</v>
      </c>
      <c r="M47" s="641"/>
      <c r="N47" s="641"/>
      <c r="O47" s="641"/>
    </row>
    <row r="48" spans="1:15" ht="13.2">
      <c r="A48" s="6" t="s">
        <v>180</v>
      </c>
      <c r="B48" s="58">
        <v>0</v>
      </c>
      <c r="C48" s="6"/>
      <c r="D48" s="6"/>
      <c r="E48" s="6"/>
      <c r="F48" s="6"/>
      <c r="G48" s="87" t="s">
        <v>221</v>
      </c>
      <c r="H48" s="88">
        <f>SUM(H36:H47)</f>
        <v>253010</v>
      </c>
      <c r="I48" s="89"/>
      <c r="J48" s="86">
        <f>SUM(J36:J47)</f>
        <v>1214465.5008906475</v>
      </c>
      <c r="K48" s="178">
        <f>K36*(J36/J48)+K37*J37/J48+K38*J38/J48+K39*J39/J48+K40*J40/J48+K41*J41/J48+K42*J42/J48+K43*J43/J48+K44*J44/J48+K45*J45/J48+K46*J46/J48+K47*J47/J48</f>
        <v>1.074264524462651</v>
      </c>
      <c r="L48" s="180">
        <f>L36*(J36/J48)+L37*J37/J48+L38*J38/J48+L39*J39/J48+L40*J40/J48+L41*J41/J48+L42*J42/J48+L43*J43/J48+L44*J44/J48+L45*J45/J48+L46*J46/J48+L47*J47/J48</f>
        <v>8.6417060489087774E-2</v>
      </c>
      <c r="M48" s="641"/>
      <c r="N48" s="641"/>
      <c r="O48" s="641"/>
    </row>
    <row r="49" spans="1:15" ht="13.2">
      <c r="A49" s="6" t="s">
        <v>181</v>
      </c>
      <c r="B49" s="58">
        <v>70</v>
      </c>
      <c r="C49" s="6"/>
      <c r="D49" s="6"/>
      <c r="E49" s="6"/>
      <c r="F49" s="6"/>
    </row>
    <row r="50" spans="1:15" ht="18">
      <c r="A50" s="6" t="s">
        <v>182</v>
      </c>
      <c r="B50" s="58">
        <v>5</v>
      </c>
      <c r="C50" s="6"/>
      <c r="D50" s="6"/>
      <c r="E50" s="6"/>
      <c r="F50" s="6"/>
      <c r="G50" s="107" t="s">
        <v>450</v>
      </c>
    </row>
    <row r="51" spans="1:15" ht="13.2">
      <c r="A51" s="6"/>
      <c r="B51" s="6"/>
      <c r="C51" s="6"/>
      <c r="D51" s="6"/>
      <c r="E51" s="6"/>
      <c r="F51" s="6"/>
      <c r="G51" s="12" t="s">
        <v>371</v>
      </c>
      <c r="H51" s="12" t="s">
        <v>5</v>
      </c>
      <c r="I51" s="12" t="s">
        <v>153</v>
      </c>
      <c r="J51" s="12" t="s">
        <v>372</v>
      </c>
      <c r="K51" s="12" t="s">
        <v>193</v>
      </c>
      <c r="L51" s="12" t="s">
        <v>135</v>
      </c>
    </row>
    <row r="52" spans="1:15" ht="13.8">
      <c r="A52" s="8" t="s">
        <v>112</v>
      </c>
      <c r="B52" s="6"/>
      <c r="C52" s="6"/>
      <c r="D52" s="6"/>
      <c r="E52" s="6"/>
      <c r="F52" s="6"/>
      <c r="G52" s="79" t="s">
        <v>609</v>
      </c>
      <c r="H52" s="84">
        <v>81363</v>
      </c>
      <c r="I52" s="85">
        <f>IF(G52=0,,VLOOKUP(G52,'Industry Average Beta (Global)'!$A$2:$O$95,15))</f>
        <v>1.5902472235868699</v>
      </c>
      <c r="J52" s="86">
        <f>H52*I52</f>
        <v>129387.28485269849</v>
      </c>
      <c r="K52" s="85">
        <f>IF(G52=0,,VLOOKUP(G52,'Industry Average Beta (Global)'!$A$2:$O$95,7))</f>
        <v>1.2783308812571208</v>
      </c>
      <c r="L52" s="179">
        <f>IF(I52=0,0,VLOOKUP(G52,'Industry Average Beta (Global)'!$A$2:$M$95,13))</f>
        <v>0.10952076242670084</v>
      </c>
    </row>
    <row r="53" spans="1:15" ht="13.2">
      <c r="A53" s="12" t="s">
        <v>183</v>
      </c>
      <c r="B53" s="12"/>
      <c r="C53" s="63">
        <f>B31*(1-(1+B37)^(-B32))/B37+B30/(1+B37)^B32</f>
        <v>118083.11430848129</v>
      </c>
      <c r="D53" s="6"/>
      <c r="E53" s="6"/>
      <c r="F53" s="6"/>
      <c r="G53" s="79"/>
      <c r="H53" s="84"/>
      <c r="I53" s="85">
        <f>IF(G53=0,,VLOOKUP(G53,'Industry Average Beta (Global)'!$A$2:$O$95,15))</f>
        <v>0</v>
      </c>
      <c r="J53" s="86">
        <f>H53*I53</f>
        <v>0</v>
      </c>
      <c r="K53" s="85">
        <f>IF(G53=0,,VLOOKUP(G53,'Industry Average Beta (Global)'!$A$2:$O$95,7))</f>
        <v>0</v>
      </c>
      <c r="L53" s="179">
        <f>IF(I53=0,0,VLOOKUP(G53,'Industry Average Beta (Global)'!$A$2:$M$95,13))</f>
        <v>0</v>
      </c>
    </row>
    <row r="54" spans="1:15" ht="13.2">
      <c r="A54" s="12" t="s">
        <v>184</v>
      </c>
      <c r="B54" s="12"/>
      <c r="C54" s="63">
        <f>B41*(1-(1+B37)^(-B42))/B37+B40/(1+B37)^B42</f>
        <v>0</v>
      </c>
      <c r="D54" s="6"/>
      <c r="E54" s="6"/>
      <c r="F54" s="6"/>
      <c r="G54" s="79"/>
      <c r="H54" s="84"/>
      <c r="I54" s="85">
        <f>IF(G54=0,,VLOOKUP(G54,'Industry Average Beta (Global)'!$A$2:$O$95,15))</f>
        <v>0</v>
      </c>
      <c r="J54" s="86">
        <f t="shared" ref="J54:J63" si="5">H54*I54</f>
        <v>0</v>
      </c>
      <c r="K54" s="85">
        <f>IF(G54=0,,VLOOKUP(G54,'Industry Average Beta (Global)'!$A$2:$O$95,7))</f>
        <v>0</v>
      </c>
      <c r="L54" s="179">
        <f>IF(I54=0,0,VLOOKUP(G54,'Industry Average Beta (Global)'!$A$2:$M$95,13))</f>
        <v>0</v>
      </c>
    </row>
    <row r="55" spans="1:15" ht="13.2">
      <c r="A55" s="12" t="s">
        <v>185</v>
      </c>
      <c r="B55" s="12"/>
      <c r="C55" s="63">
        <f>B45</f>
        <v>0</v>
      </c>
      <c r="D55" s="6"/>
      <c r="E55" s="6"/>
      <c r="F55" s="6"/>
      <c r="G55" s="79"/>
      <c r="H55" s="84"/>
      <c r="I55" s="85">
        <f>IF(G55=0,,VLOOKUP(G55,'Industry Average Beta (Global)'!$A$2:$O$95,15))</f>
        <v>0</v>
      </c>
      <c r="J55" s="86">
        <f t="shared" si="5"/>
        <v>0</v>
      </c>
      <c r="K55" s="85">
        <f>IF(G55=0,,VLOOKUP(G55,'Industry Average Beta (Global)'!$A$2:$O$95,7))</f>
        <v>0</v>
      </c>
      <c r="L55" s="179">
        <f>IF(I55=0,0,VLOOKUP(G55,'Industry Average Beta (Global)'!$A$2:$M$95,13))</f>
        <v>0</v>
      </c>
    </row>
    <row r="56" spans="1:15" ht="13.2">
      <c r="A56" s="12" t="s">
        <v>186</v>
      </c>
      <c r="B56" s="12"/>
      <c r="C56" s="63">
        <f>B43-C54</f>
        <v>0</v>
      </c>
      <c r="D56" s="6"/>
      <c r="E56" s="6"/>
      <c r="F56" s="6"/>
      <c r="G56" s="79"/>
      <c r="H56" s="84"/>
      <c r="I56" s="85">
        <f>IF(G56=0,,VLOOKUP(G56,'Industry Average Beta (Global)'!$A$2:$O$95,15))</f>
        <v>0</v>
      </c>
      <c r="J56" s="86">
        <f t="shared" si="5"/>
        <v>0</v>
      </c>
      <c r="K56" s="85">
        <f>IF(G56=0,,VLOOKUP(G56,'Industry Average Beta (Global)'!$A$2:$O$95,7))</f>
        <v>0</v>
      </c>
      <c r="L56" s="179">
        <f>IF(I56=0,0,VLOOKUP(G56,'Industry Average Beta (Global)'!$A$2:$M$95,13))</f>
        <v>0</v>
      </c>
    </row>
    <row r="57" spans="1:15" ht="13.2">
      <c r="A57" s="12" t="s">
        <v>194</v>
      </c>
      <c r="B57" s="12"/>
      <c r="C57" s="69">
        <f>IF(B21="Direct Input",B22,B23*(1+(1-B38)*(C60/B60)))</f>
        <v>1.5005818680945389</v>
      </c>
      <c r="D57" s="6"/>
      <c r="E57" s="6"/>
      <c r="F57" s="6"/>
      <c r="G57" s="79"/>
      <c r="H57" s="84"/>
      <c r="I57" s="85">
        <f>IF(G57=0,,VLOOKUP(G57,'Industry Average Beta (Global)'!$A$2:$O$95,15))</f>
        <v>0</v>
      </c>
      <c r="J57" s="86">
        <f t="shared" si="5"/>
        <v>0</v>
      </c>
      <c r="K57" s="85">
        <f>IF(G57=0,,VLOOKUP(G57,'Industry Average Beta (Global)'!$A$2:$O$95,7))</f>
        <v>0</v>
      </c>
      <c r="L57" s="179">
        <f>IF(I57=0,0,VLOOKUP(G57,'Industry Average Beta (Global)'!$A$2:$M$95,13))</f>
        <v>0</v>
      </c>
    </row>
    <row r="58" spans="1:15" ht="13.2">
      <c r="A58" s="6"/>
      <c r="B58" s="6"/>
      <c r="C58" s="69"/>
      <c r="D58" s="6"/>
      <c r="E58" s="6"/>
      <c r="F58" s="6"/>
      <c r="G58" s="79"/>
      <c r="H58" s="84"/>
      <c r="I58" s="85">
        <f>IF(G58=0,,VLOOKUP(G58,'Industry Average Beta (Global)'!$A$2:$O$95,15))</f>
        <v>0</v>
      </c>
      <c r="J58" s="86">
        <f t="shared" si="5"/>
        <v>0</v>
      </c>
      <c r="K58" s="85">
        <f>IF(G58=0,,VLOOKUP(G58,'Industry Average Beta (Global)'!$A$2:$O$95,7))</f>
        <v>0</v>
      </c>
      <c r="L58" s="179">
        <f>IF(I58=0,0,VLOOKUP(G58,'Industry Average Beta (Global)'!$A$2:$M$95,13))</f>
        <v>0</v>
      </c>
    </row>
    <row r="59" spans="1:15" ht="13.2">
      <c r="A59" s="59"/>
      <c r="B59" s="60" t="s">
        <v>165</v>
      </c>
      <c r="C59" s="60" t="s">
        <v>187</v>
      </c>
      <c r="D59" s="60" t="s">
        <v>179</v>
      </c>
      <c r="E59" s="60" t="s">
        <v>188</v>
      </c>
      <c r="F59" s="59"/>
      <c r="G59" s="79"/>
      <c r="H59" s="84"/>
      <c r="I59" s="85">
        <f>IF(G59=0,,VLOOKUP(G59,'Industry Average Beta (Global)'!$A$2:$O$95,15))</f>
        <v>0</v>
      </c>
      <c r="J59" s="86">
        <f t="shared" si="5"/>
        <v>0</v>
      </c>
      <c r="K59" s="85">
        <f>IF(G59=0,,VLOOKUP(G59,'Industry Average Beta (Global)'!$A$2:$O$95,7))</f>
        <v>0</v>
      </c>
      <c r="L59" s="179">
        <f>IF(I59=0,0,VLOOKUP(G59,'Industry Average Beta (Global)'!$A$2:$M$95,13))</f>
        <v>0</v>
      </c>
    </row>
    <row r="60" spans="1:15" ht="13.2">
      <c r="A60" s="12" t="s">
        <v>189</v>
      </c>
      <c r="B60" s="63">
        <f>B18*B19</f>
        <v>61502.973999999995</v>
      </c>
      <c r="C60" s="166">
        <f>C53+C54+C55</f>
        <v>118083.11430848129</v>
      </c>
      <c r="D60" s="63">
        <f>B48*B49</f>
        <v>0</v>
      </c>
      <c r="E60" s="166">
        <f>SUM(B60:D60)</f>
        <v>179586.0883084813</v>
      </c>
      <c r="F60" s="6"/>
      <c r="G60" s="79"/>
      <c r="H60" s="84"/>
      <c r="I60" s="85">
        <f>IF(G60=0,,VLOOKUP(G60,'Industry Average Beta (Global)'!$A$2:$O$95,15))</f>
        <v>0</v>
      </c>
      <c r="J60" s="86">
        <f t="shared" si="5"/>
        <v>0</v>
      </c>
      <c r="K60" s="85">
        <f>IF(G60=0,,VLOOKUP(G60,'Industry Average Beta (Global)'!$A$2:$O$95,7))</f>
        <v>0</v>
      </c>
      <c r="L60" s="179">
        <f>IF(I60=0,0,VLOOKUP(G60,'Industry Average Beta (Global)'!$A$2:$M$95,13))</f>
        <v>0</v>
      </c>
      <c r="M60" s="641" t="s">
        <v>860</v>
      </c>
      <c r="N60" s="641"/>
      <c r="O60" s="641"/>
    </row>
    <row r="61" spans="1:15" ht="13.8" thickBot="1">
      <c r="A61" s="12" t="s">
        <v>190</v>
      </c>
      <c r="B61" s="64">
        <f>B60/$E$60</f>
        <v>0.34247070348987274</v>
      </c>
      <c r="C61" s="64">
        <f>C60/$E$60</f>
        <v>0.65752929651012726</v>
      </c>
      <c r="D61" s="64">
        <f>D60/$E$60</f>
        <v>0</v>
      </c>
      <c r="E61" s="65">
        <f>SUM(B61:D61)</f>
        <v>1</v>
      </c>
      <c r="F61" s="6"/>
      <c r="G61" s="79"/>
      <c r="H61" s="84"/>
      <c r="I61" s="85">
        <f>IF(G61=0,,VLOOKUP(G61,'Industry Average Beta (Global)'!$A$2:$O$95,15))</f>
        <v>0</v>
      </c>
      <c r="J61" s="86">
        <f t="shared" si="5"/>
        <v>0</v>
      </c>
      <c r="K61" s="85">
        <f>IF(G61=0,,VLOOKUP(G61,'Industry Average Beta (Global)'!$A$2:$O$95,7))</f>
        <v>0</v>
      </c>
      <c r="L61" s="179">
        <f>IF(I61=0,0,VLOOKUP(G61,'Industry Average Beta (Global)'!$A$2:$M$95,13))</f>
        <v>0</v>
      </c>
      <c r="M61" s="641"/>
      <c r="N61" s="641"/>
      <c r="O61" s="641"/>
    </row>
    <row r="62" spans="1:15" ht="13.8" thickBot="1">
      <c r="A62" s="12" t="s">
        <v>191</v>
      </c>
      <c r="B62" s="66">
        <f>B24+C57*B27</f>
        <v>0.14715173988304997</v>
      </c>
      <c r="C62" s="64">
        <f>B37*(1-B38)</f>
        <v>5.7959999999999998E-2</v>
      </c>
      <c r="D62" s="67">
        <f>B50/B49</f>
        <v>7.1428571428571425E-2</v>
      </c>
      <c r="E62" s="68">
        <f>B61*B62+C61*C62+D61*D62</f>
        <v>8.8505557903233861E-2</v>
      </c>
      <c r="F62" s="6"/>
      <c r="G62" s="79"/>
      <c r="H62" s="84"/>
      <c r="I62" s="85">
        <f>IF(G62=0,,VLOOKUP(G62,'Industry Average Beta (Global)'!$A$2:$O$95,15))</f>
        <v>0</v>
      </c>
      <c r="J62" s="86">
        <f t="shared" si="5"/>
        <v>0</v>
      </c>
      <c r="K62" s="85">
        <f>IF(G62=0,,VLOOKUP(G62,'Industry Average Beta (Global)'!$A$2:$O$95,7))</f>
        <v>0</v>
      </c>
      <c r="L62" s="179">
        <f>IF(I62=0,0,VLOOKUP(G62,'Industry Average Beta (Global)'!$A$2:$M$95,13))</f>
        <v>0</v>
      </c>
      <c r="M62" s="641"/>
      <c r="N62" s="641"/>
      <c r="O62" s="641"/>
    </row>
    <row r="63" spans="1:15" ht="13.2">
      <c r="G63" s="79"/>
      <c r="H63" s="84"/>
      <c r="I63" s="85">
        <f>IF(G63=0,,VLOOKUP(G63,'Industry Average Beta (Global)'!$A$2:$O$95,15))</f>
        <v>0</v>
      </c>
      <c r="J63" s="86">
        <f t="shared" si="5"/>
        <v>0</v>
      </c>
      <c r="K63" s="85">
        <f>IF(G63=0,,VLOOKUP(G63,'Industry Average Beta (Global)'!$A$2:$O$95,7))</f>
        <v>0</v>
      </c>
      <c r="L63" s="179">
        <f>IF(I63=0,0,VLOOKUP(G63,'Industry Average Beta (Global)'!$A$2:$M$95,13))</f>
        <v>0</v>
      </c>
      <c r="M63" s="641"/>
      <c r="N63" s="641"/>
      <c r="O63" s="641"/>
    </row>
    <row r="64" spans="1:15" ht="13.8" thickBot="1">
      <c r="G64" s="87" t="s">
        <v>221</v>
      </c>
      <c r="H64" s="88">
        <f>SUM(H52:H63)</f>
        <v>81363</v>
      </c>
      <c r="I64" s="89"/>
      <c r="J64" s="86">
        <f>SUM(J52:J63)</f>
        <v>129387.28485269849</v>
      </c>
      <c r="K64" s="89">
        <f>K52*(J52/J64)+K53*J53/J64+K54*J54/J64+K55*J55/J64+K56*J56/J64+K57*J57/J64+K58*J58/J64+K59*J59/J64+K60*J60/J64+K61*J61/J64+K62*J62/J64+K63*J63/J64</f>
        <v>1.2783308812571208</v>
      </c>
      <c r="L64" s="180">
        <f>L52*(J52/J64)+L53*J53/J64+L54*J54/J64+L55*J55/J64+L56*J56/J64+L57*J57/J64+L58*J58/J64+L59*J59/J64+L60*J60/J64+L61*J61/J64+L62*J62/J64+L63*J63/J64</f>
        <v>0.10952076242670084</v>
      </c>
      <c r="M64" s="641"/>
      <c r="N64" s="641"/>
      <c r="O64" s="641"/>
    </row>
    <row r="65" spans="1:6" ht="16.2" thickBot="1">
      <c r="A65" s="648" t="s">
        <v>725</v>
      </c>
      <c r="B65" s="649"/>
      <c r="C65" s="649"/>
      <c r="D65" s="649"/>
      <c r="E65" s="649"/>
      <c r="F65" s="650"/>
    </row>
    <row r="66" spans="1:6" ht="13.8" thickBot="1">
      <c r="A66" s="6" t="s">
        <v>726</v>
      </c>
      <c r="B66" s="181" t="s">
        <v>454</v>
      </c>
    </row>
    <row r="67" spans="1:6" ht="12" thickBot="1">
      <c r="A67" t="s">
        <v>727</v>
      </c>
      <c r="B67" s="182">
        <f>IF(B66="Single Business(US)",(VLOOKUP('Input sheet'!B8,'Industry Averages(US)'!A2:M95,13)+('Input sheet'!B34-3.88%)),IF(B66="Multibusiness(US)",L48+('Input sheet'!B34-3.88%),IF(B66="Single Business(Global)",(VLOOKUP('Input sheet'!B8,'Industry Average Beta (Global)'!A2:M95,13)+('Input sheet'!B34-3.88%)),L64+('Input sheet'!B34-3.88%))))</f>
        <v>0.12121706048908777</v>
      </c>
    </row>
    <row r="68" spans="1:6" ht="12" thickBot="1"/>
    <row r="69" spans="1:6" ht="16.2" thickBot="1">
      <c r="A69" s="648" t="s">
        <v>728</v>
      </c>
      <c r="B69" s="651"/>
      <c r="C69" s="649"/>
      <c r="D69" s="649"/>
      <c r="E69" s="649"/>
      <c r="F69" s="650"/>
    </row>
    <row r="70" spans="1:6">
      <c r="A70" t="s">
        <v>729</v>
      </c>
      <c r="B70" s="187" t="s">
        <v>730</v>
      </c>
    </row>
    <row r="71" spans="1:6">
      <c r="A71" t="s">
        <v>894</v>
      </c>
      <c r="B71" s="187" t="s">
        <v>738</v>
      </c>
    </row>
    <row r="72" spans="1:6">
      <c r="A72" t="s">
        <v>737</v>
      </c>
      <c r="B72" s="180">
        <f>VLOOKUP(B70,A75:F79,IF(B71="First Decile",2,IF(B71="First Quartile",3,IF(B71="Median",4,IF(B71="Third Quartile",5,6)))))</f>
        <v>0.11879999999999999</v>
      </c>
    </row>
    <row r="74" spans="1:6">
      <c r="A74" s="379" t="s">
        <v>335</v>
      </c>
      <c r="B74" s="384" t="s">
        <v>895</v>
      </c>
      <c r="C74" s="385" t="s">
        <v>897</v>
      </c>
      <c r="D74" s="385" t="s">
        <v>738</v>
      </c>
      <c r="E74" s="385" t="s">
        <v>739</v>
      </c>
      <c r="F74" s="385" t="s">
        <v>896</v>
      </c>
    </row>
    <row r="75" spans="1:6">
      <c r="A75" s="379" t="s">
        <v>731</v>
      </c>
      <c r="B75" s="386">
        <f>'Input sheet'!$B$34+2.37%</f>
        <v>9.7299999999999998E-2</v>
      </c>
      <c r="C75" s="386">
        <f>'Input sheet'!$B$34+3.43%</f>
        <v>0.1079</v>
      </c>
      <c r="D75" s="386">
        <f>'Input sheet'!$B$34+4.74%</f>
        <v>0.121</v>
      </c>
      <c r="E75" s="386">
        <f>'Input sheet'!$B$34+5.94%</f>
        <v>0.13300000000000001</v>
      </c>
      <c r="F75" s="386">
        <f>'Input sheet'!$B$34+7.77%</f>
        <v>0.15129999999999999</v>
      </c>
    </row>
    <row r="76" spans="1:6">
      <c r="A76" s="379" t="s">
        <v>893</v>
      </c>
      <c r="B76" s="386">
        <f>'Input sheet'!$B$34+3.04%</f>
        <v>0.104</v>
      </c>
      <c r="C76" s="386">
        <f>'Input sheet'!$B$34+4.18%</f>
        <v>0.1154</v>
      </c>
      <c r="D76" s="386">
        <f>'Input sheet'!$B$34+5.4%</f>
        <v>0.12759999999999999</v>
      </c>
      <c r="E76" s="386">
        <f>'Input sheet'!$B$34+6.87%</f>
        <v>0.14229999999999998</v>
      </c>
      <c r="F76" s="386">
        <f>'Input sheet'!$B$34+8.77%</f>
        <v>0.1613</v>
      </c>
    </row>
    <row r="77" spans="1:6">
      <c r="A77" s="379" t="s">
        <v>466</v>
      </c>
      <c r="B77" s="386">
        <f>'Input sheet'!$B$34+1.32%</f>
        <v>8.6800000000000002E-2</v>
      </c>
      <c r="C77" s="386">
        <f>'Input sheet'!$B$34+2.45%</f>
        <v>9.8099999999999993E-2</v>
      </c>
      <c r="D77" s="386">
        <f>'Input sheet'!$B$34+4.03%</f>
        <v>0.1139</v>
      </c>
      <c r="E77" s="386">
        <f>'Input sheet'!$B$34+4.99%</f>
        <v>0.1235</v>
      </c>
      <c r="F77" s="386">
        <f>'Input sheet'!$B$34+5.74%</f>
        <v>0.13100000000000001</v>
      </c>
    </row>
    <row r="78" spans="1:6">
      <c r="A78" s="379" t="s">
        <v>279</v>
      </c>
      <c r="B78" s="386">
        <f>'Input sheet'!$B$34+2.6%</f>
        <v>9.9599999999999994E-2</v>
      </c>
      <c r="C78" s="386">
        <f>'Input sheet'!$B$34+3.58%</f>
        <v>0.1094</v>
      </c>
      <c r="D78" s="386">
        <f>'Input sheet'!$B$34+4.74%</f>
        <v>0.121</v>
      </c>
      <c r="E78" s="386">
        <f>'Input sheet'!$B$34+5.59%</f>
        <v>0.1295</v>
      </c>
      <c r="F78" s="386">
        <f>'Input sheet'!$B$34+6.83%</f>
        <v>0.1419</v>
      </c>
    </row>
    <row r="79" spans="1:6">
      <c r="A79" s="379" t="s">
        <v>730</v>
      </c>
      <c r="B79" s="386">
        <f>'Input sheet'!$B$34+2.35%</f>
        <v>9.7099999999999992E-2</v>
      </c>
      <c r="C79" s="386">
        <f>'Input sheet'!$B$34+3.67%</f>
        <v>0.1103</v>
      </c>
      <c r="D79" s="386">
        <f>'Input sheet'!$B$34+4.52%</f>
        <v>0.11879999999999999</v>
      </c>
      <c r="E79" s="386">
        <f>'Input sheet'!$B$34+4.76%</f>
        <v>0.1212</v>
      </c>
      <c r="F79" s="386">
        <f>'Input sheet'!$B$34+5.29%</f>
        <v>0.1265</v>
      </c>
    </row>
    <row r="80" spans="1:6">
      <c r="A80" s="630" t="s">
        <v>740</v>
      </c>
      <c r="B80" s="631"/>
      <c r="C80" s="631"/>
      <c r="D80" s="631"/>
      <c r="E80" s="631"/>
      <c r="F80" s="631"/>
    </row>
    <row r="81" spans="1:6">
      <c r="A81" s="631"/>
      <c r="B81" s="631"/>
      <c r="C81" s="631"/>
      <c r="D81" s="631"/>
      <c r="E81" s="631"/>
      <c r="F81" s="631"/>
    </row>
    <row r="84" spans="1:6">
      <c r="B84" s="387"/>
      <c r="C84" s="388"/>
      <c r="D84" s="388"/>
      <c r="E84" s="388"/>
      <c r="F84" s="388"/>
    </row>
    <row r="85" spans="1:6">
      <c r="B85" s="389"/>
      <c r="C85" s="389"/>
      <c r="D85" s="389"/>
      <c r="E85" s="389"/>
      <c r="F85" s="389"/>
    </row>
    <row r="86" spans="1:6">
      <c r="B86" s="389"/>
      <c r="C86" s="389"/>
      <c r="D86" s="389"/>
      <c r="E86" s="389"/>
      <c r="F86" s="389"/>
    </row>
    <row r="87" spans="1:6">
      <c r="B87" s="389"/>
      <c r="C87" s="389"/>
      <c r="D87" s="389"/>
      <c r="E87" s="389"/>
      <c r="F87" s="389"/>
    </row>
    <row r="88" spans="1:6">
      <c r="B88" s="389"/>
      <c r="C88" s="389"/>
      <c r="D88" s="389"/>
      <c r="E88" s="389"/>
      <c r="F88" s="389"/>
    </row>
    <row r="89" spans="1:6">
      <c r="B89" s="389"/>
      <c r="C89" s="389"/>
      <c r="D89" s="389"/>
      <c r="E89" s="389"/>
      <c r="F89" s="389"/>
    </row>
  </sheetData>
  <mergeCells count="10">
    <mergeCell ref="A80:F81"/>
    <mergeCell ref="A4:E9"/>
    <mergeCell ref="M44:O48"/>
    <mergeCell ref="M5:Q19"/>
    <mergeCell ref="A1:K2"/>
    <mergeCell ref="A3:E3"/>
    <mergeCell ref="A15:F15"/>
    <mergeCell ref="A65:F65"/>
    <mergeCell ref="A69:F69"/>
    <mergeCell ref="M60:O64"/>
  </mergeCells>
  <dataValidations count="1">
    <dataValidation type="list" allowBlank="1" showInputMessage="1" showErrorMessage="1" sqref="B70" xr:uid="{00000000-0002-0000-0900-000000000000}">
      <formula1>$A$75:$A$79</formula1>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900-000001000000}">
          <x14:formula1>
            <xm:f>'Answer keys'!$E$2:$E$3</xm:f>
          </x14:formula1>
          <xm:sqref>B36</xm:sqref>
        </x14:dataValidation>
        <x14:dataValidation type="list" allowBlank="1" showInputMessage="1" showErrorMessage="1" xr:uid="{00000000-0002-0000-0900-000002000000}">
          <x14:formula1>
            <xm:f>'Answer keys'!$I$2:$I$5</xm:f>
          </x14:formula1>
          <xm:sqref>B11</xm:sqref>
        </x14:dataValidation>
        <x14:dataValidation type="list" allowBlank="1" showInputMessage="1" showErrorMessage="1" xr:uid="{00000000-0002-0000-0900-000003000000}">
          <x14:formula1>
            <xm:f>'Answer keys'!$F$2:$F$6</xm:f>
          </x14:formula1>
          <xm:sqref>B21</xm:sqref>
        </x14:dataValidation>
        <x14:dataValidation type="list" allowBlank="1" showInputMessage="1" showErrorMessage="1" xr:uid="{00000000-0002-0000-0900-000004000000}">
          <x14:formula1>
            <xm:f>'Answer keys'!$C$2:$C$5</xm:f>
          </x14:formula1>
          <xm:sqref>B25</xm:sqref>
        </x14:dataValidation>
        <x14:dataValidation type="list" allowBlank="1" showInputMessage="1" showErrorMessage="1" xr:uid="{00000000-0002-0000-0900-000005000000}">
          <x14:formula1>
            <xm:f>'Answer keys'!$D$2:$D$4</xm:f>
          </x14:formula1>
          <xm:sqref>B33</xm:sqref>
        </x14:dataValidation>
        <x14:dataValidation type="list" allowBlank="1" showInputMessage="1" showErrorMessage="1" xr:uid="{00000000-0002-0000-0900-000006000000}">
          <x14:formula1>
            <xm:f>'Answer keys'!$G$2:$G$16</xm:f>
          </x14:formula1>
          <xm:sqref>B35</xm:sqref>
        </x14:dataValidation>
        <x14:dataValidation type="list" allowBlank="1" showInputMessage="1" showErrorMessage="1" xr:uid="{00000000-0002-0000-0900-000007000000}">
          <x14:formula1>
            <xm:f>'Answer keys'!$F$3:$F$6</xm:f>
          </x14:formula1>
          <xm:sqref>B66</xm:sqref>
        </x14:dataValidation>
        <x14:dataValidation type="list" allowBlank="1" showInputMessage="1" showErrorMessage="1" xr:uid="{00000000-0002-0000-0900-000008000000}">
          <x14:formula1>
            <xm:f>'Answer keys'!$H$2:$H$6</xm:f>
          </x14:formula1>
          <xm:sqref>B71</xm:sqref>
        </x14:dataValidation>
        <x14:dataValidation type="list" allowBlank="1" showInputMessage="1" showErrorMessage="1" xr:uid="{846DD362-3DEE-2445-AA06-3D1E1F89C7E1}">
          <x14:formula1>
            <xm:f>'Country equity risk premiums'!$A$5:$A$195</xm:f>
          </x14:formula1>
          <xm:sqref>G5:G15</xm:sqref>
        </x14:dataValidation>
        <x14:dataValidation type="list" allowBlank="1" showInputMessage="1" showErrorMessage="1" xr:uid="{4D0A8818-31CB-634D-87A3-E7364E13C84F}">
          <x14:formula1>
            <xm:f>'Industry Averages(US)'!$A$2:$A$95</xm:f>
          </x14:formula1>
          <xm:sqref>G36:G47</xm:sqref>
        </x14:dataValidation>
        <x14:dataValidation type="list" allowBlank="1" showInputMessage="1" showErrorMessage="1" xr:uid="{7B2E99E5-979A-2B4C-BAAB-4A3C1EED97F6}">
          <x14:formula1>
            <xm:f>'Industry Average Beta (Global)'!$A$2:$A$95</xm:f>
          </x14:formula1>
          <xm:sqref>G52:G63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37"/>
  <sheetViews>
    <sheetView workbookViewId="0">
      <selection activeCell="G39" sqref="G39"/>
    </sheetView>
  </sheetViews>
  <sheetFormatPr defaultColWidth="11" defaultRowHeight="11.4"/>
  <sheetData>
    <row r="1" spans="1:11" s="226" customFormat="1" ht="22.8">
      <c r="A1" s="226" t="s">
        <v>750</v>
      </c>
    </row>
    <row r="2" spans="1:11" s="224" customFormat="1" ht="17.399999999999999">
      <c r="A2" s="224" t="s">
        <v>751</v>
      </c>
    </row>
    <row r="3" spans="1:11" ht="12" thickBot="1"/>
    <row r="4" spans="1:11" ht="13.8" thickBot="1">
      <c r="A4" s="652" t="s">
        <v>620</v>
      </c>
      <c r="B4" s="653"/>
      <c r="C4" s="653"/>
      <c r="D4" s="653"/>
      <c r="E4" s="653"/>
      <c r="F4" s="653"/>
      <c r="G4" s="653"/>
      <c r="H4" s="653"/>
      <c r="I4" s="653"/>
      <c r="J4" s="653"/>
      <c r="K4" s="654"/>
    </row>
    <row r="5" spans="1:11" ht="15.6">
      <c r="A5" s="156" t="s">
        <v>612</v>
      </c>
      <c r="B5" s="157">
        <v>1</v>
      </c>
      <c r="C5" s="157">
        <v>2</v>
      </c>
      <c r="D5" s="157">
        <v>3</v>
      </c>
      <c r="E5" s="157">
        <v>4</v>
      </c>
      <c r="F5" s="157">
        <v>5</v>
      </c>
      <c r="G5" s="157">
        <v>6</v>
      </c>
      <c r="H5" s="157">
        <v>7</v>
      </c>
      <c r="I5" s="157">
        <v>8</v>
      </c>
      <c r="J5" s="157">
        <v>9</v>
      </c>
      <c r="K5" s="157">
        <v>10</v>
      </c>
    </row>
    <row r="6" spans="1:11" ht="15">
      <c r="A6" s="158" t="s">
        <v>613</v>
      </c>
      <c r="B6" s="159">
        <v>0</v>
      </c>
      <c r="C6" s="159">
        <v>2.9999999999999997E-4</v>
      </c>
      <c r="D6" s="159">
        <v>1.2999999999999999E-3</v>
      </c>
      <c r="E6" s="159">
        <v>2.3999999999999998E-3</v>
      </c>
      <c r="F6" s="159">
        <v>3.4999999999999996E-3</v>
      </c>
      <c r="G6" s="159">
        <v>4.5000000000000005E-3</v>
      </c>
      <c r="H6" s="159">
        <v>5.1000000000000004E-3</v>
      </c>
      <c r="I6" s="159">
        <v>5.8999999999999999E-3</v>
      </c>
      <c r="J6" s="159">
        <v>6.4000000000000003E-3</v>
      </c>
      <c r="K6" s="159">
        <v>6.9999999999999993E-3</v>
      </c>
    </row>
    <row r="7" spans="1:11" ht="15">
      <c r="A7" s="158" t="s">
        <v>614</v>
      </c>
      <c r="B7" s="159">
        <v>2.0000000000000001E-4</v>
      </c>
      <c r="C7" s="159">
        <v>5.9999999999999995E-4</v>
      </c>
      <c r="D7" s="159">
        <v>1.1999999999999999E-3</v>
      </c>
      <c r="E7" s="159">
        <v>2.0999999999999999E-3</v>
      </c>
      <c r="F7" s="159">
        <v>3.0999999999999999E-3</v>
      </c>
      <c r="G7" s="159">
        <v>4.1999999999999997E-3</v>
      </c>
      <c r="H7" s="159">
        <v>5.0000000000000001E-3</v>
      </c>
      <c r="I7" s="159">
        <v>5.7999999999999996E-3</v>
      </c>
      <c r="J7" s="159">
        <v>6.5000000000000006E-3</v>
      </c>
      <c r="K7" s="159">
        <v>7.1999999999999998E-3</v>
      </c>
    </row>
    <row r="8" spans="1:11" ht="15">
      <c r="A8" s="158" t="s">
        <v>615</v>
      </c>
      <c r="B8" s="159">
        <v>5.0000000000000001E-4</v>
      </c>
      <c r="C8" s="159">
        <v>1.4000000000000002E-3</v>
      </c>
      <c r="D8" s="159">
        <v>2.3E-3</v>
      </c>
      <c r="E8" s="159">
        <v>3.4999999999999996E-3</v>
      </c>
      <c r="F8" s="159">
        <v>4.6999999999999993E-3</v>
      </c>
      <c r="G8" s="159">
        <v>6.1999999999999998E-3</v>
      </c>
      <c r="H8" s="159">
        <v>7.9000000000000008E-3</v>
      </c>
      <c r="I8" s="159">
        <v>9.300000000000001E-3</v>
      </c>
      <c r="J8" s="159">
        <v>1.0800000000000001E-2</v>
      </c>
      <c r="K8" s="159">
        <v>1.24E-2</v>
      </c>
    </row>
    <row r="9" spans="1:11" ht="15">
      <c r="A9" s="158" t="s">
        <v>616</v>
      </c>
      <c r="B9" s="159">
        <v>1.6000000000000001E-3</v>
      </c>
      <c r="C9" s="159">
        <v>4.5000000000000005E-3</v>
      </c>
      <c r="D9" s="159">
        <v>7.8000000000000005E-3</v>
      </c>
      <c r="E9" s="159">
        <v>1.1699999999999999E-2</v>
      </c>
      <c r="F9" s="159">
        <v>1.5800000000000002E-2</v>
      </c>
      <c r="G9" s="159">
        <v>1.9799999999999998E-2</v>
      </c>
      <c r="H9" s="159">
        <v>2.3300000000000001E-2</v>
      </c>
      <c r="I9" s="159">
        <v>2.6699999999999998E-2</v>
      </c>
      <c r="J9" s="159">
        <v>0.03</v>
      </c>
      <c r="K9" s="159">
        <v>3.32E-2</v>
      </c>
    </row>
    <row r="10" spans="1:11" ht="15">
      <c r="A10" s="158" t="s">
        <v>617</v>
      </c>
      <c r="B10" s="159">
        <v>6.0999999999999995E-3</v>
      </c>
      <c r="C10" s="159">
        <v>1.9199999999999998E-2</v>
      </c>
      <c r="D10" s="159">
        <v>3.4799999999999998E-2</v>
      </c>
      <c r="E10" s="159">
        <v>5.0499999999999996E-2</v>
      </c>
      <c r="F10" s="159">
        <v>6.5199999999999994E-2</v>
      </c>
      <c r="G10" s="159">
        <v>7.85E-2</v>
      </c>
      <c r="H10" s="159">
        <v>9.01E-2</v>
      </c>
      <c r="I10" s="159">
        <v>0.10039999999999999</v>
      </c>
      <c r="J10" s="159">
        <v>0.10970000000000001</v>
      </c>
      <c r="K10" s="159">
        <v>0.11779999999999999</v>
      </c>
    </row>
    <row r="11" spans="1:11" ht="15">
      <c r="A11" s="158" t="s">
        <v>92</v>
      </c>
      <c r="B11" s="159">
        <v>3.3300000000000003E-2</v>
      </c>
      <c r="C11" s="159">
        <v>7.7100000000000002E-2</v>
      </c>
      <c r="D11" s="159">
        <v>0.11550000000000001</v>
      </c>
      <c r="E11" s="159">
        <v>0.14580000000000001</v>
      </c>
      <c r="F11" s="159">
        <v>0.16930000000000001</v>
      </c>
      <c r="G11" s="159">
        <v>0.1883</v>
      </c>
      <c r="H11" s="159">
        <v>0.2036</v>
      </c>
      <c r="I11" s="159">
        <v>0.21600000000000003</v>
      </c>
      <c r="J11" s="159">
        <v>0.22699999999999998</v>
      </c>
      <c r="K11" s="159">
        <v>0.23739999999999997</v>
      </c>
    </row>
    <row r="12" spans="1:11" ht="15">
      <c r="A12" s="158" t="s">
        <v>618</v>
      </c>
      <c r="B12" s="159">
        <v>0.27079999999999999</v>
      </c>
      <c r="C12" s="159">
        <v>0.3664</v>
      </c>
      <c r="D12" s="159">
        <v>0.41409999999999997</v>
      </c>
      <c r="E12" s="159">
        <v>0.441</v>
      </c>
      <c r="F12" s="159">
        <v>0.46189999999999998</v>
      </c>
      <c r="G12" s="159">
        <v>0.47090000000000004</v>
      </c>
      <c r="H12" s="159">
        <v>0.48259999999999997</v>
      </c>
      <c r="I12" s="159">
        <v>0.49049999999999999</v>
      </c>
      <c r="J12" s="159">
        <v>0.49759999999999999</v>
      </c>
      <c r="K12" s="159">
        <v>0.50380000000000003</v>
      </c>
    </row>
    <row r="14" spans="1:11" ht="15">
      <c r="A14" s="225" t="s">
        <v>752</v>
      </c>
    </row>
    <row r="16" spans="1:11" s="224" customFormat="1" ht="17.399999999999999">
      <c r="A16" s="224" t="s">
        <v>763</v>
      </c>
    </row>
    <row r="17" spans="1:24">
      <c r="O17" s="658" t="s">
        <v>769</v>
      </c>
      <c r="P17" s="658"/>
      <c r="Q17" s="658"/>
      <c r="R17" s="658"/>
      <c r="S17" s="658"/>
      <c r="T17" s="658"/>
      <c r="U17" s="658"/>
      <c r="V17" s="658"/>
      <c r="W17" s="658"/>
      <c r="X17" s="658"/>
    </row>
    <row r="18" spans="1:24" ht="15.6">
      <c r="A18" s="227"/>
      <c r="B18" s="228"/>
      <c r="C18" s="229" t="s">
        <v>753</v>
      </c>
      <c r="D18" s="229" t="s">
        <v>754</v>
      </c>
      <c r="E18" s="229" t="s">
        <v>755</v>
      </c>
      <c r="F18" s="229" t="s">
        <v>756</v>
      </c>
      <c r="G18" s="229" t="s">
        <v>757</v>
      </c>
      <c r="H18" s="229" t="s">
        <v>758</v>
      </c>
      <c r="I18" s="229" t="s">
        <v>717</v>
      </c>
      <c r="J18" s="229" t="s">
        <v>759</v>
      </c>
      <c r="K18" s="229" t="s">
        <v>760</v>
      </c>
      <c r="L18" s="229" t="s">
        <v>761</v>
      </c>
      <c r="O18" s="229" t="s">
        <v>753</v>
      </c>
      <c r="P18" s="229" t="s">
        <v>754</v>
      </c>
      <c r="Q18" s="229" t="s">
        <v>755</v>
      </c>
      <c r="R18" s="229" t="s">
        <v>756</v>
      </c>
      <c r="S18" s="229" t="s">
        <v>757</v>
      </c>
      <c r="T18" s="229" t="s">
        <v>758</v>
      </c>
      <c r="U18" s="229" t="s">
        <v>717</v>
      </c>
      <c r="V18" s="229" t="s">
        <v>759</v>
      </c>
      <c r="W18" s="229" t="s">
        <v>760</v>
      </c>
      <c r="X18" s="229" t="s">
        <v>761</v>
      </c>
    </row>
    <row r="19" spans="1:24" ht="16.05" customHeight="1">
      <c r="A19" s="655" t="s">
        <v>762</v>
      </c>
      <c r="B19" s="232">
        <v>0</v>
      </c>
      <c r="C19" s="230">
        <f>1-O28</f>
        <v>0.55099999999999993</v>
      </c>
      <c r="D19" s="230">
        <f t="shared" ref="D19:L19" si="0">1-P28</f>
        <v>0.67700000000000005</v>
      </c>
      <c r="E19" s="230">
        <f t="shared" si="0"/>
        <v>0.55099999999999993</v>
      </c>
      <c r="F19" s="230">
        <f t="shared" si="0"/>
        <v>0.753</v>
      </c>
      <c r="G19" s="230">
        <f t="shared" si="0"/>
        <v>0.61899999999999999</v>
      </c>
      <c r="H19" s="230">
        <f t="shared" si="0"/>
        <v>0.61</v>
      </c>
      <c r="I19" s="230">
        <f t="shared" si="0"/>
        <v>0.71599999999999997</v>
      </c>
      <c r="J19" s="230">
        <f t="shared" si="0"/>
        <v>0.745</v>
      </c>
      <c r="K19" s="230">
        <f t="shared" si="0"/>
        <v>0.57499999999999996</v>
      </c>
      <c r="L19" s="230">
        <f t="shared" si="0"/>
        <v>0.67200000000000004</v>
      </c>
      <c r="N19">
        <v>1</v>
      </c>
      <c r="O19" s="231">
        <v>0.82299999999999995</v>
      </c>
      <c r="P19" s="231">
        <v>0.81799999999999995</v>
      </c>
      <c r="Q19" s="231">
        <v>0.84</v>
      </c>
      <c r="R19" s="231">
        <v>0.74299999999999999</v>
      </c>
      <c r="S19" s="231">
        <v>0.82799999999999996</v>
      </c>
      <c r="T19" s="231">
        <v>0.83099999999999996</v>
      </c>
      <c r="U19" s="231">
        <v>0.76900000000000002</v>
      </c>
      <c r="V19" s="231">
        <v>0.752</v>
      </c>
      <c r="W19" s="231">
        <v>0.81400000000000006</v>
      </c>
      <c r="X19" s="231">
        <v>0.78299999999999992</v>
      </c>
    </row>
    <row r="20" spans="1:24" ht="15.6">
      <c r="A20" s="656"/>
      <c r="B20" s="232">
        <v>1</v>
      </c>
      <c r="C20" s="230">
        <f>O19-O$28</f>
        <v>0.37399999999999994</v>
      </c>
      <c r="D20" s="230">
        <f t="shared" ref="D20:D29" si="1">P19-P$28</f>
        <v>0.495</v>
      </c>
      <c r="E20" s="230">
        <f t="shared" ref="E20:E29" si="2">Q19-Q$28</f>
        <v>0.39099999999999996</v>
      </c>
      <c r="F20" s="230">
        <f t="shared" ref="F20:F29" si="3">R19-R$28</f>
        <v>0.496</v>
      </c>
      <c r="G20" s="230">
        <f t="shared" ref="G20:G29" si="4">S19-S$28</f>
        <v>0.44699999999999995</v>
      </c>
      <c r="H20" s="230">
        <f t="shared" ref="H20:H29" si="5">T19-T$28</f>
        <v>0.44099999999999995</v>
      </c>
      <c r="I20" s="230">
        <f t="shared" ref="I20:I29" si="6">U19-U$28</f>
        <v>0.48500000000000004</v>
      </c>
      <c r="J20" s="230">
        <f t="shared" ref="J20:J29" si="7">V19-V$28</f>
        <v>0.497</v>
      </c>
      <c r="K20" s="230">
        <f t="shared" ref="K20:K29" si="8">W19-W$28</f>
        <v>0.38900000000000007</v>
      </c>
      <c r="L20" s="230">
        <f t="shared" ref="L20:L29" si="9">X19-X$28</f>
        <v>0.45499999999999996</v>
      </c>
      <c r="N20">
        <v>2</v>
      </c>
      <c r="O20" s="231">
        <v>0.748</v>
      </c>
      <c r="P20" s="231">
        <v>0.71200000000000008</v>
      </c>
      <c r="Q20" s="231">
        <v>0.73499999999999999</v>
      </c>
      <c r="R20" s="231">
        <v>0.59799999999999998</v>
      </c>
      <c r="S20" s="231">
        <v>0.72400000000000009</v>
      </c>
      <c r="T20" s="231">
        <v>0.72400000000000009</v>
      </c>
      <c r="U20" s="231">
        <v>0.63600000000000001</v>
      </c>
      <c r="V20" s="231">
        <v>0.627</v>
      </c>
      <c r="W20" s="231">
        <v>0.72199999999999998</v>
      </c>
      <c r="X20" s="231">
        <v>0.66200000000000003</v>
      </c>
    </row>
    <row r="21" spans="1:24" ht="15.6">
      <c r="A21" s="656"/>
      <c r="B21" s="232">
        <v>2</v>
      </c>
      <c r="C21" s="230">
        <f t="shared" ref="C21:C29" si="10">O20-O$28</f>
        <v>0.29899999999999999</v>
      </c>
      <c r="D21" s="230">
        <f t="shared" si="1"/>
        <v>0.38900000000000012</v>
      </c>
      <c r="E21" s="230">
        <f t="shared" si="2"/>
        <v>0.28599999999999998</v>
      </c>
      <c r="F21" s="230">
        <f t="shared" si="3"/>
        <v>0.35099999999999998</v>
      </c>
      <c r="G21" s="230">
        <f t="shared" si="4"/>
        <v>0.34300000000000008</v>
      </c>
      <c r="H21" s="230">
        <f t="shared" si="5"/>
        <v>0.33400000000000007</v>
      </c>
      <c r="I21" s="230">
        <f t="shared" si="6"/>
        <v>0.35200000000000004</v>
      </c>
      <c r="J21" s="230">
        <f t="shared" si="7"/>
        <v>0.372</v>
      </c>
      <c r="K21" s="230">
        <f t="shared" si="8"/>
        <v>0.29699999999999999</v>
      </c>
      <c r="L21" s="230">
        <f t="shared" si="9"/>
        <v>0.33400000000000007</v>
      </c>
      <c r="N21">
        <v>3</v>
      </c>
      <c r="O21" s="231">
        <v>0.66099999999999992</v>
      </c>
      <c r="P21" s="231">
        <v>0.629</v>
      </c>
      <c r="Q21" s="231">
        <v>0.67</v>
      </c>
      <c r="R21" s="231">
        <v>0.45600000000000002</v>
      </c>
      <c r="S21" s="231">
        <v>0.622</v>
      </c>
      <c r="T21" s="231">
        <v>0.63100000000000001</v>
      </c>
      <c r="U21" s="231">
        <v>0.52300000000000002</v>
      </c>
      <c r="V21" s="231">
        <v>0.53299999999999992</v>
      </c>
      <c r="W21" s="231">
        <v>0.67400000000000004</v>
      </c>
      <c r="X21" s="231">
        <v>0.56600000000000006</v>
      </c>
    </row>
    <row r="22" spans="1:24" ht="15.6">
      <c r="A22" s="656"/>
      <c r="B22" s="232">
        <v>3</v>
      </c>
      <c r="C22" s="230">
        <f t="shared" si="10"/>
        <v>0.21199999999999991</v>
      </c>
      <c r="D22" s="230">
        <f t="shared" si="1"/>
        <v>0.30600000000000005</v>
      </c>
      <c r="E22" s="230">
        <f t="shared" si="2"/>
        <v>0.22100000000000003</v>
      </c>
      <c r="F22" s="230">
        <f t="shared" si="3"/>
        <v>0.20900000000000002</v>
      </c>
      <c r="G22" s="230">
        <f t="shared" si="4"/>
        <v>0.24099999999999999</v>
      </c>
      <c r="H22" s="230">
        <f t="shared" si="5"/>
        <v>0.24099999999999999</v>
      </c>
      <c r="I22" s="230">
        <f t="shared" si="6"/>
        <v>0.23900000000000005</v>
      </c>
      <c r="J22" s="230">
        <f t="shared" si="7"/>
        <v>0.27799999999999991</v>
      </c>
      <c r="K22" s="230">
        <f t="shared" si="8"/>
        <v>0.24900000000000005</v>
      </c>
      <c r="L22" s="230">
        <f t="shared" si="9"/>
        <v>0.2380000000000001</v>
      </c>
      <c r="N22">
        <v>4</v>
      </c>
      <c r="O22" s="231">
        <v>0.61199999999999999</v>
      </c>
      <c r="P22" s="231">
        <v>0.53799999999999992</v>
      </c>
      <c r="Q22" s="231">
        <v>0.629</v>
      </c>
      <c r="R22" s="231">
        <v>0.371</v>
      </c>
      <c r="S22" s="231">
        <v>0.54100000000000004</v>
      </c>
      <c r="T22" s="231">
        <v>0.56499999999999995</v>
      </c>
      <c r="U22" s="231">
        <v>0.45</v>
      </c>
      <c r="V22" s="231">
        <v>0.46399999999999997</v>
      </c>
      <c r="W22" s="231">
        <v>0.61299999999999999</v>
      </c>
      <c r="X22" s="231">
        <v>0.498</v>
      </c>
    </row>
    <row r="23" spans="1:24" ht="15.6">
      <c r="A23" s="656"/>
      <c r="B23" s="232">
        <v>4</v>
      </c>
      <c r="C23" s="230">
        <f t="shared" si="10"/>
        <v>0.16299999999999998</v>
      </c>
      <c r="D23" s="230">
        <f t="shared" si="1"/>
        <v>0.21499999999999997</v>
      </c>
      <c r="E23" s="230">
        <f t="shared" si="2"/>
        <v>0.18</v>
      </c>
      <c r="F23" s="230">
        <f t="shared" si="3"/>
        <v>0.124</v>
      </c>
      <c r="G23" s="230">
        <f t="shared" si="4"/>
        <v>0.16000000000000003</v>
      </c>
      <c r="H23" s="230">
        <f t="shared" si="5"/>
        <v>0.17499999999999993</v>
      </c>
      <c r="I23" s="230">
        <f t="shared" si="6"/>
        <v>0.16600000000000004</v>
      </c>
      <c r="J23" s="230">
        <f t="shared" si="7"/>
        <v>0.20899999999999996</v>
      </c>
      <c r="K23" s="230">
        <f t="shared" si="8"/>
        <v>0.188</v>
      </c>
      <c r="L23" s="230">
        <f t="shared" si="9"/>
        <v>0.17000000000000004</v>
      </c>
      <c r="N23">
        <v>5</v>
      </c>
      <c r="O23" s="231">
        <v>0.57399999999999995</v>
      </c>
      <c r="P23" s="231">
        <v>0.51200000000000001</v>
      </c>
      <c r="Q23" s="231">
        <v>0.56499999999999995</v>
      </c>
      <c r="R23" s="231">
        <v>0.33200000000000002</v>
      </c>
      <c r="S23" s="231">
        <v>0.49399999999999999</v>
      </c>
      <c r="T23" s="231">
        <v>0.52100000000000002</v>
      </c>
      <c r="U23" s="231">
        <v>0.41100000000000003</v>
      </c>
      <c r="V23" s="231">
        <v>0.41899999999999998</v>
      </c>
      <c r="W23" s="231">
        <v>0.55899999999999994</v>
      </c>
      <c r="X23" s="231">
        <v>0.45399999999999996</v>
      </c>
    </row>
    <row r="24" spans="1:24" ht="15.6">
      <c r="A24" s="656"/>
      <c r="B24" s="232">
        <v>5</v>
      </c>
      <c r="C24" s="230">
        <f t="shared" si="10"/>
        <v>0.12499999999999994</v>
      </c>
      <c r="D24" s="230">
        <f t="shared" si="1"/>
        <v>0.18900000000000006</v>
      </c>
      <c r="E24" s="230">
        <f t="shared" si="2"/>
        <v>0.11599999999999994</v>
      </c>
      <c r="F24" s="230">
        <f t="shared" si="3"/>
        <v>8.500000000000002E-2</v>
      </c>
      <c r="G24" s="230">
        <f t="shared" si="4"/>
        <v>0.11299999999999999</v>
      </c>
      <c r="H24" s="230">
        <f t="shared" si="5"/>
        <v>0.13100000000000001</v>
      </c>
      <c r="I24" s="230">
        <f t="shared" si="6"/>
        <v>0.12700000000000006</v>
      </c>
      <c r="J24" s="230">
        <f t="shared" si="7"/>
        <v>0.16399999999999998</v>
      </c>
      <c r="K24" s="230">
        <f t="shared" si="8"/>
        <v>0.13399999999999995</v>
      </c>
      <c r="L24" s="230">
        <f t="shared" si="9"/>
        <v>0.126</v>
      </c>
      <c r="N24">
        <v>6</v>
      </c>
      <c r="O24" s="231">
        <v>0.54100000000000004</v>
      </c>
      <c r="P24" s="231">
        <v>0.47200000000000003</v>
      </c>
      <c r="Q24" s="231">
        <v>0.55600000000000005</v>
      </c>
      <c r="R24" s="231">
        <v>0.30599999999999999</v>
      </c>
      <c r="S24" s="231">
        <v>0.46299999999999997</v>
      </c>
      <c r="T24" s="231">
        <v>0.48499999999999999</v>
      </c>
      <c r="U24" s="231">
        <v>0.377</v>
      </c>
      <c r="V24" s="231">
        <v>0.37200000000000005</v>
      </c>
      <c r="W24" s="231">
        <v>0.54799999999999993</v>
      </c>
      <c r="X24" s="231">
        <v>0.42299999999999999</v>
      </c>
    </row>
    <row r="25" spans="1:24" ht="15.6">
      <c r="A25" s="656"/>
      <c r="B25" s="232">
        <v>6</v>
      </c>
      <c r="C25" s="230">
        <f t="shared" si="10"/>
        <v>9.2000000000000026E-2</v>
      </c>
      <c r="D25" s="230">
        <f t="shared" si="1"/>
        <v>0.14900000000000008</v>
      </c>
      <c r="E25" s="230">
        <f t="shared" si="2"/>
        <v>0.10700000000000004</v>
      </c>
      <c r="F25" s="230">
        <f t="shared" si="3"/>
        <v>5.8999999999999997E-2</v>
      </c>
      <c r="G25" s="230">
        <f t="shared" si="4"/>
        <v>8.1999999999999962E-2</v>
      </c>
      <c r="H25" s="230">
        <f t="shared" si="5"/>
        <v>9.4999999999999973E-2</v>
      </c>
      <c r="I25" s="230">
        <f t="shared" si="6"/>
        <v>9.3000000000000027E-2</v>
      </c>
      <c r="J25" s="230">
        <f t="shared" si="7"/>
        <v>0.11700000000000005</v>
      </c>
      <c r="K25" s="230">
        <f t="shared" si="8"/>
        <v>0.12299999999999994</v>
      </c>
      <c r="L25" s="230">
        <f t="shared" si="9"/>
        <v>9.5000000000000029E-2</v>
      </c>
      <c r="N25">
        <v>7</v>
      </c>
      <c r="O25" s="231">
        <v>0.51600000000000001</v>
      </c>
      <c r="P25" s="231">
        <v>0.42899999999999999</v>
      </c>
      <c r="Q25" s="231">
        <v>0.51600000000000001</v>
      </c>
      <c r="R25" s="231">
        <v>0.28399999999999997</v>
      </c>
      <c r="S25" s="231">
        <v>0.43799999999999994</v>
      </c>
      <c r="T25" s="231">
        <v>0.45700000000000002</v>
      </c>
      <c r="U25" s="231">
        <v>0.34899999999999998</v>
      </c>
      <c r="V25" s="231">
        <v>0.34</v>
      </c>
      <c r="W25" s="231">
        <v>0.52900000000000003</v>
      </c>
      <c r="X25" s="231">
        <v>0.39600000000000002</v>
      </c>
    </row>
    <row r="26" spans="1:24" ht="15.6">
      <c r="A26" s="656"/>
      <c r="B26" s="232">
        <v>7</v>
      </c>
      <c r="C26" s="230">
        <f t="shared" si="10"/>
        <v>6.7000000000000004E-2</v>
      </c>
      <c r="D26" s="230">
        <f t="shared" si="1"/>
        <v>0.10600000000000004</v>
      </c>
      <c r="E26" s="230">
        <f t="shared" si="2"/>
        <v>6.7000000000000004E-2</v>
      </c>
      <c r="F26" s="230">
        <f t="shared" si="3"/>
        <v>3.6999999999999977E-2</v>
      </c>
      <c r="G26" s="230">
        <f t="shared" si="4"/>
        <v>5.699999999999994E-2</v>
      </c>
      <c r="H26" s="230">
        <f t="shared" si="5"/>
        <v>6.7000000000000004E-2</v>
      </c>
      <c r="I26" s="230">
        <f t="shared" si="6"/>
        <v>6.5000000000000002E-2</v>
      </c>
      <c r="J26" s="230">
        <f t="shared" si="7"/>
        <v>8.500000000000002E-2</v>
      </c>
      <c r="K26" s="230">
        <f t="shared" si="8"/>
        <v>0.10400000000000004</v>
      </c>
      <c r="L26" s="230">
        <f t="shared" si="9"/>
        <v>6.800000000000006E-2</v>
      </c>
      <c r="N26">
        <v>8</v>
      </c>
      <c r="O26" s="231">
        <v>0.495</v>
      </c>
      <c r="P26" s="231">
        <v>0.40500000000000003</v>
      </c>
      <c r="Q26" s="231">
        <v>0.503</v>
      </c>
      <c r="R26" s="231">
        <v>0.27100000000000002</v>
      </c>
      <c r="S26" s="231">
        <v>0.41499999999999998</v>
      </c>
      <c r="T26" s="231">
        <v>0.433</v>
      </c>
      <c r="U26" s="231">
        <v>0.32400000000000001</v>
      </c>
      <c r="V26" s="231">
        <v>0.314</v>
      </c>
      <c r="W26" s="231">
        <v>0.48399999999999999</v>
      </c>
      <c r="X26" s="231">
        <v>0.371</v>
      </c>
    </row>
    <row r="27" spans="1:24" ht="15.6">
      <c r="A27" s="656"/>
      <c r="B27" s="232">
        <v>8</v>
      </c>
      <c r="C27" s="230">
        <f t="shared" si="10"/>
        <v>4.5999999999999985E-2</v>
      </c>
      <c r="D27" s="230">
        <f t="shared" si="1"/>
        <v>8.2000000000000073E-2</v>
      </c>
      <c r="E27" s="230">
        <f t="shared" si="2"/>
        <v>5.3999999999999992E-2</v>
      </c>
      <c r="F27" s="230">
        <f t="shared" si="3"/>
        <v>2.4000000000000021E-2</v>
      </c>
      <c r="G27" s="230">
        <f t="shared" si="4"/>
        <v>3.3999999999999975E-2</v>
      </c>
      <c r="H27" s="230">
        <f t="shared" si="5"/>
        <v>4.2999999999999983E-2</v>
      </c>
      <c r="I27" s="230">
        <f t="shared" si="6"/>
        <v>4.0000000000000036E-2</v>
      </c>
      <c r="J27" s="230">
        <f t="shared" si="7"/>
        <v>5.8999999999999997E-2</v>
      </c>
      <c r="K27" s="230">
        <f t="shared" si="8"/>
        <v>5.8999999999999997E-2</v>
      </c>
      <c r="L27" s="230">
        <f t="shared" si="9"/>
        <v>4.3000000000000038E-2</v>
      </c>
      <c r="N27">
        <v>9</v>
      </c>
      <c r="O27" s="231">
        <v>0.46500000000000002</v>
      </c>
      <c r="P27" s="231">
        <v>0.371</v>
      </c>
      <c r="Q27" s="231">
        <v>0.47600000000000003</v>
      </c>
      <c r="R27" s="231">
        <v>0.25800000000000001</v>
      </c>
      <c r="S27" s="231">
        <v>0.4</v>
      </c>
      <c r="T27" s="231">
        <v>0.41</v>
      </c>
      <c r="U27" s="231">
        <v>0.30499999999999999</v>
      </c>
      <c r="V27" s="231">
        <v>0.27399999999999997</v>
      </c>
      <c r="W27" s="231">
        <v>0.45500000000000002</v>
      </c>
      <c r="X27" s="231">
        <v>0.34799999999999998</v>
      </c>
    </row>
    <row r="28" spans="1:24" ht="15.6">
      <c r="A28" s="657"/>
      <c r="B28" s="232">
        <v>9</v>
      </c>
      <c r="C28" s="230">
        <f t="shared" si="10"/>
        <v>1.6000000000000014E-2</v>
      </c>
      <c r="D28" s="230">
        <f t="shared" si="1"/>
        <v>4.8000000000000043E-2</v>
      </c>
      <c r="E28" s="230">
        <f t="shared" si="2"/>
        <v>2.7000000000000024E-2</v>
      </c>
      <c r="F28" s="230">
        <f t="shared" si="3"/>
        <v>1.100000000000001E-2</v>
      </c>
      <c r="G28" s="230">
        <f t="shared" si="4"/>
        <v>1.9000000000000017E-2</v>
      </c>
      <c r="H28" s="230">
        <f t="shared" si="5"/>
        <v>1.9999999999999962E-2</v>
      </c>
      <c r="I28" s="230">
        <f t="shared" si="6"/>
        <v>2.1000000000000019E-2</v>
      </c>
      <c r="J28" s="230">
        <f t="shared" si="7"/>
        <v>1.8999999999999961E-2</v>
      </c>
      <c r="K28" s="230">
        <f t="shared" si="8"/>
        <v>3.0000000000000027E-2</v>
      </c>
      <c r="L28" s="230">
        <f t="shared" si="9"/>
        <v>2.0000000000000018E-2</v>
      </c>
      <c r="N28">
        <v>10</v>
      </c>
      <c r="O28" s="231">
        <v>0.44900000000000001</v>
      </c>
      <c r="P28" s="231">
        <v>0.32299999999999995</v>
      </c>
      <c r="Q28" s="231">
        <v>0.44900000000000001</v>
      </c>
      <c r="R28" s="231">
        <v>0.247</v>
      </c>
      <c r="S28" s="231">
        <v>0.38100000000000001</v>
      </c>
      <c r="T28" s="231">
        <v>0.39</v>
      </c>
      <c r="U28" s="231">
        <v>0.28399999999999997</v>
      </c>
      <c r="V28" s="231">
        <v>0.255</v>
      </c>
      <c r="W28" s="231">
        <v>0.42499999999999999</v>
      </c>
      <c r="X28" s="231">
        <v>0.32799999999999996</v>
      </c>
    </row>
    <row r="29" spans="1:24" ht="15.6">
      <c r="B29" s="232">
        <v>10</v>
      </c>
      <c r="C29" s="230">
        <f t="shared" si="10"/>
        <v>0</v>
      </c>
      <c r="D29" s="230">
        <f t="shared" si="1"/>
        <v>0</v>
      </c>
      <c r="E29" s="230">
        <f t="shared" si="2"/>
        <v>0</v>
      </c>
      <c r="F29" s="230">
        <f t="shared" si="3"/>
        <v>0</v>
      </c>
      <c r="G29" s="230">
        <f t="shared" si="4"/>
        <v>0</v>
      </c>
      <c r="H29" s="230">
        <f t="shared" si="5"/>
        <v>0</v>
      </c>
      <c r="I29" s="230">
        <f t="shared" si="6"/>
        <v>0</v>
      </c>
      <c r="J29" s="230">
        <f t="shared" si="7"/>
        <v>0</v>
      </c>
      <c r="K29" s="230">
        <f t="shared" si="8"/>
        <v>0</v>
      </c>
      <c r="L29" s="230">
        <f t="shared" si="9"/>
        <v>0</v>
      </c>
    </row>
    <row r="30" spans="1:24" ht="15.6">
      <c r="A30" t="s">
        <v>768</v>
      </c>
      <c r="B30" s="234"/>
      <c r="C30" s="235"/>
      <c r="D30" s="235"/>
      <c r="E30" s="235"/>
      <c r="F30" s="235"/>
      <c r="G30" s="235"/>
      <c r="H30" s="235"/>
      <c r="I30" s="235"/>
      <c r="J30" s="235"/>
      <c r="K30" s="235"/>
      <c r="L30" s="235"/>
    </row>
    <row r="31" spans="1:24" s="189" customFormat="1" ht="15">
      <c r="A31" s="189" t="s">
        <v>767</v>
      </c>
      <c r="B31"/>
      <c r="C31"/>
      <c r="D31"/>
      <c r="E31"/>
      <c r="F31"/>
      <c r="G31"/>
      <c r="H31"/>
      <c r="I31"/>
      <c r="J31"/>
      <c r="K31"/>
      <c r="L31"/>
    </row>
    <row r="32" spans="1:24" ht="15">
      <c r="B32" s="189"/>
      <c r="C32" s="189"/>
      <c r="D32" s="189"/>
      <c r="E32" s="189"/>
      <c r="F32" s="189"/>
      <c r="G32" s="189"/>
      <c r="H32" s="189"/>
      <c r="I32" s="189"/>
      <c r="J32" s="189"/>
      <c r="K32" s="189"/>
      <c r="L32" s="189"/>
    </row>
    <row r="33" spans="1:1" ht="15.6">
      <c r="A33" s="233" t="s">
        <v>764</v>
      </c>
    </row>
    <row r="34" spans="1:1" ht="15">
      <c r="A34" s="189" t="s">
        <v>765</v>
      </c>
    </row>
    <row r="35" spans="1:1" ht="15">
      <c r="A35" s="189" t="s">
        <v>770</v>
      </c>
    </row>
    <row r="36" spans="1:1" ht="15">
      <c r="A36" s="189" t="s">
        <v>771</v>
      </c>
    </row>
    <row r="37" spans="1:1" ht="15">
      <c r="A37" s="189" t="s">
        <v>766</v>
      </c>
    </row>
  </sheetData>
  <mergeCells count="3">
    <mergeCell ref="A4:K4"/>
    <mergeCell ref="A19:A28"/>
    <mergeCell ref="O17:X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10"/>
  <sheetViews>
    <sheetView topLeftCell="A67" workbookViewId="0">
      <selection activeCell="R77" sqref="R77"/>
    </sheetView>
  </sheetViews>
  <sheetFormatPr defaultColWidth="11" defaultRowHeight="15.6"/>
  <cols>
    <col min="1" max="1" width="27.5" bestFit="1" customWidth="1"/>
    <col min="2" max="2" width="15" bestFit="1" customWidth="1"/>
    <col min="3" max="3" width="18.5" bestFit="1" customWidth="1"/>
    <col min="4" max="4" width="21" style="90" bestFit="1" customWidth="1"/>
    <col min="5" max="5" width="20" bestFit="1" customWidth="1"/>
    <col min="6" max="6" width="17.625" bestFit="1" customWidth="1"/>
    <col min="7" max="7" width="13.625" style="468" bestFit="1" customWidth="1"/>
  </cols>
  <sheetData>
    <row r="1" spans="1:7">
      <c r="A1" t="s">
        <v>584</v>
      </c>
      <c r="B1" s="143">
        <v>4.1099999999999998E-2</v>
      </c>
      <c r="C1" t="s">
        <v>988</v>
      </c>
    </row>
    <row r="2" spans="1:7" s="10" customFormat="1">
      <c r="A2" s="168" t="s">
        <v>628</v>
      </c>
      <c r="B2" s="168"/>
      <c r="C2" s="168"/>
      <c r="D2" s="481"/>
      <c r="E2" s="168"/>
      <c r="F2" s="168"/>
      <c r="G2" s="469"/>
    </row>
    <row r="4" spans="1:7" ht="31.2">
      <c r="A4" s="483" t="s">
        <v>332</v>
      </c>
      <c r="B4" s="486" t="s">
        <v>537</v>
      </c>
      <c r="C4" s="487" t="s">
        <v>333</v>
      </c>
      <c r="D4" s="373" t="s">
        <v>538</v>
      </c>
      <c r="E4" s="373" t="s">
        <v>334</v>
      </c>
      <c r="F4" s="373" t="s">
        <v>492</v>
      </c>
      <c r="G4" s="467" t="s">
        <v>983</v>
      </c>
    </row>
    <row r="5" spans="1:7">
      <c r="A5" s="484" t="s">
        <v>456</v>
      </c>
      <c r="B5" s="116" t="s">
        <v>539</v>
      </c>
      <c r="C5" s="115">
        <v>4.6445295065707902E-3</v>
      </c>
      <c r="D5" s="115">
        <f>$B$1+E5</f>
        <v>4.7128815998902777E-2</v>
      </c>
      <c r="E5" s="115">
        <v>6.0288159989027772E-3</v>
      </c>
      <c r="F5" s="115">
        <v>0.15</v>
      </c>
      <c r="G5" s="470">
        <v>299500</v>
      </c>
    </row>
    <row r="6" spans="1:7">
      <c r="A6" s="484" t="s">
        <v>228</v>
      </c>
      <c r="B6" s="116" t="s">
        <v>540</v>
      </c>
      <c r="C6" s="115">
        <v>4.2353685738490778E-2</v>
      </c>
      <c r="D6" s="115">
        <f t="shared" ref="D6:D69" si="0">$B$1+E6</f>
        <v>9.6077060180470561E-2</v>
      </c>
      <c r="E6" s="115">
        <v>5.4977060180470563E-2</v>
      </c>
      <c r="F6" s="115">
        <v>0.15</v>
      </c>
      <c r="G6" s="470">
        <v>18916.37886054883</v>
      </c>
    </row>
    <row r="7" spans="1:7">
      <c r="A7" s="485" t="s">
        <v>541</v>
      </c>
      <c r="B7" s="116" t="s">
        <v>636</v>
      </c>
      <c r="C7" s="115">
        <v>2.8309513182907673E-2</v>
      </c>
      <c r="D7" s="115">
        <f t="shared" si="0"/>
        <v>7.7847068945693113E-2</v>
      </c>
      <c r="E7" s="115">
        <v>3.6747068945693115E-2</v>
      </c>
      <c r="F7" s="115">
        <v>0.26</v>
      </c>
      <c r="G7" s="470">
        <v>194998.44976908513</v>
      </c>
    </row>
    <row r="8" spans="1:7">
      <c r="A8" s="484" t="s">
        <v>474</v>
      </c>
      <c r="B8" s="116" t="s">
        <v>544</v>
      </c>
      <c r="C8" s="115">
        <v>1.5039428878419702E-2</v>
      </c>
      <c r="D8" s="115">
        <f t="shared" si="0"/>
        <v>6.0621880377399462E-2</v>
      </c>
      <c r="E8" s="115">
        <v>1.9521880377399468E-2</v>
      </c>
      <c r="F8" s="115">
        <v>0.1898</v>
      </c>
      <c r="G8" s="470">
        <v>3330</v>
      </c>
    </row>
    <row r="9" spans="1:7">
      <c r="A9" s="484" t="s">
        <v>229</v>
      </c>
      <c r="B9" s="116" t="s">
        <v>552</v>
      </c>
      <c r="C9" s="115">
        <v>6.1152971836515406E-2</v>
      </c>
      <c r="D9" s="115">
        <f t="shared" si="0"/>
        <v>0.1204794106522199</v>
      </c>
      <c r="E9" s="115">
        <v>7.9379410652219901E-2</v>
      </c>
      <c r="F9" s="115">
        <v>0.25</v>
      </c>
      <c r="G9" s="470">
        <v>106782.77071461857</v>
      </c>
    </row>
    <row r="10" spans="1:7">
      <c r="A10" s="484" t="s">
        <v>872</v>
      </c>
      <c r="B10" s="116" t="s">
        <v>636</v>
      </c>
      <c r="C10" s="115">
        <v>0.1054310997313879</v>
      </c>
      <c r="D10" s="115">
        <f t="shared" si="0"/>
        <v>0.2286348819700155</v>
      </c>
      <c r="E10" s="478">
        <v>0.1875348819700155</v>
      </c>
      <c r="F10" s="478">
        <v>0.2724561140242252</v>
      </c>
      <c r="G10" s="470" t="s">
        <v>88</v>
      </c>
    </row>
    <row r="11" spans="1:7">
      <c r="A11" s="484" t="s">
        <v>873</v>
      </c>
      <c r="B11" s="116" t="s">
        <v>636</v>
      </c>
      <c r="C11" s="115">
        <v>0.1054310997313879</v>
      </c>
      <c r="D11" s="115">
        <f t="shared" si="0"/>
        <v>0.2286348819700155</v>
      </c>
      <c r="E11" s="478">
        <v>0.1875348819700155</v>
      </c>
      <c r="F11" s="478">
        <v>0.2724561140242252</v>
      </c>
      <c r="G11" s="470" t="s">
        <v>88</v>
      </c>
    </row>
    <row r="12" spans="1:7">
      <c r="A12" s="484" t="s">
        <v>230</v>
      </c>
      <c r="B12" s="116" t="s">
        <v>604</v>
      </c>
      <c r="C12" s="115">
        <v>0.11290630062401852</v>
      </c>
      <c r="D12" s="115">
        <f t="shared" si="0"/>
        <v>0.18765764606856516</v>
      </c>
      <c r="E12" s="115">
        <v>0.14655764606856517</v>
      </c>
      <c r="F12" s="115">
        <v>0.35</v>
      </c>
      <c r="G12" s="470">
        <v>631133.38443994441</v>
      </c>
    </row>
    <row r="13" spans="1:7">
      <c r="A13" s="484" t="s">
        <v>231</v>
      </c>
      <c r="B13" s="116" t="s">
        <v>549</v>
      </c>
      <c r="C13" s="115">
        <v>3.3838714976444327E-2</v>
      </c>
      <c r="D13" s="115">
        <f t="shared" si="0"/>
        <v>8.5024230849148799E-2</v>
      </c>
      <c r="E13" s="115">
        <v>4.3924230849148801E-2</v>
      </c>
      <c r="F13" s="115">
        <v>0.18</v>
      </c>
      <c r="G13" s="470">
        <v>19513.474648242936</v>
      </c>
    </row>
    <row r="14" spans="1:7">
      <c r="A14" s="484" t="s">
        <v>232</v>
      </c>
      <c r="B14" s="116" t="s">
        <v>548</v>
      </c>
      <c r="C14" s="115">
        <v>2.0679214707827093E-2</v>
      </c>
      <c r="D14" s="115">
        <f t="shared" si="0"/>
        <v>6.7942585518924264E-2</v>
      </c>
      <c r="E14" s="115">
        <v>2.6842585518924274E-2</v>
      </c>
      <c r="F14" s="115">
        <v>0.25</v>
      </c>
      <c r="G14" s="470">
        <v>3544.7077880566426</v>
      </c>
    </row>
    <row r="15" spans="1:7">
      <c r="A15" s="484" t="s">
        <v>233</v>
      </c>
      <c r="B15" s="116" t="s">
        <v>545</v>
      </c>
      <c r="C15" s="115">
        <v>0</v>
      </c>
      <c r="D15" s="115">
        <f t="shared" si="0"/>
        <v>4.1099999999999998E-2</v>
      </c>
      <c r="E15" s="115">
        <v>0</v>
      </c>
      <c r="F15" s="115">
        <v>0.3</v>
      </c>
      <c r="G15" s="470">
        <v>1692956.6468557017</v>
      </c>
    </row>
    <row r="16" spans="1:7">
      <c r="A16" s="484" t="s">
        <v>234</v>
      </c>
      <c r="B16" s="116" t="s">
        <v>546</v>
      </c>
      <c r="C16" s="115">
        <v>3.7598572196049255E-3</v>
      </c>
      <c r="D16" s="115">
        <f t="shared" si="0"/>
        <v>4.5980470094349864E-2</v>
      </c>
      <c r="E16" s="115">
        <v>4.8804700943498669E-3</v>
      </c>
      <c r="F16" s="115">
        <v>0.24</v>
      </c>
      <c r="G16" s="470">
        <v>470941.92675074114</v>
      </c>
    </row>
    <row r="17" spans="1:7">
      <c r="A17" s="484" t="s">
        <v>341</v>
      </c>
      <c r="B17" s="116" t="s">
        <v>560</v>
      </c>
      <c r="C17" s="115">
        <v>2.3554399640466156E-2</v>
      </c>
      <c r="D17" s="115">
        <f t="shared" si="0"/>
        <v>7.1674709708721224E-2</v>
      </c>
      <c r="E17" s="115">
        <v>3.0574709708721233E-2</v>
      </c>
      <c r="F17" s="115">
        <v>0.2</v>
      </c>
      <c r="G17" s="470">
        <v>78721.058823529398</v>
      </c>
    </row>
    <row r="18" spans="1:7">
      <c r="A18" s="484" t="s">
        <v>235</v>
      </c>
      <c r="B18" s="116" t="s">
        <v>540</v>
      </c>
      <c r="C18" s="115">
        <v>4.2353685738490778E-2</v>
      </c>
      <c r="D18" s="115">
        <f t="shared" si="0"/>
        <v>9.6077060180470561E-2</v>
      </c>
      <c r="E18" s="115">
        <v>5.4977060180470563E-2</v>
      </c>
      <c r="F18" s="115">
        <v>0</v>
      </c>
      <c r="G18" s="470">
        <v>11210</v>
      </c>
    </row>
    <row r="19" spans="1:7">
      <c r="A19" s="484" t="s">
        <v>236</v>
      </c>
      <c r="B19" s="116" t="s">
        <v>543</v>
      </c>
      <c r="C19" s="115">
        <v>5.1753328787503099E-2</v>
      </c>
      <c r="D19" s="115">
        <f t="shared" si="0"/>
        <v>0.10827823541634524</v>
      </c>
      <c r="E19" s="115">
        <v>6.7178235416345239E-2</v>
      </c>
      <c r="F19" s="115">
        <v>0</v>
      </c>
      <c r="G19" s="470">
        <v>44383.297872340423</v>
      </c>
    </row>
    <row r="20" spans="1:7">
      <c r="A20" s="484" t="s">
        <v>237</v>
      </c>
      <c r="B20" s="116" t="s">
        <v>540</v>
      </c>
      <c r="C20" s="115">
        <v>4.2353685738490778E-2</v>
      </c>
      <c r="D20" s="115">
        <f t="shared" si="0"/>
        <v>9.6077060180470561E-2</v>
      </c>
      <c r="E20" s="115">
        <v>5.4977060180470563E-2</v>
      </c>
      <c r="F20" s="115">
        <v>0.3</v>
      </c>
      <c r="G20" s="470">
        <v>460201.26552797732</v>
      </c>
    </row>
    <row r="21" spans="1:7">
      <c r="A21" s="484" t="s">
        <v>238</v>
      </c>
      <c r="B21" s="116" t="s">
        <v>552</v>
      </c>
      <c r="C21" s="115">
        <v>6.1152971836515406E-2</v>
      </c>
      <c r="D21" s="115">
        <f t="shared" si="0"/>
        <v>0.1204794106522199</v>
      </c>
      <c r="E21" s="115">
        <v>7.9379410652219901E-2</v>
      </c>
      <c r="F21" s="115">
        <v>5.5E-2</v>
      </c>
      <c r="G21" s="470">
        <v>5699.95</v>
      </c>
    </row>
    <row r="22" spans="1:7">
      <c r="A22" s="484" t="s">
        <v>239</v>
      </c>
      <c r="B22" s="116" t="s">
        <v>586</v>
      </c>
      <c r="C22" s="115">
        <v>0.17499999999999999</v>
      </c>
      <c r="D22" s="115">
        <f t="shared" si="0"/>
        <v>0.26825816495844784</v>
      </c>
      <c r="E22" s="115">
        <v>0.22715816495844784</v>
      </c>
      <c r="F22" s="115">
        <v>0.18</v>
      </c>
      <c r="G22" s="470">
        <v>72793.457588436664</v>
      </c>
    </row>
    <row r="23" spans="1:7">
      <c r="A23" s="484" t="s">
        <v>240</v>
      </c>
      <c r="B23" s="116" t="s">
        <v>551</v>
      </c>
      <c r="C23" s="115">
        <v>5.6397858294073887E-3</v>
      </c>
      <c r="D23" s="115">
        <f t="shared" si="0"/>
        <v>4.84207051415248E-2</v>
      </c>
      <c r="E23" s="115">
        <v>7.3207051415248017E-3</v>
      </c>
      <c r="F23" s="115">
        <v>0.25</v>
      </c>
      <c r="G23" s="470">
        <v>583435.59557996341</v>
      </c>
    </row>
    <row r="24" spans="1:7">
      <c r="A24" s="484" t="s">
        <v>344</v>
      </c>
      <c r="B24" s="116" t="s">
        <v>557</v>
      </c>
      <c r="C24" s="115">
        <v>8.4707371476981555E-2</v>
      </c>
      <c r="D24" s="115">
        <f t="shared" si="0"/>
        <v>0.15105412036094112</v>
      </c>
      <c r="E24" s="115">
        <v>0.10995412036094113</v>
      </c>
      <c r="F24" s="115">
        <v>0.2853</v>
      </c>
      <c r="G24" s="470">
        <v>2830.5075756840952</v>
      </c>
    </row>
    <row r="25" spans="1:7">
      <c r="A25" s="484" t="s">
        <v>553</v>
      </c>
      <c r="B25" s="116" t="s">
        <v>540</v>
      </c>
      <c r="C25" s="115">
        <v>4.2353685738490778E-2</v>
      </c>
      <c r="D25" s="115">
        <f t="shared" si="0"/>
        <v>9.6077060180470561E-2</v>
      </c>
      <c r="E25" s="115">
        <v>5.4977060180470563E-2</v>
      </c>
      <c r="F25" s="115">
        <v>0.3</v>
      </c>
      <c r="G25" s="470">
        <v>17396.7926995489</v>
      </c>
    </row>
    <row r="26" spans="1:7">
      <c r="A26" s="484" t="s">
        <v>241</v>
      </c>
      <c r="B26" s="116" t="s">
        <v>554</v>
      </c>
      <c r="C26" s="115">
        <v>7.9620505826927847E-3</v>
      </c>
      <c r="D26" s="115">
        <f t="shared" si="0"/>
        <v>5.1435113140976187E-2</v>
      </c>
      <c r="E26" s="115">
        <v>1.0335113140976191E-2</v>
      </c>
      <c r="F26" s="115">
        <v>0</v>
      </c>
      <c r="G26" s="470">
        <v>7546</v>
      </c>
    </row>
    <row r="27" spans="1:7">
      <c r="A27" s="484" t="s">
        <v>242</v>
      </c>
      <c r="B27" s="116" t="s">
        <v>605</v>
      </c>
      <c r="C27" s="115">
        <v>9.410701452599389E-2</v>
      </c>
      <c r="D27" s="115">
        <f t="shared" si="0"/>
        <v>0.16325529559681581</v>
      </c>
      <c r="E27" s="115">
        <v>0.12215529559681582</v>
      </c>
      <c r="F27" s="115">
        <v>0.25</v>
      </c>
      <c r="G27" s="470">
        <v>44008.282877960643</v>
      </c>
    </row>
    <row r="28" spans="1:7">
      <c r="A28" s="484" t="s">
        <v>243</v>
      </c>
      <c r="B28" s="116" t="s">
        <v>552</v>
      </c>
      <c r="C28" s="115">
        <v>6.1152971836515406E-2</v>
      </c>
      <c r="D28" s="115">
        <f t="shared" si="0"/>
        <v>0.1204794106522199</v>
      </c>
      <c r="E28" s="115">
        <v>7.9379410652219901E-2</v>
      </c>
      <c r="F28" s="115">
        <v>0.1</v>
      </c>
      <c r="G28" s="470">
        <v>24473.906673708643</v>
      </c>
    </row>
    <row r="29" spans="1:7">
      <c r="A29" s="484" t="s">
        <v>244</v>
      </c>
      <c r="B29" s="116" t="s">
        <v>558</v>
      </c>
      <c r="C29" s="115">
        <v>1.1279571658814777E-2</v>
      </c>
      <c r="D29" s="115">
        <f t="shared" si="0"/>
        <v>5.5741410283049603E-2</v>
      </c>
      <c r="E29" s="115">
        <v>1.4641410283049603E-2</v>
      </c>
      <c r="F29" s="115">
        <v>0.22</v>
      </c>
      <c r="G29" s="470">
        <v>20355.541962851221</v>
      </c>
    </row>
    <row r="30" spans="1:7">
      <c r="A30" s="484" t="s">
        <v>245</v>
      </c>
      <c r="B30" s="116" t="s">
        <v>547</v>
      </c>
      <c r="C30" s="115">
        <v>2.8309513182907677E-2</v>
      </c>
      <c r="D30" s="115">
        <f t="shared" si="0"/>
        <v>7.7847068945693126E-2</v>
      </c>
      <c r="E30" s="115">
        <v>3.6747068945693122E-2</v>
      </c>
      <c r="F30" s="115">
        <v>0.34</v>
      </c>
      <c r="G30" s="470">
        <v>1920095.7790227288</v>
      </c>
    </row>
    <row r="31" spans="1:7">
      <c r="A31" s="484" t="s">
        <v>874</v>
      </c>
      <c r="B31" s="116" t="s">
        <v>547</v>
      </c>
      <c r="C31" s="115">
        <v>3.2779436317050999E-2</v>
      </c>
      <c r="D31" s="115">
        <f t="shared" si="0"/>
        <v>8.5104412948338495E-2</v>
      </c>
      <c r="E31" s="478">
        <v>4.4004412948338498E-2</v>
      </c>
      <c r="F31" s="478">
        <v>0.34</v>
      </c>
      <c r="G31" s="470" t="s">
        <v>88</v>
      </c>
    </row>
    <row r="32" spans="1:7">
      <c r="A32" s="485" t="s">
        <v>555</v>
      </c>
      <c r="B32" s="116" t="s">
        <v>636</v>
      </c>
      <c r="C32" s="115">
        <v>5.6397858294073896E-3</v>
      </c>
      <c r="D32" s="115">
        <f t="shared" si="0"/>
        <v>4.84207051415248E-2</v>
      </c>
      <c r="E32" s="115">
        <v>7.3207051415248026E-3</v>
      </c>
      <c r="F32" s="115">
        <v>0.185</v>
      </c>
      <c r="G32" s="470">
        <v>14010</v>
      </c>
    </row>
    <row r="33" spans="1:7">
      <c r="A33" s="484" t="s">
        <v>246</v>
      </c>
      <c r="B33" s="116" t="s">
        <v>544</v>
      </c>
      <c r="C33" s="115">
        <v>1.5039428878419702E-2</v>
      </c>
      <c r="D33" s="115">
        <f t="shared" si="0"/>
        <v>6.0621880377399462E-2</v>
      </c>
      <c r="E33" s="115">
        <v>1.9521880377399468E-2</v>
      </c>
      <c r="F33" s="115">
        <v>0.1</v>
      </c>
      <c r="G33" s="470">
        <v>90346.169914934857</v>
      </c>
    </row>
    <row r="34" spans="1:7">
      <c r="A34" s="484" t="s">
        <v>457</v>
      </c>
      <c r="B34" s="116" t="s">
        <v>550</v>
      </c>
      <c r="C34" s="115">
        <v>7.055261488552772E-2</v>
      </c>
      <c r="D34" s="115">
        <f t="shared" si="0"/>
        <v>0.13268058588809456</v>
      </c>
      <c r="E34" s="115">
        <v>9.1580585888094562E-2</v>
      </c>
      <c r="F34" s="115">
        <v>0.28000000000000003</v>
      </c>
      <c r="G34" s="470">
        <v>18820.064797837909</v>
      </c>
    </row>
    <row r="35" spans="1:7">
      <c r="A35" s="484" t="s">
        <v>247</v>
      </c>
      <c r="B35" s="116" t="s">
        <v>543</v>
      </c>
      <c r="C35" s="115">
        <v>5.1753328787503099E-2</v>
      </c>
      <c r="D35" s="115">
        <f t="shared" si="0"/>
        <v>0.10827823541634524</v>
      </c>
      <c r="E35" s="115">
        <v>6.7178235416345239E-2</v>
      </c>
      <c r="F35" s="115">
        <v>0.2</v>
      </c>
      <c r="G35" s="470">
        <v>29504.829319316876</v>
      </c>
    </row>
    <row r="36" spans="1:7">
      <c r="A36" s="484" t="s">
        <v>458</v>
      </c>
      <c r="B36" s="116" t="s">
        <v>550</v>
      </c>
      <c r="C36" s="115">
        <v>7.055261488552772E-2</v>
      </c>
      <c r="D36" s="115">
        <f t="shared" si="0"/>
        <v>0.13268058588809456</v>
      </c>
      <c r="E36" s="115">
        <v>9.1580585888094562E-2</v>
      </c>
      <c r="F36" s="115">
        <v>0.33</v>
      </c>
      <c r="G36" s="470">
        <v>43644.068310851013</v>
      </c>
    </row>
    <row r="37" spans="1:7">
      <c r="A37" s="484" t="s">
        <v>248</v>
      </c>
      <c r="B37" s="116" t="s">
        <v>545</v>
      </c>
      <c r="C37" s="115">
        <v>0</v>
      </c>
      <c r="D37" s="115">
        <f t="shared" si="0"/>
        <v>4.1099999999999998E-2</v>
      </c>
      <c r="E37" s="115">
        <v>0</v>
      </c>
      <c r="F37" s="115">
        <v>0.26500000000000001</v>
      </c>
      <c r="G37" s="470">
        <v>2137939.2200749093</v>
      </c>
    </row>
    <row r="38" spans="1:7">
      <c r="A38" s="484" t="s">
        <v>459</v>
      </c>
      <c r="B38" s="116" t="s">
        <v>552</v>
      </c>
      <c r="C38" s="115">
        <v>6.1152971836515406E-2</v>
      </c>
      <c r="D38" s="115">
        <f t="shared" si="0"/>
        <v>0.1204794106522199</v>
      </c>
      <c r="E38" s="115">
        <v>7.9379410652219901E-2</v>
      </c>
      <c r="F38" s="115">
        <v>0</v>
      </c>
      <c r="G38" s="470">
        <v>1936</v>
      </c>
    </row>
    <row r="39" spans="1:7">
      <c r="A39" s="484" t="s">
        <v>249</v>
      </c>
      <c r="B39" s="116" t="s">
        <v>551</v>
      </c>
      <c r="C39" s="115">
        <v>5.6397858294073887E-3</v>
      </c>
      <c r="D39" s="115">
        <f t="shared" si="0"/>
        <v>4.84207051415248E-2</v>
      </c>
      <c r="E39" s="115">
        <v>7.3207051415248017E-3</v>
      </c>
      <c r="F39" s="115">
        <v>0</v>
      </c>
      <c r="G39" s="470">
        <v>6844.8273793095168</v>
      </c>
    </row>
    <row r="40" spans="1:7">
      <c r="A40" s="484" t="s">
        <v>875</v>
      </c>
      <c r="B40" s="116" t="s">
        <v>636</v>
      </c>
      <c r="C40" s="115">
        <v>9.5882201472833571E-3</v>
      </c>
      <c r="D40" s="115">
        <f t="shared" si="0"/>
        <v>9.9971606293643364E-2</v>
      </c>
      <c r="E40" s="478">
        <v>5.8871606293643367E-2</v>
      </c>
      <c r="F40" s="478">
        <v>0.24707349543413576</v>
      </c>
      <c r="G40" s="470" t="s">
        <v>88</v>
      </c>
    </row>
    <row r="41" spans="1:7">
      <c r="A41" s="484" t="s">
        <v>250</v>
      </c>
      <c r="B41" s="116" t="s">
        <v>554</v>
      </c>
      <c r="C41" s="115">
        <v>7.9620505826927847E-3</v>
      </c>
      <c r="D41" s="115">
        <f t="shared" si="0"/>
        <v>5.1435113140976187E-2</v>
      </c>
      <c r="E41" s="115">
        <v>1.0335113140976191E-2</v>
      </c>
      <c r="F41" s="115">
        <v>0.27</v>
      </c>
      <c r="G41" s="470">
        <v>301024.7249119234</v>
      </c>
    </row>
    <row r="42" spans="1:7">
      <c r="A42" s="484" t="s">
        <v>251</v>
      </c>
      <c r="B42" s="116" t="s">
        <v>556</v>
      </c>
      <c r="C42" s="115">
        <v>6.6350421522439872E-3</v>
      </c>
      <c r="D42" s="115">
        <f t="shared" si="0"/>
        <v>4.9712594284146823E-2</v>
      </c>
      <c r="E42" s="115">
        <v>8.6125942841468253E-3</v>
      </c>
      <c r="F42" s="115">
        <v>0.25</v>
      </c>
      <c r="G42" s="470">
        <v>17963171.479205329</v>
      </c>
    </row>
    <row r="43" spans="1:7">
      <c r="A43" s="484" t="s">
        <v>252</v>
      </c>
      <c r="B43" s="116" t="s">
        <v>542</v>
      </c>
      <c r="C43" s="115">
        <v>1.7914613811058765E-2</v>
      </c>
      <c r="D43" s="115">
        <f t="shared" si="0"/>
        <v>6.4354004567196421E-2</v>
      </c>
      <c r="E43" s="115">
        <v>2.325400456719643E-2</v>
      </c>
      <c r="F43" s="115">
        <v>0.35</v>
      </c>
      <c r="G43" s="470">
        <v>343622.11456040916</v>
      </c>
    </row>
    <row r="44" spans="1:7">
      <c r="A44" s="484" t="s">
        <v>475</v>
      </c>
      <c r="B44" s="116" t="s">
        <v>552</v>
      </c>
      <c r="C44" s="115">
        <v>6.1152971836515406E-2</v>
      </c>
      <c r="D44" s="115">
        <f t="shared" si="0"/>
        <v>0.1204794106522199</v>
      </c>
      <c r="E44" s="115">
        <v>7.9379410652219901E-2</v>
      </c>
      <c r="F44" s="115">
        <v>0.3</v>
      </c>
      <c r="G44" s="470">
        <v>64718.641221216043</v>
      </c>
    </row>
    <row r="45" spans="1:7">
      <c r="A45" s="484" t="s">
        <v>476</v>
      </c>
      <c r="B45" s="116" t="s">
        <v>557</v>
      </c>
      <c r="C45" s="115">
        <v>8.4707371476981555E-2</v>
      </c>
      <c r="D45" s="115">
        <f t="shared" si="0"/>
        <v>0.15105412036094112</v>
      </c>
      <c r="E45" s="115">
        <v>0.10995412036094113</v>
      </c>
      <c r="F45" s="115">
        <v>0.28000000000000003</v>
      </c>
      <c r="G45" s="470">
        <v>14616</v>
      </c>
    </row>
    <row r="46" spans="1:7">
      <c r="A46" s="484" t="s">
        <v>460</v>
      </c>
      <c r="B46" s="116" t="s">
        <v>540</v>
      </c>
      <c r="C46" s="115">
        <v>4.2353685738490778E-2</v>
      </c>
      <c r="D46" s="115">
        <f t="shared" si="0"/>
        <v>9.6077060180470561E-2</v>
      </c>
      <c r="E46" s="115">
        <v>5.4977060180470563E-2</v>
      </c>
      <c r="F46" s="115">
        <v>0.2974</v>
      </c>
      <c r="G46" s="470">
        <v>1414</v>
      </c>
    </row>
    <row r="47" spans="1:7">
      <c r="A47" s="484" t="s">
        <v>253</v>
      </c>
      <c r="B47" s="116" t="s">
        <v>540</v>
      </c>
      <c r="C47" s="115">
        <v>4.2353685738490778E-2</v>
      </c>
      <c r="D47" s="115">
        <f t="shared" si="0"/>
        <v>9.6077060180470561E-2</v>
      </c>
      <c r="E47" s="115">
        <v>5.4977060180470563E-2</v>
      </c>
      <c r="F47" s="115">
        <v>0.3</v>
      </c>
      <c r="G47" s="470">
        <v>69243.62602866962</v>
      </c>
    </row>
    <row r="48" spans="1:7">
      <c r="A48" s="484" t="s">
        <v>254</v>
      </c>
      <c r="B48" s="116" t="s">
        <v>542</v>
      </c>
      <c r="C48" s="115">
        <v>1.7914613811058765E-2</v>
      </c>
      <c r="D48" s="115">
        <f t="shared" si="0"/>
        <v>6.4354004567196421E-2</v>
      </c>
      <c r="E48" s="115">
        <v>2.325400456719643E-2</v>
      </c>
      <c r="F48" s="115">
        <v>0.18</v>
      </c>
      <c r="G48" s="470">
        <v>71600.049650194982</v>
      </c>
    </row>
    <row r="49" spans="1:7">
      <c r="A49" s="484" t="s">
        <v>346</v>
      </c>
      <c r="B49" s="116" t="s">
        <v>604</v>
      </c>
      <c r="C49" s="115">
        <v>0.11290630062401852</v>
      </c>
      <c r="D49" s="115">
        <f t="shared" si="0"/>
        <v>0.18765764606856516</v>
      </c>
      <c r="E49" s="115">
        <v>0.14655764606856517</v>
      </c>
      <c r="F49" s="115">
        <v>0.2853</v>
      </c>
      <c r="G49" s="470">
        <v>633442.30000000005</v>
      </c>
    </row>
    <row r="50" spans="1:7">
      <c r="A50" s="488" t="s">
        <v>876</v>
      </c>
      <c r="B50" s="116" t="s">
        <v>542</v>
      </c>
      <c r="C50" s="115">
        <v>2.0743237044383835E-2</v>
      </c>
      <c r="D50" s="115">
        <f t="shared" si="0"/>
        <v>6.894654256887045E-2</v>
      </c>
      <c r="E50" s="478">
        <v>2.7846542568870453E-2</v>
      </c>
      <c r="F50" s="478">
        <v>0.22</v>
      </c>
      <c r="G50" s="470" t="s">
        <v>88</v>
      </c>
    </row>
    <row r="51" spans="1:7">
      <c r="A51" s="484" t="s">
        <v>255</v>
      </c>
      <c r="B51" s="116" t="s">
        <v>542</v>
      </c>
      <c r="C51" s="115">
        <v>1.7914613811058765E-2</v>
      </c>
      <c r="D51" s="115">
        <f t="shared" si="0"/>
        <v>6.4354004567196421E-2</v>
      </c>
      <c r="E51" s="115">
        <v>2.325400456719643E-2</v>
      </c>
      <c r="F51" s="115">
        <v>0.125</v>
      </c>
      <c r="G51" s="470">
        <v>29250.524418085472</v>
      </c>
    </row>
    <row r="52" spans="1:7">
      <c r="A52" s="484" t="s">
        <v>256</v>
      </c>
      <c r="B52" s="116" t="s">
        <v>551</v>
      </c>
      <c r="C52" s="115">
        <v>5.6397858294073887E-3</v>
      </c>
      <c r="D52" s="115">
        <f t="shared" si="0"/>
        <v>4.84207051415248E-2</v>
      </c>
      <c r="E52" s="115">
        <v>7.3207051415248017E-3</v>
      </c>
      <c r="F52" s="115">
        <v>0.19</v>
      </c>
      <c r="G52" s="470">
        <v>290527.55062722095</v>
      </c>
    </row>
    <row r="53" spans="1:7">
      <c r="A53" s="484" t="s">
        <v>257</v>
      </c>
      <c r="B53" s="116" t="s">
        <v>545</v>
      </c>
      <c r="C53" s="115">
        <v>0</v>
      </c>
      <c r="D53" s="115">
        <f t="shared" si="0"/>
        <v>4.1099999999999998E-2</v>
      </c>
      <c r="E53" s="115">
        <v>0</v>
      </c>
      <c r="F53" s="115">
        <v>0.22</v>
      </c>
      <c r="G53" s="470">
        <v>400167.19694870739</v>
      </c>
    </row>
    <row r="54" spans="1:7">
      <c r="A54" s="484" t="s">
        <v>258</v>
      </c>
      <c r="B54" s="116" t="s">
        <v>549</v>
      </c>
      <c r="C54" s="115">
        <v>3.3838714976444327E-2</v>
      </c>
      <c r="D54" s="115">
        <f t="shared" si="0"/>
        <v>8.5024230849148799E-2</v>
      </c>
      <c r="E54" s="115">
        <v>4.3924230849148801E-2</v>
      </c>
      <c r="F54" s="115">
        <v>0.27</v>
      </c>
      <c r="G54" s="470">
        <v>113537.3681761303</v>
      </c>
    </row>
    <row r="55" spans="1:7">
      <c r="A55" s="484" t="s">
        <v>259</v>
      </c>
      <c r="B55" s="116" t="s">
        <v>605</v>
      </c>
      <c r="C55" s="115">
        <v>9.410701452599389E-2</v>
      </c>
      <c r="D55" s="115">
        <f t="shared" si="0"/>
        <v>0.16325529559681581</v>
      </c>
      <c r="E55" s="115">
        <v>0.12215529559681582</v>
      </c>
      <c r="F55" s="115">
        <v>0.25</v>
      </c>
      <c r="G55" s="470">
        <v>115049.476</v>
      </c>
    </row>
    <row r="56" spans="1:7">
      <c r="A56" s="484" t="s">
        <v>260</v>
      </c>
      <c r="B56" s="116" t="s">
        <v>550</v>
      </c>
      <c r="C56" s="115">
        <v>7.055261488552772E-2</v>
      </c>
      <c r="D56" s="115">
        <f t="shared" si="0"/>
        <v>0.13268058588809456</v>
      </c>
      <c r="E56" s="115">
        <v>9.1580585888094562E-2</v>
      </c>
      <c r="F56" s="115">
        <v>0.22500000000000001</v>
      </c>
      <c r="G56" s="470">
        <v>476747.72036474163</v>
      </c>
    </row>
    <row r="57" spans="1:7">
      <c r="A57" s="484" t="s">
        <v>347</v>
      </c>
      <c r="B57" s="116" t="s">
        <v>550</v>
      </c>
      <c r="C57" s="115">
        <v>7.055261488552772E-2</v>
      </c>
      <c r="D57" s="115">
        <f t="shared" si="0"/>
        <v>0.13268058588809456</v>
      </c>
      <c r="E57" s="115">
        <v>9.1580585888094562E-2</v>
      </c>
      <c r="F57" s="115">
        <v>0.3</v>
      </c>
      <c r="G57" s="470">
        <v>32488.720000000001</v>
      </c>
    </row>
    <row r="58" spans="1:7">
      <c r="A58" s="484" t="s">
        <v>261</v>
      </c>
      <c r="B58" s="116" t="s">
        <v>556</v>
      </c>
      <c r="C58" s="115">
        <v>6.6350421522439872E-3</v>
      </c>
      <c r="D58" s="115">
        <f t="shared" si="0"/>
        <v>4.9712594284146823E-2</v>
      </c>
      <c r="E58" s="115">
        <v>8.6125942841468253E-3</v>
      </c>
      <c r="F58" s="115">
        <v>0.2</v>
      </c>
      <c r="G58" s="470">
        <v>38100.8129585196</v>
      </c>
    </row>
    <row r="59" spans="1:7">
      <c r="A59" s="484" t="s">
        <v>477</v>
      </c>
      <c r="B59" s="116" t="s">
        <v>557</v>
      </c>
      <c r="C59" s="115">
        <v>8.4707371476981555E-2</v>
      </c>
      <c r="D59" s="115">
        <f t="shared" si="0"/>
        <v>0.15105412036094112</v>
      </c>
      <c r="E59" s="115">
        <v>0.10995412036094113</v>
      </c>
      <c r="F59" s="115">
        <v>0.3</v>
      </c>
      <c r="G59" s="470">
        <v>126783.47159767149</v>
      </c>
    </row>
    <row r="60" spans="1:7">
      <c r="A60" s="484" t="s">
        <v>877</v>
      </c>
      <c r="B60" s="489" t="s">
        <v>636</v>
      </c>
      <c r="C60" s="490">
        <v>4.2900000000000001E-2</v>
      </c>
      <c r="D60" s="115">
        <f t="shared" si="0"/>
        <v>0.1447</v>
      </c>
      <c r="E60" s="479">
        <v>0.1036</v>
      </c>
      <c r="F60" s="479">
        <v>0.316</v>
      </c>
      <c r="G60" s="470" t="s">
        <v>88</v>
      </c>
    </row>
    <row r="61" spans="1:7">
      <c r="A61" s="484" t="s">
        <v>262</v>
      </c>
      <c r="B61" s="116" t="s">
        <v>540</v>
      </c>
      <c r="C61" s="115">
        <v>4.2353685738490778E-2</v>
      </c>
      <c r="D61" s="115">
        <f t="shared" si="0"/>
        <v>9.6077060180470561E-2</v>
      </c>
      <c r="E61" s="115">
        <v>5.4977060180470563E-2</v>
      </c>
      <c r="F61" s="115">
        <v>0.2</v>
      </c>
      <c r="G61" s="470">
        <v>4979.9795460122996</v>
      </c>
    </row>
    <row r="62" spans="1:7">
      <c r="A62" s="484" t="s">
        <v>263</v>
      </c>
      <c r="B62" s="116" t="s">
        <v>546</v>
      </c>
      <c r="C62" s="115">
        <v>3.7598572196049255E-3</v>
      </c>
      <c r="D62" s="115">
        <f t="shared" si="0"/>
        <v>4.5980470094349864E-2</v>
      </c>
      <c r="E62" s="115">
        <v>4.8804700943498669E-3</v>
      </c>
      <c r="F62" s="115">
        <v>0.2</v>
      </c>
      <c r="G62" s="470">
        <v>282896.25139105169</v>
      </c>
    </row>
    <row r="63" spans="1:7">
      <c r="A63" s="484" t="s">
        <v>264</v>
      </c>
      <c r="B63" s="116" t="s">
        <v>539</v>
      </c>
      <c r="C63" s="115">
        <v>4.6445295065707902E-3</v>
      </c>
      <c r="D63" s="115">
        <f t="shared" si="0"/>
        <v>4.7128815998902777E-2</v>
      </c>
      <c r="E63" s="115">
        <v>6.0288159989027772E-3</v>
      </c>
      <c r="F63" s="115">
        <v>0.25</v>
      </c>
      <c r="G63" s="470">
        <v>2779092.236505847</v>
      </c>
    </row>
    <row r="64" spans="1:7">
      <c r="A64" s="484" t="s">
        <v>878</v>
      </c>
      <c r="B64" s="489" t="s">
        <v>636</v>
      </c>
      <c r="C64" s="490">
        <v>4.2900000000000001E-2</v>
      </c>
      <c r="D64" s="115">
        <f t="shared" si="0"/>
        <v>0.1447</v>
      </c>
      <c r="E64" s="479">
        <v>0.1036</v>
      </c>
      <c r="F64" s="479">
        <v>0.316</v>
      </c>
      <c r="G64" s="470" t="s">
        <v>88</v>
      </c>
    </row>
    <row r="65" spans="1:7">
      <c r="A65" s="484" t="s">
        <v>461</v>
      </c>
      <c r="B65" s="116" t="s">
        <v>557</v>
      </c>
      <c r="C65" s="115">
        <v>8.4707371476981555E-2</v>
      </c>
      <c r="D65" s="115">
        <f t="shared" si="0"/>
        <v>0.15105412036094112</v>
      </c>
      <c r="E65" s="115">
        <v>0.10995412036094113</v>
      </c>
      <c r="F65" s="115">
        <v>0.3</v>
      </c>
      <c r="G65" s="470">
        <v>21071.73922489183</v>
      </c>
    </row>
    <row r="66" spans="1:7">
      <c r="A66" s="485" t="s">
        <v>559</v>
      </c>
      <c r="B66" s="116" t="s">
        <v>636</v>
      </c>
      <c r="C66" s="115">
        <v>4.2353685738490778E-2</v>
      </c>
      <c r="D66" s="115">
        <f t="shared" si="0"/>
        <v>9.6077060180470561E-2</v>
      </c>
      <c r="E66" s="115">
        <v>5.4977060180470563E-2</v>
      </c>
      <c r="F66" s="115">
        <v>0.31</v>
      </c>
      <c r="G66" s="470">
        <v>2038</v>
      </c>
    </row>
    <row r="67" spans="1:7">
      <c r="A67" s="484" t="s">
        <v>348</v>
      </c>
      <c r="B67" s="116" t="s">
        <v>547</v>
      </c>
      <c r="C67" s="115">
        <v>2.8309513182907677E-2</v>
      </c>
      <c r="D67" s="115">
        <f t="shared" si="0"/>
        <v>7.7847068945693126E-2</v>
      </c>
      <c r="E67" s="115">
        <v>3.6747068945693122E-2</v>
      </c>
      <c r="F67" s="115">
        <v>0.15</v>
      </c>
      <c r="G67" s="470">
        <v>24780.791063713052</v>
      </c>
    </row>
    <row r="68" spans="1:7">
      <c r="A68" s="484" t="s">
        <v>265</v>
      </c>
      <c r="B68" s="116" t="s">
        <v>545</v>
      </c>
      <c r="C68" s="115">
        <v>0</v>
      </c>
      <c r="D68" s="115">
        <f t="shared" si="0"/>
        <v>4.1099999999999998E-2</v>
      </c>
      <c r="E68" s="115">
        <v>0</v>
      </c>
      <c r="F68" s="115">
        <v>0.3</v>
      </c>
      <c r="G68" s="470">
        <v>4082469.4907976813</v>
      </c>
    </row>
    <row r="69" spans="1:7">
      <c r="A69" s="484" t="s">
        <v>462</v>
      </c>
      <c r="B69" s="116" t="s">
        <v>605</v>
      </c>
      <c r="C69" s="115">
        <v>9.410701452599389E-2</v>
      </c>
      <c r="D69" s="115">
        <f t="shared" si="0"/>
        <v>0.16325529559681581</v>
      </c>
      <c r="E69" s="115">
        <v>0.12215529559681582</v>
      </c>
      <c r="F69" s="115">
        <v>0.25</v>
      </c>
      <c r="G69" s="470">
        <v>73766.052451525553</v>
      </c>
    </row>
    <row r="70" spans="1:7">
      <c r="A70" s="484" t="s">
        <v>879</v>
      </c>
      <c r="B70" s="116" t="s">
        <v>636</v>
      </c>
      <c r="C70" s="115">
        <v>9.5882201472833571E-3</v>
      </c>
      <c r="D70" s="115">
        <f t="shared" ref="D70:D133" si="1">$B$1+E70</f>
        <v>9.9971606293643364E-2</v>
      </c>
      <c r="E70" s="478">
        <v>5.8871606293643367E-2</v>
      </c>
      <c r="F70" s="478">
        <v>0.24707349543413576</v>
      </c>
      <c r="G70" s="470" t="s">
        <v>88</v>
      </c>
    </row>
    <row r="71" spans="1:7">
      <c r="A71" s="484" t="s">
        <v>266</v>
      </c>
      <c r="B71" s="116" t="s">
        <v>560</v>
      </c>
      <c r="C71" s="115">
        <v>2.3554399640466156E-2</v>
      </c>
      <c r="D71" s="115">
        <f t="shared" si="1"/>
        <v>7.1674709708721224E-2</v>
      </c>
      <c r="E71" s="115">
        <v>3.0574709708721233E-2</v>
      </c>
      <c r="F71" s="115">
        <v>0.22</v>
      </c>
      <c r="G71" s="470">
        <v>217581.32451205922</v>
      </c>
    </row>
    <row r="72" spans="1:7">
      <c r="A72" s="484" t="s">
        <v>880</v>
      </c>
      <c r="B72" s="116" t="s">
        <v>636</v>
      </c>
      <c r="C72" s="115">
        <v>0</v>
      </c>
      <c r="D72" s="115">
        <f t="shared" si="1"/>
        <v>4.1099999999999998E-2</v>
      </c>
      <c r="E72" s="478">
        <v>0</v>
      </c>
      <c r="F72" s="478">
        <v>0</v>
      </c>
      <c r="G72" s="470" t="s">
        <v>88</v>
      </c>
    </row>
    <row r="73" spans="1:7">
      <c r="A73" s="484" t="s">
        <v>267</v>
      </c>
      <c r="B73" s="116" t="s">
        <v>560</v>
      </c>
      <c r="C73" s="115">
        <v>2.3554399640466156E-2</v>
      </c>
      <c r="D73" s="115">
        <f t="shared" si="1"/>
        <v>7.1674709708721224E-2</v>
      </c>
      <c r="E73" s="115">
        <v>3.0574709708721233E-2</v>
      </c>
      <c r="F73" s="115">
        <v>0.25</v>
      </c>
      <c r="G73" s="470">
        <v>95003.330315875442</v>
      </c>
    </row>
    <row r="74" spans="1:7">
      <c r="A74" s="484" t="s">
        <v>624</v>
      </c>
      <c r="B74" s="116" t="s">
        <v>556</v>
      </c>
      <c r="C74" s="115">
        <v>6.6350421522439872E-3</v>
      </c>
      <c r="D74" s="115">
        <f t="shared" si="1"/>
        <v>4.9712594284146823E-2</v>
      </c>
      <c r="E74" s="115">
        <v>8.6125942841468253E-3</v>
      </c>
      <c r="F74" s="115">
        <v>0</v>
      </c>
      <c r="G74" s="470">
        <v>3446</v>
      </c>
    </row>
    <row r="75" spans="1:7">
      <c r="A75" s="485" t="s">
        <v>561</v>
      </c>
      <c r="B75" s="116" t="s">
        <v>636</v>
      </c>
      <c r="C75" s="115">
        <v>8.4707371476981541E-2</v>
      </c>
      <c r="D75" s="115">
        <f t="shared" si="1"/>
        <v>0.15105412036094112</v>
      </c>
      <c r="E75" s="115">
        <v>0.10995412036094111</v>
      </c>
      <c r="F75" s="115">
        <v>0.29149999999999998</v>
      </c>
      <c r="G75" s="470">
        <v>20999.229260495544</v>
      </c>
    </row>
    <row r="76" spans="1:7">
      <c r="A76" s="485" t="s">
        <v>562</v>
      </c>
      <c r="B76" s="116" t="s">
        <v>636</v>
      </c>
      <c r="C76" s="115">
        <v>6.1152971836515406E-2</v>
      </c>
      <c r="D76" s="115">
        <f t="shared" si="1"/>
        <v>0.1204794106522199</v>
      </c>
      <c r="E76" s="115">
        <v>7.9379410652219901E-2</v>
      </c>
      <c r="F76" s="115">
        <v>0.29149999999999998</v>
      </c>
      <c r="G76" s="470">
        <v>1633.5590920886059</v>
      </c>
    </row>
    <row r="77" spans="1:7">
      <c r="A77" s="485" t="s">
        <v>563</v>
      </c>
      <c r="B77" s="116" t="s">
        <v>636</v>
      </c>
      <c r="C77" s="115">
        <v>1.5039428878419699E-2</v>
      </c>
      <c r="D77" s="115">
        <f t="shared" si="1"/>
        <v>6.0621880377399462E-2</v>
      </c>
      <c r="E77" s="115">
        <v>1.9521880377399464E-2</v>
      </c>
      <c r="F77" s="115">
        <v>0.18640000000000001</v>
      </c>
      <c r="G77" s="470">
        <v>14718.388489208633</v>
      </c>
    </row>
    <row r="78" spans="1:7">
      <c r="A78" s="485" t="s">
        <v>564</v>
      </c>
      <c r="B78" s="116" t="s">
        <v>636</v>
      </c>
      <c r="C78" s="115">
        <v>0.1129063006240185</v>
      </c>
      <c r="D78" s="115">
        <f t="shared" si="1"/>
        <v>0.18765764606856514</v>
      </c>
      <c r="E78" s="115">
        <v>0.14655764606856514</v>
      </c>
      <c r="F78" s="115">
        <v>0.18640000000000001</v>
      </c>
      <c r="G78" s="470">
        <v>20253.551884605487</v>
      </c>
    </row>
    <row r="79" spans="1:7">
      <c r="A79" s="484" t="s">
        <v>268</v>
      </c>
      <c r="B79" s="116" t="s">
        <v>540</v>
      </c>
      <c r="C79" s="115">
        <v>4.2353685738490778E-2</v>
      </c>
      <c r="D79" s="115">
        <f t="shared" si="1"/>
        <v>9.6077060180470561E-2</v>
      </c>
      <c r="E79" s="115">
        <v>5.4977060180470563E-2</v>
      </c>
      <c r="F79" s="115">
        <v>0.25</v>
      </c>
      <c r="G79" s="470">
        <v>31717.6997643621</v>
      </c>
    </row>
    <row r="80" spans="1:7">
      <c r="A80" s="484" t="s">
        <v>269</v>
      </c>
      <c r="B80" s="116" t="s">
        <v>551</v>
      </c>
      <c r="C80" s="115">
        <v>5.6397858294073887E-3</v>
      </c>
      <c r="D80" s="115">
        <f t="shared" si="1"/>
        <v>4.84207051415248E-2</v>
      </c>
      <c r="E80" s="115">
        <v>7.3207051415248017E-3</v>
      </c>
      <c r="F80" s="115">
        <v>0.16500000000000001</v>
      </c>
      <c r="G80" s="470">
        <v>359838.58349006315</v>
      </c>
    </row>
    <row r="81" spans="1:7">
      <c r="A81" s="484" t="s">
        <v>270</v>
      </c>
      <c r="B81" s="116" t="s">
        <v>542</v>
      </c>
      <c r="C81" s="115">
        <v>1.7914613811058765E-2</v>
      </c>
      <c r="D81" s="115">
        <f t="shared" si="1"/>
        <v>6.4354004567196421E-2</v>
      </c>
      <c r="E81" s="115">
        <v>2.325400456719643E-2</v>
      </c>
      <c r="F81" s="115">
        <v>0.09</v>
      </c>
      <c r="G81" s="470">
        <v>177337.43667736501</v>
      </c>
    </row>
    <row r="82" spans="1:7">
      <c r="A82" s="484" t="s">
        <v>271</v>
      </c>
      <c r="B82" s="116" t="s">
        <v>554</v>
      </c>
      <c r="C82" s="115">
        <v>7.9620505826927847E-3</v>
      </c>
      <c r="D82" s="115">
        <f t="shared" si="1"/>
        <v>5.1435113140976187E-2</v>
      </c>
      <c r="E82" s="115">
        <v>1.0335113140976191E-2</v>
      </c>
      <c r="F82" s="115">
        <v>0.2</v>
      </c>
      <c r="G82" s="470">
        <v>28064.52985130985</v>
      </c>
    </row>
    <row r="83" spans="1:7">
      <c r="A83" s="484" t="s">
        <v>272</v>
      </c>
      <c r="B83" s="116" t="s">
        <v>548</v>
      </c>
      <c r="C83" s="115">
        <v>2.0679214707827093E-2</v>
      </c>
      <c r="D83" s="115">
        <f t="shared" si="1"/>
        <v>6.7942585518924264E-2</v>
      </c>
      <c r="E83" s="115">
        <v>2.6842585518924274E-2</v>
      </c>
      <c r="F83" s="115">
        <v>0.3</v>
      </c>
      <c r="G83" s="470">
        <v>3416645.8260528739</v>
      </c>
    </row>
    <row r="84" spans="1:7">
      <c r="A84" s="484" t="s">
        <v>273</v>
      </c>
      <c r="B84" s="116" t="s">
        <v>542</v>
      </c>
      <c r="C84" s="115">
        <v>1.7914613811058765E-2</v>
      </c>
      <c r="D84" s="115">
        <f t="shared" si="1"/>
        <v>6.4354004567196421E-2</v>
      </c>
      <c r="E84" s="115">
        <v>2.325400456719643E-2</v>
      </c>
      <c r="F84" s="115">
        <v>0.22</v>
      </c>
      <c r="G84" s="470">
        <v>1319100.2204077167</v>
      </c>
    </row>
    <row r="85" spans="1:7">
      <c r="A85" s="485" t="s">
        <v>565</v>
      </c>
      <c r="B85" s="116" t="s">
        <v>636</v>
      </c>
      <c r="C85" s="115">
        <v>6.1152971836515406E-2</v>
      </c>
      <c r="D85" s="115">
        <f t="shared" si="1"/>
        <v>0.1204794106522199</v>
      </c>
      <c r="E85" s="115">
        <v>7.9379410652219901E-2</v>
      </c>
      <c r="F85" s="115">
        <v>0.20230000000000001</v>
      </c>
      <c r="G85" s="470">
        <v>413493.20734926529</v>
      </c>
    </row>
    <row r="86" spans="1:7">
      <c r="A86" s="484" t="s">
        <v>528</v>
      </c>
      <c r="B86" s="116" t="s">
        <v>550</v>
      </c>
      <c r="C86" s="115">
        <v>7.055261488552772E-2</v>
      </c>
      <c r="D86" s="115">
        <f t="shared" si="1"/>
        <v>0.13268058588809456</v>
      </c>
      <c r="E86" s="115">
        <v>9.1580585888094562E-2</v>
      </c>
      <c r="F86" s="115">
        <v>0.15</v>
      </c>
      <c r="G86" s="470">
        <v>264182.17379310343</v>
      </c>
    </row>
    <row r="87" spans="1:7">
      <c r="A87" s="484" t="s">
        <v>274</v>
      </c>
      <c r="B87" s="116" t="s">
        <v>551</v>
      </c>
      <c r="C87" s="115">
        <v>5.6397858294073887E-3</v>
      </c>
      <c r="D87" s="115">
        <f t="shared" si="1"/>
        <v>4.84207051415248E-2</v>
      </c>
      <c r="E87" s="115">
        <v>7.3207051415248017E-3</v>
      </c>
      <c r="F87" s="115">
        <v>0.125</v>
      </c>
      <c r="G87" s="470">
        <v>533140.0118382764</v>
      </c>
    </row>
    <row r="88" spans="1:7">
      <c r="A88" s="484" t="s">
        <v>275</v>
      </c>
      <c r="B88" s="116" t="s">
        <v>551</v>
      </c>
      <c r="C88" s="115">
        <v>5.6397858294073887E-3</v>
      </c>
      <c r="D88" s="115">
        <f t="shared" si="1"/>
        <v>4.84207051415248E-2</v>
      </c>
      <c r="E88" s="115">
        <v>7.3207051415248017E-3</v>
      </c>
      <c r="F88" s="115">
        <v>0</v>
      </c>
      <c r="G88" s="470">
        <v>6684.2292685054481</v>
      </c>
    </row>
    <row r="89" spans="1:7">
      <c r="A89" s="484" t="s">
        <v>276</v>
      </c>
      <c r="B89" s="116" t="s">
        <v>554</v>
      </c>
      <c r="C89" s="115">
        <v>7.9620505826927847E-3</v>
      </c>
      <c r="D89" s="115">
        <f t="shared" si="1"/>
        <v>5.1435113140976187E-2</v>
      </c>
      <c r="E89" s="115">
        <v>1.0335113140976191E-2</v>
      </c>
      <c r="F89" s="115">
        <v>0.23</v>
      </c>
      <c r="G89" s="470">
        <v>525002.44765277347</v>
      </c>
    </row>
    <row r="90" spans="1:7">
      <c r="A90" s="484" t="s">
        <v>277</v>
      </c>
      <c r="B90" s="116" t="s">
        <v>548</v>
      </c>
      <c r="C90" s="115">
        <v>2.0679214707827093E-2</v>
      </c>
      <c r="D90" s="115">
        <f t="shared" si="1"/>
        <v>6.7942585518924264E-2</v>
      </c>
      <c r="E90" s="115">
        <v>2.6842585518924274E-2</v>
      </c>
      <c r="F90" s="115">
        <v>0.24</v>
      </c>
      <c r="G90" s="470">
        <v>2049737.1654079845</v>
      </c>
    </row>
    <row r="91" spans="1:7">
      <c r="A91" s="484" t="s">
        <v>881</v>
      </c>
      <c r="B91" s="116" t="s">
        <v>547</v>
      </c>
      <c r="C91" s="121">
        <v>2.8309513182907677E-2</v>
      </c>
      <c r="D91" s="115">
        <f t="shared" si="1"/>
        <v>7.7847068945693126E-2</v>
      </c>
      <c r="E91" s="480">
        <v>3.6747068945693122E-2</v>
      </c>
      <c r="F91" s="480">
        <v>0.25</v>
      </c>
      <c r="G91" s="470" t="s">
        <v>88</v>
      </c>
    </row>
    <row r="92" spans="1:7">
      <c r="A92" s="484" t="s">
        <v>278</v>
      </c>
      <c r="B92" s="116" t="s">
        <v>540</v>
      </c>
      <c r="C92" s="115">
        <v>4.2353685738490778E-2</v>
      </c>
      <c r="D92" s="115">
        <f t="shared" si="1"/>
        <v>9.6077060180470561E-2</v>
      </c>
      <c r="E92" s="115">
        <v>5.4977060180470563E-2</v>
      </c>
      <c r="F92" s="115">
        <v>0.25</v>
      </c>
      <c r="G92" s="470">
        <v>17097.760723920146</v>
      </c>
    </row>
    <row r="93" spans="1:7">
      <c r="A93" s="484" t="s">
        <v>279</v>
      </c>
      <c r="B93" s="116" t="s">
        <v>556</v>
      </c>
      <c r="C93" s="115">
        <v>6.6350421522439872E-3</v>
      </c>
      <c r="D93" s="115">
        <f t="shared" si="1"/>
        <v>4.9712594284146823E-2</v>
      </c>
      <c r="E93" s="115">
        <v>8.6125942841468253E-3</v>
      </c>
      <c r="F93" s="115">
        <v>0.30620000000000003</v>
      </c>
      <c r="G93" s="470">
        <v>4232173.9160866737</v>
      </c>
    </row>
    <row r="94" spans="1:7">
      <c r="A94" s="484" t="s">
        <v>625</v>
      </c>
      <c r="B94" s="116" t="s">
        <v>551</v>
      </c>
      <c r="C94" s="115">
        <v>5.6397858294073887E-3</v>
      </c>
      <c r="D94" s="115">
        <f t="shared" si="1"/>
        <v>4.84207051415248E-2</v>
      </c>
      <c r="E94" s="115">
        <v>7.3207051415248017E-3</v>
      </c>
      <c r="F94" s="115">
        <v>0</v>
      </c>
      <c r="G94" s="470">
        <v>4890</v>
      </c>
    </row>
    <row r="95" spans="1:7">
      <c r="A95" s="484" t="s">
        <v>280</v>
      </c>
      <c r="B95" s="116" t="s">
        <v>549</v>
      </c>
      <c r="C95" s="115">
        <v>3.3838714976444327E-2</v>
      </c>
      <c r="D95" s="115">
        <f t="shared" si="1"/>
        <v>8.5024230849148799E-2</v>
      </c>
      <c r="E95" s="115">
        <v>4.3924230849148801E-2</v>
      </c>
      <c r="F95" s="115">
        <v>0.2</v>
      </c>
      <c r="G95" s="470">
        <v>48653.38178063972</v>
      </c>
    </row>
    <row r="96" spans="1:7">
      <c r="A96" s="484" t="s">
        <v>281</v>
      </c>
      <c r="B96" s="116" t="s">
        <v>542</v>
      </c>
      <c r="C96" s="115">
        <v>1.7914613811058765E-2</v>
      </c>
      <c r="D96" s="115">
        <f t="shared" si="1"/>
        <v>6.4354004567196421E-2</v>
      </c>
      <c r="E96" s="115">
        <v>2.325400456719643E-2</v>
      </c>
      <c r="F96" s="115">
        <v>0.2</v>
      </c>
      <c r="G96" s="470">
        <v>225496.3289254941</v>
      </c>
    </row>
    <row r="97" spans="1:7">
      <c r="A97" s="484" t="s">
        <v>405</v>
      </c>
      <c r="B97" s="116" t="s">
        <v>552</v>
      </c>
      <c r="C97" s="115">
        <v>6.1152971836515406E-2</v>
      </c>
      <c r="D97" s="115">
        <f t="shared" si="1"/>
        <v>0.1204794106522199</v>
      </c>
      <c r="E97" s="115">
        <v>7.9379410652219901E-2</v>
      </c>
      <c r="F97" s="115">
        <v>0.3</v>
      </c>
      <c r="G97" s="470">
        <v>113420.00817879318</v>
      </c>
    </row>
    <row r="98" spans="1:7">
      <c r="A98" s="485" t="s">
        <v>566</v>
      </c>
      <c r="B98" s="116" t="s">
        <v>636</v>
      </c>
      <c r="C98" s="115">
        <v>0.17499999999999996</v>
      </c>
      <c r="D98" s="115">
        <f t="shared" si="1"/>
        <v>0.26825816495844779</v>
      </c>
      <c r="E98" s="115">
        <v>0.22715816495844782</v>
      </c>
      <c r="F98" s="115">
        <v>0.23100000000000001</v>
      </c>
      <c r="G98" s="470">
        <v>28500</v>
      </c>
    </row>
    <row r="99" spans="1:7">
      <c r="A99" s="484" t="s">
        <v>282</v>
      </c>
      <c r="B99" s="116" t="s">
        <v>556</v>
      </c>
      <c r="C99" s="115">
        <v>6.6350421522439872E-3</v>
      </c>
      <c r="D99" s="115">
        <f t="shared" si="1"/>
        <v>4.9712594284146823E-2</v>
      </c>
      <c r="E99" s="115">
        <v>8.6125942841468253E-3</v>
      </c>
      <c r="F99" s="115">
        <v>0.15</v>
      </c>
      <c r="G99" s="470">
        <v>175363.26530612243</v>
      </c>
    </row>
    <row r="100" spans="1:7">
      <c r="A100" s="484" t="s">
        <v>463</v>
      </c>
      <c r="B100" s="116" t="s">
        <v>552</v>
      </c>
      <c r="C100" s="115">
        <v>6.1152971836515406E-2</v>
      </c>
      <c r="D100" s="115">
        <f t="shared" si="1"/>
        <v>0.1204794106522199</v>
      </c>
      <c r="E100" s="115">
        <v>7.9379410652219901E-2</v>
      </c>
      <c r="F100" s="115">
        <v>0.1</v>
      </c>
      <c r="G100" s="470">
        <v>11543.966558842048</v>
      </c>
    </row>
    <row r="101" spans="1:7">
      <c r="A101" s="484" t="s">
        <v>594</v>
      </c>
      <c r="B101" s="116" t="s">
        <v>605</v>
      </c>
      <c r="C101" s="115">
        <v>9.410701452599389E-2</v>
      </c>
      <c r="D101" s="115">
        <f t="shared" si="1"/>
        <v>0.16325529559681581</v>
      </c>
      <c r="E101" s="115">
        <v>0.12215529559681582</v>
      </c>
      <c r="F101" s="115">
        <v>0.26860000000000001</v>
      </c>
      <c r="G101" s="470">
        <v>15468.785203753174</v>
      </c>
    </row>
    <row r="102" spans="1:7">
      <c r="A102" s="484" t="s">
        <v>283</v>
      </c>
      <c r="B102" s="116" t="s">
        <v>558</v>
      </c>
      <c r="C102" s="115">
        <v>1.1279571658814777E-2</v>
      </c>
      <c r="D102" s="115">
        <f t="shared" si="1"/>
        <v>5.5741410283049603E-2</v>
      </c>
      <c r="E102" s="115">
        <v>1.4641410283049603E-2</v>
      </c>
      <c r="F102" s="115">
        <v>0.2</v>
      </c>
      <c r="G102" s="470">
        <v>40932.030049564361</v>
      </c>
    </row>
    <row r="103" spans="1:7">
      <c r="A103" s="484" t="s">
        <v>349</v>
      </c>
      <c r="B103" s="116" t="s">
        <v>586</v>
      </c>
      <c r="C103" s="115">
        <v>0.17499999999999999</v>
      </c>
      <c r="D103" s="115">
        <f t="shared" si="1"/>
        <v>0.26825816495844784</v>
      </c>
      <c r="E103" s="115">
        <v>0.22715816495844784</v>
      </c>
      <c r="F103" s="115">
        <v>0.17</v>
      </c>
      <c r="G103" s="470">
        <v>23131.941556784346</v>
      </c>
    </row>
    <row r="104" spans="1:7">
      <c r="A104" s="485" t="s">
        <v>567</v>
      </c>
      <c r="B104" s="116" t="s">
        <v>636</v>
      </c>
      <c r="C104" s="115">
        <v>7.0552614885527706E-2</v>
      </c>
      <c r="D104" s="115">
        <f t="shared" si="1"/>
        <v>0.13268058588809456</v>
      </c>
      <c r="E104" s="115">
        <v>9.1580585888094548E-2</v>
      </c>
      <c r="F104" s="115">
        <v>0.29149999999999998</v>
      </c>
      <c r="G104" s="470">
        <v>4001.0469699999999</v>
      </c>
    </row>
    <row r="105" spans="1:7">
      <c r="A105" s="485" t="s">
        <v>568</v>
      </c>
      <c r="B105" s="116" t="s">
        <v>636</v>
      </c>
      <c r="C105" s="115">
        <v>1.5039428878419699E-2</v>
      </c>
      <c r="D105" s="115">
        <f t="shared" si="1"/>
        <v>6.0621880377399462E-2</v>
      </c>
      <c r="E105" s="115">
        <v>1.9521880377399464E-2</v>
      </c>
      <c r="F105" s="115">
        <v>0.2</v>
      </c>
      <c r="G105" s="470">
        <v>45752.336035984561</v>
      </c>
    </row>
    <row r="106" spans="1:7">
      <c r="A106" s="484" t="s">
        <v>284</v>
      </c>
      <c r="B106" s="116" t="s">
        <v>545</v>
      </c>
      <c r="C106" s="115">
        <v>0</v>
      </c>
      <c r="D106" s="115">
        <f t="shared" si="1"/>
        <v>4.1099999999999998E-2</v>
      </c>
      <c r="E106" s="115">
        <v>0</v>
      </c>
      <c r="F106" s="115">
        <v>0.125</v>
      </c>
      <c r="G106" s="470">
        <v>7710.380085922573</v>
      </c>
    </row>
    <row r="107" spans="1:7">
      <c r="A107" s="484" t="s">
        <v>285</v>
      </c>
      <c r="B107" s="116" t="s">
        <v>554</v>
      </c>
      <c r="C107" s="115">
        <v>7.9620505826927847E-3</v>
      </c>
      <c r="D107" s="115">
        <f t="shared" si="1"/>
        <v>5.1435113140976187E-2</v>
      </c>
      <c r="E107" s="115">
        <v>1.0335113140976191E-2</v>
      </c>
      <c r="F107" s="115">
        <v>0.15</v>
      </c>
      <c r="G107" s="470">
        <v>70974.490450494442</v>
      </c>
    </row>
    <row r="108" spans="1:7">
      <c r="A108" s="484" t="s">
        <v>286</v>
      </c>
      <c r="B108" s="116" t="s">
        <v>545</v>
      </c>
      <c r="C108" s="115">
        <v>0</v>
      </c>
      <c r="D108" s="115">
        <f t="shared" si="1"/>
        <v>4.1099999999999998E-2</v>
      </c>
      <c r="E108" s="115">
        <v>0</v>
      </c>
      <c r="F108" s="115">
        <v>0.24940000000000001</v>
      </c>
      <c r="G108" s="470">
        <v>81641.807865759081</v>
      </c>
    </row>
    <row r="109" spans="1:7">
      <c r="A109" s="484" t="s">
        <v>882</v>
      </c>
      <c r="B109" s="116" t="s">
        <v>551</v>
      </c>
      <c r="C109" s="121">
        <v>5.6397858294073887E-3</v>
      </c>
      <c r="D109" s="115">
        <f t="shared" si="1"/>
        <v>4.84207051415248E-2</v>
      </c>
      <c r="E109" s="480">
        <v>7.3207051415248017E-3</v>
      </c>
      <c r="F109" s="480">
        <v>0.26860000000000001</v>
      </c>
      <c r="G109" s="470" t="s">
        <v>88</v>
      </c>
    </row>
    <row r="110" spans="1:7">
      <c r="A110" s="484" t="s">
        <v>287</v>
      </c>
      <c r="B110" s="116" t="s">
        <v>549</v>
      </c>
      <c r="C110" s="115">
        <v>3.3838714976444327E-2</v>
      </c>
      <c r="D110" s="115">
        <f t="shared" si="1"/>
        <v>8.5024230849148799E-2</v>
      </c>
      <c r="E110" s="115">
        <v>4.3924230849148801E-2</v>
      </c>
      <c r="F110" s="115">
        <v>0.1</v>
      </c>
      <c r="G110" s="470">
        <v>13563.132102166315</v>
      </c>
    </row>
    <row r="111" spans="1:7">
      <c r="A111" s="485" t="s">
        <v>569</v>
      </c>
      <c r="B111" s="116" t="s">
        <v>636</v>
      </c>
      <c r="C111" s="115">
        <v>6.1152971836515406E-2</v>
      </c>
      <c r="D111" s="115">
        <f t="shared" si="1"/>
        <v>0.1204794106522199</v>
      </c>
      <c r="E111" s="115">
        <v>7.9379410652219901E-2</v>
      </c>
      <c r="F111" s="115">
        <v>0.2</v>
      </c>
      <c r="G111" s="470">
        <v>15297.192798977121</v>
      </c>
    </row>
    <row r="112" spans="1:7">
      <c r="A112" s="485" t="s">
        <v>570</v>
      </c>
      <c r="B112" s="116" t="s">
        <v>636</v>
      </c>
      <c r="C112" s="115">
        <v>0.1129063006240185</v>
      </c>
      <c r="D112" s="115">
        <f t="shared" si="1"/>
        <v>0.18765764606856514</v>
      </c>
      <c r="E112" s="115">
        <v>0.14655764606856514</v>
      </c>
      <c r="F112" s="115">
        <v>0.3</v>
      </c>
      <c r="G112" s="470">
        <v>13164.6676269363</v>
      </c>
    </row>
    <row r="113" spans="1:7">
      <c r="A113" s="484" t="s">
        <v>288</v>
      </c>
      <c r="B113" s="116" t="s">
        <v>558</v>
      </c>
      <c r="C113" s="115">
        <v>1.1279571658814777E-2</v>
      </c>
      <c r="D113" s="115">
        <f t="shared" si="1"/>
        <v>5.5741410283049603E-2</v>
      </c>
      <c r="E113" s="115">
        <v>1.4641410283049603E-2</v>
      </c>
      <c r="F113" s="115">
        <v>0.24</v>
      </c>
      <c r="G113" s="470">
        <v>407027.45171461598</v>
      </c>
    </row>
    <row r="114" spans="1:7">
      <c r="A114" s="484" t="s">
        <v>626</v>
      </c>
      <c r="B114" s="116" t="s">
        <v>550</v>
      </c>
      <c r="C114" s="115">
        <v>7.055261488552772E-2</v>
      </c>
      <c r="D114" s="115">
        <f t="shared" si="1"/>
        <v>0.13268058588809456</v>
      </c>
      <c r="E114" s="115">
        <v>9.1580585888094562E-2</v>
      </c>
      <c r="F114" s="115">
        <v>0.26860000000000001</v>
      </c>
      <c r="G114" s="470">
        <v>6170.6387469650035</v>
      </c>
    </row>
    <row r="115" spans="1:7">
      <c r="A115" s="484" t="s">
        <v>571</v>
      </c>
      <c r="B115" s="116" t="s">
        <v>557</v>
      </c>
      <c r="C115" s="115">
        <v>8.4707371476981555E-2</v>
      </c>
      <c r="D115" s="115">
        <f t="shared" si="1"/>
        <v>0.15105412036094112</v>
      </c>
      <c r="E115" s="115">
        <v>0.10995412036094113</v>
      </c>
      <c r="F115" s="115">
        <v>0.26860000000000001</v>
      </c>
      <c r="G115" s="470">
        <v>18827.176529698252</v>
      </c>
    </row>
    <row r="116" spans="1:7">
      <c r="A116" s="484" t="s">
        <v>289</v>
      </c>
      <c r="B116" s="116" t="s">
        <v>554</v>
      </c>
      <c r="C116" s="115">
        <v>7.9620505826927847E-3</v>
      </c>
      <c r="D116" s="115">
        <f t="shared" si="1"/>
        <v>5.1435113140976187E-2</v>
      </c>
      <c r="E116" s="115">
        <v>1.0335113140976191E-2</v>
      </c>
      <c r="F116" s="115">
        <v>0.35</v>
      </c>
      <c r="G116" s="470">
        <v>18125.564514266385</v>
      </c>
    </row>
    <row r="117" spans="1:7">
      <c r="A117" s="484" t="s">
        <v>883</v>
      </c>
      <c r="B117" s="116" t="s">
        <v>636</v>
      </c>
      <c r="C117" s="115">
        <v>0</v>
      </c>
      <c r="D117" s="115">
        <f t="shared" si="1"/>
        <v>4.1099999999999998E-2</v>
      </c>
      <c r="E117" s="478">
        <v>0</v>
      </c>
      <c r="F117" s="478">
        <v>0</v>
      </c>
      <c r="G117" s="470" t="s">
        <v>88</v>
      </c>
    </row>
    <row r="118" spans="1:7">
      <c r="A118" s="484" t="s">
        <v>290</v>
      </c>
      <c r="B118" s="116" t="s">
        <v>548</v>
      </c>
      <c r="C118" s="115">
        <v>2.0679214707827093E-2</v>
      </c>
      <c r="D118" s="115">
        <f t="shared" si="1"/>
        <v>6.7942585518924264E-2</v>
      </c>
      <c r="E118" s="115">
        <v>2.6842585518924274E-2</v>
      </c>
      <c r="F118" s="115">
        <v>0.15</v>
      </c>
      <c r="G118" s="470">
        <v>12948.726653810985</v>
      </c>
    </row>
    <row r="119" spans="1:7">
      <c r="A119" s="484" t="s">
        <v>291</v>
      </c>
      <c r="B119" s="116" t="s">
        <v>542</v>
      </c>
      <c r="C119" s="115">
        <v>1.7914613811058765E-2</v>
      </c>
      <c r="D119" s="115">
        <f t="shared" si="1"/>
        <v>6.4354004567196421E-2</v>
      </c>
      <c r="E119" s="115">
        <v>2.325400456719643E-2</v>
      </c>
      <c r="F119" s="115">
        <v>0.3</v>
      </c>
      <c r="G119" s="470">
        <v>1465854.0892864685</v>
      </c>
    </row>
    <row r="120" spans="1:7">
      <c r="A120" s="484" t="s">
        <v>884</v>
      </c>
      <c r="B120" s="116" t="s">
        <v>636</v>
      </c>
      <c r="C120" s="115">
        <v>0</v>
      </c>
      <c r="D120" s="115">
        <f t="shared" si="1"/>
        <v>4.1099999999999998E-2</v>
      </c>
      <c r="E120" s="478">
        <v>0</v>
      </c>
      <c r="F120" s="478">
        <v>0.24707349543413576</v>
      </c>
      <c r="G120" s="470" t="s">
        <v>88</v>
      </c>
    </row>
    <row r="121" spans="1:7">
      <c r="A121" s="484" t="s">
        <v>350</v>
      </c>
      <c r="B121" s="116" t="s">
        <v>552</v>
      </c>
      <c r="C121" s="115">
        <v>6.1152971836515406E-2</v>
      </c>
      <c r="D121" s="115">
        <f t="shared" si="1"/>
        <v>0.1204794106522199</v>
      </c>
      <c r="E121" s="115">
        <v>7.9379410652219901E-2</v>
      </c>
      <c r="F121" s="115">
        <v>0.12</v>
      </c>
      <c r="G121" s="470">
        <v>14508.333280423281</v>
      </c>
    </row>
    <row r="122" spans="1:7">
      <c r="A122" s="484" t="s">
        <v>351</v>
      </c>
      <c r="B122" s="116" t="s">
        <v>552</v>
      </c>
      <c r="C122" s="115">
        <v>6.1152971836515406E-2</v>
      </c>
      <c r="D122" s="115">
        <f t="shared" si="1"/>
        <v>0.1204794106522199</v>
      </c>
      <c r="E122" s="115">
        <v>7.9379410652219901E-2</v>
      </c>
      <c r="F122" s="115">
        <v>0.25</v>
      </c>
      <c r="G122" s="470">
        <v>17146.471626396327</v>
      </c>
    </row>
    <row r="123" spans="1:7">
      <c r="A123" s="484" t="s">
        <v>292</v>
      </c>
      <c r="B123" s="116" t="s">
        <v>540</v>
      </c>
      <c r="C123" s="115">
        <v>4.2353685738490778E-2</v>
      </c>
      <c r="D123" s="115">
        <f t="shared" si="1"/>
        <v>9.6077060180470561E-2</v>
      </c>
      <c r="E123" s="115">
        <v>5.4977060180470563E-2</v>
      </c>
      <c r="F123" s="115">
        <v>0.15</v>
      </c>
      <c r="G123" s="470">
        <v>6229.8015807915735</v>
      </c>
    </row>
    <row r="124" spans="1:7">
      <c r="A124" s="484" t="s">
        <v>464</v>
      </c>
      <c r="B124" s="116" t="s">
        <v>548</v>
      </c>
      <c r="C124" s="115">
        <v>2.0679214707827093E-2</v>
      </c>
      <c r="D124" s="115">
        <f t="shared" si="1"/>
        <v>6.7942585518924264E-2</v>
      </c>
      <c r="E124" s="115">
        <v>2.6842585518924274E-2</v>
      </c>
      <c r="F124" s="115">
        <v>0.2853</v>
      </c>
      <c r="G124" s="470">
        <v>16199</v>
      </c>
    </row>
    <row r="125" spans="1:7">
      <c r="A125" s="484" t="s">
        <v>352</v>
      </c>
      <c r="B125" s="116" t="s">
        <v>560</v>
      </c>
      <c r="C125" s="115">
        <v>2.3554399640466156E-2</v>
      </c>
      <c r="D125" s="115">
        <f t="shared" si="1"/>
        <v>7.1674709708721224E-2</v>
      </c>
      <c r="E125" s="115">
        <v>3.0574709708721233E-2</v>
      </c>
      <c r="F125" s="115">
        <v>0.32</v>
      </c>
      <c r="G125" s="470">
        <v>130912.55882983979</v>
      </c>
    </row>
    <row r="126" spans="1:7">
      <c r="A126" s="484" t="s">
        <v>293</v>
      </c>
      <c r="B126" s="116" t="s">
        <v>557</v>
      </c>
      <c r="C126" s="115">
        <v>8.4707371476981555E-2</v>
      </c>
      <c r="D126" s="115">
        <f t="shared" si="1"/>
        <v>0.15105412036094112</v>
      </c>
      <c r="E126" s="115">
        <v>0.10995412036094113</v>
      </c>
      <c r="F126" s="115">
        <v>0.32</v>
      </c>
      <c r="G126" s="470">
        <v>18406.835954669532</v>
      </c>
    </row>
    <row r="127" spans="1:7">
      <c r="A127" s="485" t="s">
        <v>572</v>
      </c>
      <c r="B127" s="116" t="s">
        <v>636</v>
      </c>
      <c r="C127" s="115">
        <v>8.4707371476981541E-2</v>
      </c>
      <c r="D127" s="115">
        <f t="shared" si="1"/>
        <v>0.15105412036094112</v>
      </c>
      <c r="E127" s="115">
        <v>0.10995412036094111</v>
      </c>
      <c r="F127" s="115">
        <v>0.25</v>
      </c>
      <c r="G127" s="470">
        <v>62263.466263737508</v>
      </c>
    </row>
    <row r="128" spans="1:7">
      <c r="A128" s="484" t="s">
        <v>294</v>
      </c>
      <c r="B128" s="116" t="s">
        <v>540</v>
      </c>
      <c r="C128" s="115">
        <v>4.2353685738490778E-2</v>
      </c>
      <c r="D128" s="115">
        <f t="shared" si="1"/>
        <v>9.6077060180470561E-2</v>
      </c>
      <c r="E128" s="115">
        <v>5.4977060180470563E-2</v>
      </c>
      <c r="F128" s="115">
        <v>0.32</v>
      </c>
      <c r="G128" s="470">
        <v>12914.932655685012</v>
      </c>
    </row>
    <row r="129" spans="1:7">
      <c r="A129" s="484" t="s">
        <v>295</v>
      </c>
      <c r="B129" s="116" t="s">
        <v>545</v>
      </c>
      <c r="C129" s="115">
        <v>0</v>
      </c>
      <c r="D129" s="115">
        <f t="shared" si="1"/>
        <v>4.1099999999999998E-2</v>
      </c>
      <c r="E129" s="115">
        <v>0</v>
      </c>
      <c r="F129" s="115">
        <v>0.25800000000000001</v>
      </c>
      <c r="G129" s="470">
        <v>1009398.7190330778</v>
      </c>
    </row>
    <row r="130" spans="1:7">
      <c r="A130" s="484" t="s">
        <v>885</v>
      </c>
      <c r="B130" s="116" t="e">
        <v>#N/A</v>
      </c>
      <c r="C130" s="115" t="e">
        <v>#N/A</v>
      </c>
      <c r="D130" s="115" t="e">
        <f t="shared" si="1"/>
        <v>#N/A</v>
      </c>
      <c r="E130" s="115" t="e">
        <v>#N/A</v>
      </c>
      <c r="F130" s="115" t="e">
        <v>#N/A</v>
      </c>
      <c r="G130" s="470" t="s">
        <v>88</v>
      </c>
    </row>
    <row r="131" spans="1:7">
      <c r="A131" s="484" t="s">
        <v>296</v>
      </c>
      <c r="B131" s="116" t="s">
        <v>545</v>
      </c>
      <c r="C131" s="115">
        <v>0</v>
      </c>
      <c r="D131" s="115">
        <f t="shared" si="1"/>
        <v>4.1099999999999998E-2</v>
      </c>
      <c r="E131" s="115">
        <v>0</v>
      </c>
      <c r="F131" s="115">
        <v>0.28000000000000003</v>
      </c>
      <c r="G131" s="470">
        <v>248101.70554139902</v>
      </c>
    </row>
    <row r="132" spans="1:7">
      <c r="A132" s="484" t="s">
        <v>353</v>
      </c>
      <c r="B132" s="116" t="s">
        <v>543</v>
      </c>
      <c r="C132" s="115">
        <v>5.1753328787503099E-2</v>
      </c>
      <c r="D132" s="115">
        <f t="shared" si="1"/>
        <v>0.10827823541634524</v>
      </c>
      <c r="E132" s="115">
        <v>6.7178235416345239E-2</v>
      </c>
      <c r="F132" s="115">
        <v>0.3</v>
      </c>
      <c r="G132" s="470">
        <v>15671.583939988886</v>
      </c>
    </row>
    <row r="133" spans="1:7">
      <c r="A133" s="484" t="s">
        <v>573</v>
      </c>
      <c r="B133" s="116" t="s">
        <v>605</v>
      </c>
      <c r="C133" s="115">
        <v>9.410701452599389E-2</v>
      </c>
      <c r="D133" s="115">
        <f t="shared" si="1"/>
        <v>0.16325529559681581</v>
      </c>
      <c r="E133" s="115">
        <v>0.12215529559681582</v>
      </c>
      <c r="F133" s="115">
        <v>0.26860000000000001</v>
      </c>
      <c r="G133" s="470">
        <v>15342.278919400891</v>
      </c>
    </row>
    <row r="134" spans="1:7">
      <c r="A134" s="484" t="s">
        <v>297</v>
      </c>
      <c r="B134" s="116" t="s">
        <v>550</v>
      </c>
      <c r="C134" s="115">
        <v>7.055261488552772E-2</v>
      </c>
      <c r="D134" s="115">
        <f t="shared" ref="D134:D195" si="2">$B$1+E134</f>
        <v>0.13268058588809456</v>
      </c>
      <c r="E134" s="115">
        <v>9.1580585888094562E-2</v>
      </c>
      <c r="F134" s="115">
        <v>0.3</v>
      </c>
      <c r="G134" s="470">
        <v>472624.59740289778</v>
      </c>
    </row>
    <row r="135" spans="1:7">
      <c r="A135" s="484" t="s">
        <v>298</v>
      </c>
      <c r="B135" s="116" t="s">
        <v>545</v>
      </c>
      <c r="C135" s="115">
        <v>0</v>
      </c>
      <c r="D135" s="115">
        <f t="shared" si="2"/>
        <v>4.1099999999999998E-2</v>
      </c>
      <c r="E135" s="115">
        <v>0</v>
      </c>
      <c r="F135" s="115">
        <v>0.22</v>
      </c>
      <c r="G135" s="470">
        <v>579422.44951027108</v>
      </c>
    </row>
    <row r="136" spans="1:7">
      <c r="A136" s="484" t="s">
        <v>299</v>
      </c>
      <c r="B136" s="116" t="s">
        <v>560</v>
      </c>
      <c r="C136" s="115">
        <v>2.3554399640466156E-2</v>
      </c>
      <c r="D136" s="115">
        <f t="shared" si="2"/>
        <v>7.1674709708721224E-2</v>
      </c>
      <c r="E136" s="115">
        <v>3.0574709708721233E-2</v>
      </c>
      <c r="F136" s="115">
        <v>0.15</v>
      </c>
      <c r="G136" s="470">
        <v>114667.36020806243</v>
      </c>
    </row>
    <row r="137" spans="1:7">
      <c r="A137" s="484" t="s">
        <v>300</v>
      </c>
      <c r="B137" s="116" t="s">
        <v>605</v>
      </c>
      <c r="C137" s="115">
        <v>9.410701452599389E-2</v>
      </c>
      <c r="D137" s="115">
        <f t="shared" si="2"/>
        <v>0.16325529559681581</v>
      </c>
      <c r="E137" s="115">
        <v>0.12215529559681582</v>
      </c>
      <c r="F137" s="115">
        <v>0.28999999999999998</v>
      </c>
      <c r="G137" s="470">
        <v>374697.36635924398</v>
      </c>
    </row>
    <row r="138" spans="1:7">
      <c r="A138" s="484" t="s">
        <v>886</v>
      </c>
      <c r="B138" s="116" t="s">
        <v>636</v>
      </c>
      <c r="C138" s="115">
        <v>1.6082653627874467E-2</v>
      </c>
      <c r="D138" s="115">
        <f t="shared" si="2"/>
        <v>0.10868999089248985</v>
      </c>
      <c r="E138" s="478">
        <v>6.7589990892489848E-2</v>
      </c>
      <c r="F138" s="478">
        <v>0.18760152153615242</v>
      </c>
      <c r="G138" s="470" t="s">
        <v>88</v>
      </c>
    </row>
    <row r="139" spans="1:7">
      <c r="A139" s="484" t="s">
        <v>301</v>
      </c>
      <c r="B139" s="116" t="s">
        <v>548</v>
      </c>
      <c r="C139" s="115">
        <v>2.0679214707827093E-2</v>
      </c>
      <c r="D139" s="115">
        <f t="shared" si="2"/>
        <v>6.7942585518924264E-2</v>
      </c>
      <c r="E139" s="115">
        <v>2.6842585518924274E-2</v>
      </c>
      <c r="F139" s="115">
        <v>0.25</v>
      </c>
      <c r="G139" s="470">
        <v>76522.511799999993</v>
      </c>
    </row>
    <row r="140" spans="1:7">
      <c r="A140" s="484" t="s">
        <v>302</v>
      </c>
      <c r="B140" s="116" t="s">
        <v>543</v>
      </c>
      <c r="C140" s="115">
        <v>5.1753328787503099E-2</v>
      </c>
      <c r="D140" s="115">
        <f t="shared" si="2"/>
        <v>0.10827823541634524</v>
      </c>
      <c r="E140" s="115">
        <v>6.7178235416345239E-2</v>
      </c>
      <c r="F140" s="115">
        <v>0.3</v>
      </c>
      <c r="G140" s="470">
        <v>31603.619041790265</v>
      </c>
    </row>
    <row r="141" spans="1:7">
      <c r="A141" s="484" t="s">
        <v>303</v>
      </c>
      <c r="B141" s="116" t="s">
        <v>560</v>
      </c>
      <c r="C141" s="115">
        <v>2.3554399640466156E-2</v>
      </c>
      <c r="D141" s="115">
        <f t="shared" si="2"/>
        <v>7.1674709708721224E-2</v>
      </c>
      <c r="E141" s="115">
        <v>3.0574709708721233E-2</v>
      </c>
      <c r="F141" s="115">
        <v>0.1</v>
      </c>
      <c r="G141" s="470">
        <v>41722.295229227944</v>
      </c>
    </row>
    <row r="142" spans="1:7">
      <c r="A142" s="484" t="s">
        <v>304</v>
      </c>
      <c r="B142" s="116" t="s">
        <v>544</v>
      </c>
      <c r="C142" s="115">
        <v>1.5039428878419702E-2</v>
      </c>
      <c r="D142" s="115">
        <f t="shared" si="2"/>
        <v>6.0621880377399462E-2</v>
      </c>
      <c r="E142" s="115">
        <v>1.9521880377399468E-2</v>
      </c>
      <c r="F142" s="115">
        <v>0.29499999999999998</v>
      </c>
      <c r="G142" s="470">
        <v>242631.57332078982</v>
      </c>
    </row>
    <row r="143" spans="1:7">
      <c r="A143" s="484" t="s">
        <v>305</v>
      </c>
      <c r="B143" s="116" t="s">
        <v>542</v>
      </c>
      <c r="C143" s="115">
        <v>1.7914613811058765E-2</v>
      </c>
      <c r="D143" s="115">
        <f t="shared" si="2"/>
        <v>6.4354004567196421E-2</v>
      </c>
      <c r="E143" s="115">
        <v>2.325400456719643E-2</v>
      </c>
      <c r="F143" s="115">
        <v>0.25</v>
      </c>
      <c r="G143" s="470">
        <v>404284.32611046272</v>
      </c>
    </row>
    <row r="144" spans="1:7">
      <c r="A144" s="484" t="s">
        <v>306</v>
      </c>
      <c r="B144" s="116" t="s">
        <v>554</v>
      </c>
      <c r="C144" s="115">
        <v>7.9620505826927847E-3</v>
      </c>
      <c r="D144" s="115">
        <f t="shared" si="2"/>
        <v>5.1435113140976187E-2</v>
      </c>
      <c r="E144" s="115">
        <v>1.0335113140976191E-2</v>
      </c>
      <c r="F144" s="115">
        <v>0.19</v>
      </c>
      <c r="G144" s="470">
        <v>688125.01052052039</v>
      </c>
    </row>
    <row r="145" spans="1:7">
      <c r="A145" s="484" t="s">
        <v>307</v>
      </c>
      <c r="B145" s="116" t="s">
        <v>558</v>
      </c>
      <c r="C145" s="115">
        <v>1.1279571658814777E-2</v>
      </c>
      <c r="D145" s="115">
        <f t="shared" si="2"/>
        <v>5.5741410283049603E-2</v>
      </c>
      <c r="E145" s="115">
        <v>1.4641410283049603E-2</v>
      </c>
      <c r="F145" s="115">
        <v>0.21</v>
      </c>
      <c r="G145" s="470">
        <v>255196.66098742705</v>
      </c>
    </row>
    <row r="146" spans="1:7">
      <c r="A146" s="484" t="s">
        <v>308</v>
      </c>
      <c r="B146" s="116" t="s">
        <v>539</v>
      </c>
      <c r="C146" s="115">
        <v>4.6445295065707902E-3</v>
      </c>
      <c r="D146" s="115">
        <f t="shared" si="2"/>
        <v>4.7128815998902777E-2</v>
      </c>
      <c r="E146" s="115">
        <v>6.0288159989027772E-3</v>
      </c>
      <c r="F146" s="115">
        <v>0.1</v>
      </c>
      <c r="G146" s="470">
        <v>236258.30283965328</v>
      </c>
    </row>
    <row r="147" spans="1:7">
      <c r="A147" s="484" t="s">
        <v>478</v>
      </c>
      <c r="B147" s="116" t="s">
        <v>558</v>
      </c>
      <c r="C147" s="115">
        <v>1.1279571658814777E-2</v>
      </c>
      <c r="D147" s="115">
        <f t="shared" si="2"/>
        <v>5.5741410283049603E-2</v>
      </c>
      <c r="E147" s="115">
        <v>1.4641410283049603E-2</v>
      </c>
      <c r="F147" s="115">
        <v>0</v>
      </c>
      <c r="G147" s="470">
        <v>11000</v>
      </c>
    </row>
    <row r="148" spans="1:7">
      <c r="A148" s="484" t="s">
        <v>887</v>
      </c>
      <c r="B148" s="116" t="s">
        <v>636</v>
      </c>
      <c r="C148" s="115">
        <v>1.2518555898193178E-2</v>
      </c>
      <c r="D148" s="115">
        <f t="shared" si="2"/>
        <v>0.10390540500857855</v>
      </c>
      <c r="E148" s="478">
        <v>6.2805405008578549E-2</v>
      </c>
      <c r="F148" s="478">
        <v>0.2576437502455447</v>
      </c>
      <c r="G148" s="470" t="s">
        <v>88</v>
      </c>
    </row>
    <row r="149" spans="1:7">
      <c r="A149" s="484" t="s">
        <v>309</v>
      </c>
      <c r="B149" s="116" t="s">
        <v>548</v>
      </c>
      <c r="C149" s="115">
        <v>2.0679214707827093E-2</v>
      </c>
      <c r="D149" s="115">
        <f t="shared" si="2"/>
        <v>6.7942585518924264E-2</v>
      </c>
      <c r="E149" s="115">
        <v>2.6842585518924274E-2</v>
      </c>
      <c r="F149" s="115">
        <v>0.16</v>
      </c>
      <c r="G149" s="470">
        <v>300691.35486485471</v>
      </c>
    </row>
    <row r="150" spans="1:7">
      <c r="A150" s="484" t="s">
        <v>310</v>
      </c>
      <c r="B150" s="116" t="s">
        <v>636</v>
      </c>
      <c r="C150" s="115">
        <v>2.8309513182907673E-2</v>
      </c>
      <c r="D150" s="115">
        <f t="shared" si="2"/>
        <v>7.7847068945693113E-2</v>
      </c>
      <c r="E150" s="115">
        <v>3.6747068945693115E-2</v>
      </c>
      <c r="F150" s="115">
        <v>0.2</v>
      </c>
      <c r="G150" s="470">
        <v>2240422.4274585792</v>
      </c>
    </row>
    <row r="151" spans="1:7">
      <c r="A151" s="484" t="s">
        <v>465</v>
      </c>
      <c r="B151" s="116" t="s">
        <v>543</v>
      </c>
      <c r="C151" s="115">
        <v>5.1753328787503099E-2</v>
      </c>
      <c r="D151" s="115">
        <f t="shared" si="2"/>
        <v>0.10827823541634524</v>
      </c>
      <c r="E151" s="115">
        <v>6.7178235416345239E-2</v>
      </c>
      <c r="F151" s="115">
        <v>0.3</v>
      </c>
      <c r="G151" s="470">
        <v>13311.487445068627</v>
      </c>
    </row>
    <row r="152" spans="1:7">
      <c r="A152" s="484" t="s">
        <v>888</v>
      </c>
      <c r="B152" s="116" t="s">
        <v>636</v>
      </c>
      <c r="C152" s="115">
        <v>0.1054310997313879</v>
      </c>
      <c r="D152" s="115">
        <f t="shared" si="2"/>
        <v>0.2286348819700155</v>
      </c>
      <c r="E152" s="478">
        <v>0.1875348819700155</v>
      </c>
      <c r="F152" s="478">
        <v>0.2724561140242252</v>
      </c>
      <c r="G152" s="470" t="s">
        <v>88</v>
      </c>
    </row>
    <row r="153" spans="1:7">
      <c r="A153" s="484" t="s">
        <v>311</v>
      </c>
      <c r="B153" s="116" t="s">
        <v>556</v>
      </c>
      <c r="C153" s="115">
        <v>6.6350421522439872E-3</v>
      </c>
      <c r="D153" s="115">
        <f t="shared" si="2"/>
        <v>4.9712594284146823E-2</v>
      </c>
      <c r="E153" s="115">
        <v>8.6125942841468253E-3</v>
      </c>
      <c r="F153" s="115">
        <v>0.2</v>
      </c>
      <c r="G153" s="470">
        <v>1108571.5172853814</v>
      </c>
    </row>
    <row r="154" spans="1:7">
      <c r="A154" s="484" t="s">
        <v>354</v>
      </c>
      <c r="B154" s="116" t="s">
        <v>549</v>
      </c>
      <c r="C154" s="115">
        <v>3.3838714976444327E-2</v>
      </c>
      <c r="D154" s="115">
        <f t="shared" si="2"/>
        <v>8.5024230849148799E-2</v>
      </c>
      <c r="E154" s="115">
        <v>4.3924230849148801E-2</v>
      </c>
      <c r="F154" s="115">
        <v>0.3</v>
      </c>
      <c r="G154" s="470">
        <v>27684.264748232432</v>
      </c>
    </row>
    <row r="155" spans="1:7">
      <c r="A155" s="484" t="s">
        <v>312</v>
      </c>
      <c r="B155" s="116" t="s">
        <v>547</v>
      </c>
      <c r="C155" s="115">
        <v>2.8309513182907677E-2</v>
      </c>
      <c r="D155" s="115">
        <f t="shared" si="2"/>
        <v>7.7847068945693126E-2</v>
      </c>
      <c r="E155" s="115">
        <v>3.6747068945693122E-2</v>
      </c>
      <c r="F155" s="115">
        <v>0.15</v>
      </c>
      <c r="G155" s="470">
        <v>63563.401043504426</v>
      </c>
    </row>
    <row r="156" spans="1:7">
      <c r="A156" s="484" t="s">
        <v>479</v>
      </c>
      <c r="B156" s="116" t="s">
        <v>560</v>
      </c>
      <c r="C156" s="115">
        <v>2.3554399640466156E-2</v>
      </c>
      <c r="D156" s="115">
        <f t="shared" si="2"/>
        <v>7.1674709708721224E-2</v>
      </c>
      <c r="E156" s="115">
        <v>3.0574709708721233E-2</v>
      </c>
      <c r="F156" s="115">
        <v>0</v>
      </c>
      <c r="G156" s="470">
        <v>24800</v>
      </c>
    </row>
    <row r="157" spans="1:7">
      <c r="A157" s="485" t="s">
        <v>574</v>
      </c>
      <c r="B157" s="116" t="s">
        <v>636</v>
      </c>
      <c r="C157" s="115">
        <v>8.4707371476981541E-2</v>
      </c>
      <c r="D157" s="115">
        <f t="shared" si="2"/>
        <v>0.15105412036094112</v>
      </c>
      <c r="E157" s="115">
        <v>0.10995412036094111</v>
      </c>
      <c r="F157" s="115">
        <v>0.3</v>
      </c>
      <c r="G157" s="470">
        <v>4094.5638594355637</v>
      </c>
    </row>
    <row r="158" spans="1:7">
      <c r="A158" s="484" t="s">
        <v>313</v>
      </c>
      <c r="B158" s="116" t="s">
        <v>545</v>
      </c>
      <c r="C158" s="115">
        <v>0</v>
      </c>
      <c r="D158" s="115">
        <f t="shared" si="2"/>
        <v>4.1099999999999998E-2</v>
      </c>
      <c r="E158" s="115">
        <v>0</v>
      </c>
      <c r="F158" s="115">
        <v>0.17</v>
      </c>
      <c r="G158" s="470">
        <v>466788.42679196643</v>
      </c>
    </row>
    <row r="159" spans="1:7">
      <c r="A159" s="484" t="s">
        <v>355</v>
      </c>
      <c r="B159" s="116" t="s">
        <v>554</v>
      </c>
      <c r="C159" s="115">
        <v>7.9620505826927847E-3</v>
      </c>
      <c r="D159" s="115">
        <f t="shared" si="2"/>
        <v>5.1435113140976187E-2</v>
      </c>
      <c r="E159" s="115">
        <v>1.0335113140976191E-2</v>
      </c>
      <c r="F159" s="115">
        <v>0.21</v>
      </c>
      <c r="G159" s="470">
        <v>115461.71168896543</v>
      </c>
    </row>
    <row r="160" spans="1:7">
      <c r="A160" s="484" t="s">
        <v>314</v>
      </c>
      <c r="B160" s="116" t="s">
        <v>558</v>
      </c>
      <c r="C160" s="115">
        <v>1.1279571658814777E-2</v>
      </c>
      <c r="D160" s="115">
        <f t="shared" si="2"/>
        <v>5.5741410283049603E-2</v>
      </c>
      <c r="E160" s="115">
        <v>1.4641410283049603E-2</v>
      </c>
      <c r="F160" s="115">
        <v>0.19</v>
      </c>
      <c r="G160" s="470">
        <v>60063.475466344593</v>
      </c>
    </row>
    <row r="161" spans="1:7">
      <c r="A161" s="484" t="s">
        <v>575</v>
      </c>
      <c r="B161" s="116" t="s">
        <v>550</v>
      </c>
      <c r="C161" s="115">
        <v>7.055261488552772E-2</v>
      </c>
      <c r="D161" s="115">
        <f t="shared" si="2"/>
        <v>0.13268058588809456</v>
      </c>
      <c r="E161" s="115">
        <v>9.1580585888094562E-2</v>
      </c>
      <c r="F161" s="115">
        <v>0.3</v>
      </c>
      <c r="G161" s="470">
        <v>1597.2043406290234</v>
      </c>
    </row>
    <row r="162" spans="1:7">
      <c r="A162" s="485" t="s">
        <v>576</v>
      </c>
      <c r="B162" s="116" t="s">
        <v>636</v>
      </c>
      <c r="C162" s="115">
        <v>0.1129063006240185</v>
      </c>
      <c r="D162" s="115">
        <f t="shared" si="2"/>
        <v>0.18765764606856514</v>
      </c>
      <c r="E162" s="115">
        <v>0.14655764606856514</v>
      </c>
      <c r="F162" s="115">
        <v>0.29149999999999998</v>
      </c>
      <c r="G162" s="470">
        <v>10419.541202038166</v>
      </c>
    </row>
    <row r="163" spans="1:7">
      <c r="A163" s="484" t="s">
        <v>315</v>
      </c>
      <c r="B163" s="116" t="s">
        <v>547</v>
      </c>
      <c r="C163" s="115">
        <v>2.8309513182907677E-2</v>
      </c>
      <c r="D163" s="115">
        <f t="shared" si="2"/>
        <v>7.7847068945693126E-2</v>
      </c>
      <c r="E163" s="115">
        <v>3.6747068945693122E-2</v>
      </c>
      <c r="F163" s="115">
        <v>0.27</v>
      </c>
      <c r="G163" s="470">
        <v>405270.85009938711</v>
      </c>
    </row>
    <row r="164" spans="1:7">
      <c r="A164" s="484" t="s">
        <v>889</v>
      </c>
      <c r="B164" s="116" t="s">
        <v>539</v>
      </c>
      <c r="C164" s="121">
        <v>4.6445295065707902E-3</v>
      </c>
      <c r="D164" s="115">
        <f t="shared" si="2"/>
        <v>4.7128815998902777E-2</v>
      </c>
      <c r="E164" s="480">
        <v>6.0288159989027772E-3</v>
      </c>
      <c r="F164" s="480">
        <v>0.25</v>
      </c>
      <c r="G164" s="470">
        <v>1673916.46902656</v>
      </c>
    </row>
    <row r="165" spans="1:7">
      <c r="A165" s="484" t="s">
        <v>316</v>
      </c>
      <c r="B165" s="116" t="s">
        <v>544</v>
      </c>
      <c r="C165" s="115">
        <v>1.5039428878419702E-2</v>
      </c>
      <c r="D165" s="115">
        <f t="shared" si="2"/>
        <v>6.0621880377399462E-2</v>
      </c>
      <c r="E165" s="115">
        <v>1.9521880377399468E-2</v>
      </c>
      <c r="F165" s="115">
        <v>0.25</v>
      </c>
      <c r="G165" s="470">
        <v>1417800.4662626514</v>
      </c>
    </row>
    <row r="166" spans="1:7">
      <c r="A166" s="484" t="s">
        <v>317</v>
      </c>
      <c r="B166" s="116" t="s">
        <v>604</v>
      </c>
      <c r="C166" s="115">
        <v>0.11290630062401852</v>
      </c>
      <c r="D166" s="115">
        <f t="shared" si="2"/>
        <v>0.18765764606856516</v>
      </c>
      <c r="E166" s="115">
        <v>0.14655764606856517</v>
      </c>
      <c r="F166" s="115">
        <v>0.24</v>
      </c>
      <c r="G166" s="470">
        <v>74403.578363435474</v>
      </c>
    </row>
    <row r="167" spans="1:7">
      <c r="A167" s="484" t="s">
        <v>406</v>
      </c>
      <c r="B167" s="116" t="s">
        <v>547</v>
      </c>
      <c r="C167" s="115">
        <v>2.8309513182907677E-2</v>
      </c>
      <c r="D167" s="115">
        <f t="shared" si="2"/>
        <v>7.7847068945693126E-2</v>
      </c>
      <c r="E167" s="115">
        <v>3.6747068945693122E-2</v>
      </c>
      <c r="F167" s="115">
        <v>0.2853</v>
      </c>
      <c r="G167" s="470">
        <v>11900</v>
      </c>
    </row>
    <row r="168" spans="1:7">
      <c r="A168" s="484" t="s">
        <v>356</v>
      </c>
      <c r="B168" s="116" t="s">
        <v>552</v>
      </c>
      <c r="C168" s="115">
        <v>6.1152971836515406E-2</v>
      </c>
      <c r="D168" s="115">
        <f t="shared" si="2"/>
        <v>0.1204794106522199</v>
      </c>
      <c r="E168" s="115">
        <v>7.9379410652219901E-2</v>
      </c>
      <c r="F168" s="115">
        <v>0.2853</v>
      </c>
      <c r="G168" s="470">
        <v>8100</v>
      </c>
    </row>
    <row r="169" spans="1:7">
      <c r="A169" s="485" t="s">
        <v>577</v>
      </c>
      <c r="B169" s="116" t="s">
        <v>636</v>
      </c>
      <c r="C169" s="115">
        <v>0.17499999999999996</v>
      </c>
      <c r="D169" s="115">
        <f t="shared" si="2"/>
        <v>0.26825816495844779</v>
      </c>
      <c r="E169" s="115">
        <v>0.22715816495844782</v>
      </c>
      <c r="F169" s="115">
        <v>0.35</v>
      </c>
      <c r="G169" s="470">
        <v>51662.241775062881</v>
      </c>
    </row>
    <row r="170" spans="1:7">
      <c r="A170" s="484" t="s">
        <v>357</v>
      </c>
      <c r="B170" s="116" t="s">
        <v>605</v>
      </c>
      <c r="C170" s="115">
        <v>9.410701452599389E-2</v>
      </c>
      <c r="D170" s="115">
        <f t="shared" si="2"/>
        <v>0.16325529559681581</v>
      </c>
      <c r="E170" s="115">
        <v>0.12215529559681582</v>
      </c>
      <c r="F170" s="115">
        <v>0.36</v>
      </c>
      <c r="G170" s="470">
        <v>3620.987993326366</v>
      </c>
    </row>
    <row r="171" spans="1:7">
      <c r="A171" s="484" t="s">
        <v>578</v>
      </c>
      <c r="B171" s="116" t="s">
        <v>552</v>
      </c>
      <c r="C171" s="115">
        <v>6.1152971836515406E-2</v>
      </c>
      <c r="D171" s="115">
        <f t="shared" si="2"/>
        <v>0.1204794106522199</v>
      </c>
      <c r="E171" s="115">
        <v>7.9379410652219901E-2</v>
      </c>
      <c r="F171" s="115">
        <v>0.27500000000000002</v>
      </c>
      <c r="G171" s="470">
        <v>4790.9220656100979</v>
      </c>
    </row>
    <row r="172" spans="1:7">
      <c r="A172" s="484" t="s">
        <v>318</v>
      </c>
      <c r="B172" s="116" t="s">
        <v>545</v>
      </c>
      <c r="C172" s="115">
        <v>0</v>
      </c>
      <c r="D172" s="115">
        <f t="shared" si="2"/>
        <v>4.1099999999999998E-2</v>
      </c>
      <c r="E172" s="115">
        <v>0</v>
      </c>
      <c r="F172" s="115">
        <v>0.20600000000000002</v>
      </c>
      <c r="G172" s="470">
        <v>591188.59477655136</v>
      </c>
    </row>
    <row r="173" spans="1:7">
      <c r="A173" s="484" t="s">
        <v>319</v>
      </c>
      <c r="B173" s="116" t="s">
        <v>545</v>
      </c>
      <c r="C173" s="115">
        <v>0</v>
      </c>
      <c r="D173" s="115">
        <f t="shared" si="2"/>
        <v>4.1099999999999998E-2</v>
      </c>
      <c r="E173" s="115">
        <v>0</v>
      </c>
      <c r="F173" s="115">
        <v>0.14599999999999999</v>
      </c>
      <c r="G173" s="470">
        <v>818426.55020644981</v>
      </c>
    </row>
    <row r="174" spans="1:7">
      <c r="A174" s="485" t="s">
        <v>579</v>
      </c>
      <c r="B174" s="116" t="s">
        <v>636</v>
      </c>
      <c r="C174" s="115">
        <v>0.17499999999999996</v>
      </c>
      <c r="D174" s="115">
        <f t="shared" si="2"/>
        <v>0.26825816495844779</v>
      </c>
      <c r="E174" s="115">
        <v>0.22715816495844782</v>
      </c>
      <c r="F174" s="115">
        <v>0.28000000000000003</v>
      </c>
      <c r="G174" s="470">
        <v>8969.5129333882614</v>
      </c>
    </row>
    <row r="175" spans="1:7">
      <c r="A175" s="484" t="s">
        <v>320</v>
      </c>
      <c r="B175" s="116" t="s">
        <v>551</v>
      </c>
      <c r="C175" s="115">
        <v>5.6397858294073887E-3</v>
      </c>
      <c r="D175" s="115">
        <f t="shared" si="2"/>
        <v>4.84207051415248E-2</v>
      </c>
      <c r="E175" s="115">
        <v>7.3207051415248017E-3</v>
      </c>
      <c r="F175" s="115">
        <v>0.2</v>
      </c>
      <c r="G175" s="470">
        <v>761690</v>
      </c>
    </row>
    <row r="176" spans="1:7">
      <c r="A176" s="484" t="s">
        <v>580</v>
      </c>
      <c r="B176" s="116" t="s">
        <v>552</v>
      </c>
      <c r="C176" s="115">
        <v>6.1152971836515406E-2</v>
      </c>
      <c r="D176" s="115">
        <f t="shared" si="2"/>
        <v>0.1204794106522199</v>
      </c>
      <c r="E176" s="115">
        <v>7.9379410652219901E-2</v>
      </c>
      <c r="F176" s="115">
        <v>0.18</v>
      </c>
      <c r="G176" s="470">
        <v>10492.123387793121</v>
      </c>
    </row>
    <row r="177" spans="1:7">
      <c r="A177" s="484" t="s">
        <v>581</v>
      </c>
      <c r="B177" s="116" t="s">
        <v>540</v>
      </c>
      <c r="C177" s="115">
        <v>4.2353685738490778E-2</v>
      </c>
      <c r="D177" s="115">
        <f t="shared" si="2"/>
        <v>9.6077060180470561E-2</v>
      </c>
      <c r="E177" s="115">
        <v>5.4977060180470563E-2</v>
      </c>
      <c r="F177" s="115">
        <v>0.3</v>
      </c>
      <c r="G177" s="470">
        <v>75732.311666039022</v>
      </c>
    </row>
    <row r="178" spans="1:7">
      <c r="A178" s="484" t="s">
        <v>321</v>
      </c>
      <c r="B178" s="116" t="s">
        <v>544</v>
      </c>
      <c r="C178" s="115">
        <v>1.5039428878419702E-2</v>
      </c>
      <c r="D178" s="115">
        <f t="shared" si="2"/>
        <v>6.0621880377399462E-2</v>
      </c>
      <c r="E178" s="115">
        <v>1.9521880377399468E-2</v>
      </c>
      <c r="F178" s="115">
        <v>0.2</v>
      </c>
      <c r="G178" s="470">
        <v>495423.3430496215</v>
      </c>
    </row>
    <row r="179" spans="1:7">
      <c r="A179" s="484" t="s">
        <v>582</v>
      </c>
      <c r="B179" s="116" t="s">
        <v>552</v>
      </c>
      <c r="C179" s="115">
        <v>6.1152971836515406E-2</v>
      </c>
      <c r="D179" s="115">
        <f t="shared" si="2"/>
        <v>0.1204794106522199</v>
      </c>
      <c r="E179" s="115">
        <v>7.9379410652219901E-2</v>
      </c>
      <c r="F179" s="115">
        <v>0.26860000000000001</v>
      </c>
      <c r="G179" s="470">
        <v>8341.2252414569357</v>
      </c>
    </row>
    <row r="180" spans="1:7">
      <c r="A180" s="484" t="s">
        <v>982</v>
      </c>
      <c r="B180" s="116" t="s">
        <v>547</v>
      </c>
      <c r="C180" s="115">
        <v>3.2779436317050999E-2</v>
      </c>
      <c r="D180" s="115">
        <f t="shared" si="2"/>
        <v>8.5104412948338495E-2</v>
      </c>
      <c r="E180" s="478">
        <v>4.4004412948338498E-2</v>
      </c>
      <c r="F180" s="478">
        <v>0.3</v>
      </c>
      <c r="G180" s="470">
        <v>30053.575132141956</v>
      </c>
    </row>
    <row r="181" spans="1:7">
      <c r="A181" s="484" t="s">
        <v>322</v>
      </c>
      <c r="B181" s="116" t="s">
        <v>557</v>
      </c>
      <c r="C181" s="115">
        <v>8.4707371476981555E-2</v>
      </c>
      <c r="D181" s="115">
        <f t="shared" si="2"/>
        <v>0.15105412036094112</v>
      </c>
      <c r="E181" s="115">
        <v>0.10995412036094113</v>
      </c>
      <c r="F181" s="115">
        <v>0.15</v>
      </c>
      <c r="G181" s="470">
        <v>46303.55244935424</v>
      </c>
    </row>
    <row r="182" spans="1:7">
      <c r="A182" s="484" t="s">
        <v>323</v>
      </c>
      <c r="B182" s="116" t="s">
        <v>552</v>
      </c>
      <c r="C182" s="115">
        <v>6.1152971836515406E-2</v>
      </c>
      <c r="D182" s="115">
        <f t="shared" si="2"/>
        <v>0.1204794106522199</v>
      </c>
      <c r="E182" s="115">
        <v>7.9379410652219901E-2</v>
      </c>
      <c r="F182" s="115">
        <v>0.25</v>
      </c>
      <c r="G182" s="470">
        <v>907118.43595268787</v>
      </c>
    </row>
    <row r="183" spans="1:7">
      <c r="A183" s="488" t="s">
        <v>890</v>
      </c>
      <c r="B183" s="116" t="s">
        <v>544</v>
      </c>
      <c r="C183" s="115">
        <v>1.7414075543433341E-2</v>
      </c>
      <c r="D183" s="115">
        <f t="shared" si="2"/>
        <v>6.4477344378804827E-2</v>
      </c>
      <c r="E183" s="478">
        <v>2.3377344378804829E-2</v>
      </c>
      <c r="F183" s="478">
        <v>0</v>
      </c>
      <c r="G183" s="470">
        <v>1138.8088811</v>
      </c>
    </row>
    <row r="184" spans="1:7">
      <c r="A184" s="484" t="s">
        <v>407</v>
      </c>
      <c r="B184" s="116" t="s">
        <v>552</v>
      </c>
      <c r="C184" s="115">
        <v>6.1152971836515406E-2</v>
      </c>
      <c r="D184" s="115">
        <f t="shared" si="2"/>
        <v>0.1204794106522199</v>
      </c>
      <c r="E184" s="115">
        <v>7.9379410652219901E-2</v>
      </c>
      <c r="F184" s="115">
        <v>0.3</v>
      </c>
      <c r="G184" s="470">
        <v>45567.30460847645</v>
      </c>
    </row>
    <row r="185" spans="1:7">
      <c r="A185" s="484" t="s">
        <v>324</v>
      </c>
      <c r="B185" s="116" t="s">
        <v>604</v>
      </c>
      <c r="C185" s="115">
        <v>0.11290630062401852</v>
      </c>
      <c r="D185" s="115">
        <f t="shared" si="2"/>
        <v>0.18765764606856516</v>
      </c>
      <c r="E185" s="115">
        <v>0.14655764606856517</v>
      </c>
      <c r="F185" s="115">
        <v>0.18</v>
      </c>
      <c r="G185" s="470">
        <v>160502.73725104667</v>
      </c>
    </row>
    <row r="186" spans="1:7">
      <c r="A186" s="484" t="s">
        <v>325</v>
      </c>
      <c r="B186" s="116" t="s">
        <v>539</v>
      </c>
      <c r="C186" s="115">
        <v>4.6445295065707902E-3</v>
      </c>
      <c r="D186" s="115">
        <f t="shared" si="2"/>
        <v>4.7128815998902777E-2</v>
      </c>
      <c r="E186" s="115">
        <v>6.0288159989027772E-3</v>
      </c>
      <c r="F186" s="115">
        <v>0.25</v>
      </c>
      <c r="G186" s="470">
        <v>507063.96827331249</v>
      </c>
    </row>
    <row r="187" spans="1:7">
      <c r="A187" s="484" t="s">
        <v>326</v>
      </c>
      <c r="B187" s="116" t="s">
        <v>551</v>
      </c>
      <c r="C187" s="115">
        <v>5.6397858294073887E-3</v>
      </c>
      <c r="D187" s="115">
        <f t="shared" si="2"/>
        <v>4.84207051415248E-2</v>
      </c>
      <c r="E187" s="115">
        <v>7.3207051415248017E-3</v>
      </c>
      <c r="F187" s="115">
        <v>0.25</v>
      </c>
      <c r="G187" s="470">
        <v>3089072.7224001358</v>
      </c>
    </row>
    <row r="188" spans="1:7">
      <c r="A188" s="484" t="s">
        <v>327</v>
      </c>
      <c r="B188" s="116" t="s">
        <v>545</v>
      </c>
      <c r="C188" s="115">
        <v>0</v>
      </c>
      <c r="D188" s="115">
        <f t="shared" si="2"/>
        <v>4.1099999999999998E-2</v>
      </c>
      <c r="E188" s="115">
        <v>0</v>
      </c>
      <c r="F188" s="115">
        <v>0.25</v>
      </c>
      <c r="G188" s="470">
        <v>25439700</v>
      </c>
    </row>
    <row r="189" spans="1:7">
      <c r="A189" s="484" t="s">
        <v>328</v>
      </c>
      <c r="B189" s="116" t="s">
        <v>544</v>
      </c>
      <c r="C189" s="115">
        <v>1.5039428878419702E-2</v>
      </c>
      <c r="D189" s="115">
        <f t="shared" si="2"/>
        <v>6.0621880377399462E-2</v>
      </c>
      <c r="E189" s="115">
        <v>1.9521880377399468E-2</v>
      </c>
      <c r="F189" s="115">
        <v>0.25</v>
      </c>
      <c r="G189" s="470">
        <v>71177.146197495123</v>
      </c>
    </row>
    <row r="190" spans="1:7">
      <c r="A190" s="484" t="s">
        <v>627</v>
      </c>
      <c r="B190" s="116" t="s">
        <v>549</v>
      </c>
      <c r="C190" s="115">
        <v>3.3838714976444327E-2</v>
      </c>
      <c r="D190" s="115">
        <f t="shared" si="2"/>
        <v>8.5024230849148799E-2</v>
      </c>
      <c r="E190" s="115">
        <v>4.3924230849148801E-2</v>
      </c>
      <c r="F190" s="115">
        <v>0.15</v>
      </c>
      <c r="G190" s="470">
        <v>80391.853887404897</v>
      </c>
    </row>
    <row r="191" spans="1:7">
      <c r="A191" s="484" t="s">
        <v>329</v>
      </c>
      <c r="B191" s="116" t="s">
        <v>586</v>
      </c>
      <c r="C191" s="115">
        <v>0.17499999999999999</v>
      </c>
      <c r="D191" s="115">
        <f t="shared" si="2"/>
        <v>0.26825816495844784</v>
      </c>
      <c r="E191" s="115">
        <v>0.22715816495844784</v>
      </c>
      <c r="F191" s="115">
        <v>0.34</v>
      </c>
      <c r="G191" s="470">
        <v>98400</v>
      </c>
    </row>
    <row r="192" spans="1:7">
      <c r="A192" s="484" t="s">
        <v>330</v>
      </c>
      <c r="B192" s="116" t="s">
        <v>547</v>
      </c>
      <c r="C192" s="115">
        <v>2.8309513182907677E-2</v>
      </c>
      <c r="D192" s="115">
        <f t="shared" si="2"/>
        <v>7.7847068945693126E-2</v>
      </c>
      <c r="E192" s="115">
        <v>3.6747068945693122E-2</v>
      </c>
      <c r="F192" s="115">
        <v>0.2</v>
      </c>
      <c r="G192" s="470">
        <v>408802</v>
      </c>
    </row>
    <row r="193" spans="1:7">
      <c r="A193" s="485" t="s">
        <v>891</v>
      </c>
      <c r="B193" s="116" t="s">
        <v>636</v>
      </c>
      <c r="C193" s="115">
        <v>0.1129063006240185</v>
      </c>
      <c r="D193" s="115">
        <f t="shared" si="2"/>
        <v>0.18765764606856514</v>
      </c>
      <c r="E193" s="482">
        <v>0.14655764606856514</v>
      </c>
      <c r="F193" s="478">
        <v>0.2</v>
      </c>
      <c r="G193" s="470">
        <v>21610</v>
      </c>
    </row>
    <row r="194" spans="1:7">
      <c r="A194" s="484" t="s">
        <v>331</v>
      </c>
      <c r="B194" s="116" t="s">
        <v>557</v>
      </c>
      <c r="C194" s="115">
        <v>8.4707371476981555E-2</v>
      </c>
      <c r="D194" s="115">
        <f t="shared" si="2"/>
        <v>0.15105412036094112</v>
      </c>
      <c r="E194" s="115">
        <v>0.10995412036094113</v>
      </c>
      <c r="F194" s="115">
        <v>0.35</v>
      </c>
      <c r="G194" s="470">
        <v>29163.782138341488</v>
      </c>
    </row>
    <row r="195" spans="1:7">
      <c r="A195" s="485" t="s">
        <v>583</v>
      </c>
      <c r="B195" s="116" t="s">
        <v>636</v>
      </c>
      <c r="C195" s="115">
        <v>8.4707371476981541E-2</v>
      </c>
      <c r="D195" s="115">
        <f t="shared" si="2"/>
        <v>0.15105412036094112</v>
      </c>
      <c r="E195" s="115">
        <v>0.10995412036094111</v>
      </c>
      <c r="F195" s="115">
        <v>0.25</v>
      </c>
      <c r="G195" s="470">
        <v>27366.627153085246</v>
      </c>
    </row>
    <row r="200" spans="1:7">
      <c r="A200" s="471" t="s">
        <v>335</v>
      </c>
      <c r="B200" s="472" t="s">
        <v>358</v>
      </c>
      <c r="C200" s="472" t="s">
        <v>900</v>
      </c>
      <c r="D200" s="472" t="s">
        <v>637</v>
      </c>
      <c r="E200" s="472" t="s">
        <v>901</v>
      </c>
      <c r="F200" s="78" t="s">
        <v>984</v>
      </c>
    </row>
    <row r="201" spans="1:7">
      <c r="A201" s="1" t="s">
        <v>338</v>
      </c>
      <c r="B201" s="466">
        <f>$B$1+E201</f>
        <v>0.11683734316589314</v>
      </c>
      <c r="C201" s="466">
        <v>5.834716553752646E-2</v>
      </c>
      <c r="D201" s="466">
        <v>0.27421914500863898</v>
      </c>
      <c r="E201" s="466">
        <v>7.5737343165893145E-2</v>
      </c>
      <c r="F201" s="473">
        <v>2508220.6789325164</v>
      </c>
    </row>
    <row r="202" spans="1:7">
      <c r="A202" s="1" t="s">
        <v>404</v>
      </c>
      <c r="B202" s="466">
        <f t="shared" ref="B202:B210" si="3">$B$1+E202</f>
        <v>5.5121781227330989E-2</v>
      </c>
      <c r="C202" s="466">
        <v>1.0802216663582305E-2</v>
      </c>
      <c r="D202" s="466">
        <v>0.2574084360751292</v>
      </c>
      <c r="E202" s="466">
        <v>1.4021781227330991E-2</v>
      </c>
      <c r="F202" s="473">
        <v>32948678.067337982</v>
      </c>
    </row>
    <row r="203" spans="1:7">
      <c r="A203" s="1" t="s">
        <v>340</v>
      </c>
      <c r="B203" s="466">
        <f t="shared" si="3"/>
        <v>4.1139287052754374E-2</v>
      </c>
      <c r="C203" s="466">
        <v>3.0266287074794293E-5</v>
      </c>
      <c r="D203" s="466">
        <v>0.29743620926523207</v>
      </c>
      <c r="E203" s="466">
        <v>3.9287052754376346E-5</v>
      </c>
      <c r="F203" s="473">
        <v>1942472.3523971008</v>
      </c>
    </row>
    <row r="204" spans="1:7">
      <c r="A204" s="1" t="s">
        <v>342</v>
      </c>
      <c r="B204" s="466">
        <f t="shared" si="3"/>
        <v>0.1152398876495359</v>
      </c>
      <c r="C204" s="466">
        <v>5.711650444544706E-2</v>
      </c>
      <c r="D204" s="466">
        <v>0.25228018689443577</v>
      </c>
      <c r="E204" s="466">
        <v>7.4139887649535899E-2</v>
      </c>
      <c r="F204" s="473">
        <v>869389.47891538299</v>
      </c>
    </row>
    <row r="205" spans="1:7">
      <c r="A205" s="1" t="s">
        <v>339</v>
      </c>
      <c r="B205" s="466">
        <f t="shared" si="3"/>
        <v>8.7779347378296041E-2</v>
      </c>
      <c r="C205" s="466">
        <v>3.5961224606194851E-2</v>
      </c>
      <c r="D205" s="466">
        <v>0.31553952561697912</v>
      </c>
      <c r="E205" s="466">
        <v>4.6679347378296036E-2</v>
      </c>
      <c r="F205" s="473">
        <v>5601817.8332648547</v>
      </c>
    </row>
    <row r="206" spans="1:7">
      <c r="A206" s="1" t="s">
        <v>337</v>
      </c>
      <c r="B206" s="466">
        <f t="shared" si="3"/>
        <v>7.481322634397318E-2</v>
      </c>
      <c r="C206" s="466">
        <v>2.5972276238780637E-2</v>
      </c>
      <c r="D206" s="466">
        <v>0.18308310877509817</v>
      </c>
      <c r="E206" s="466">
        <v>3.3713226343973182E-2</v>
      </c>
      <c r="F206" s="473">
        <v>5010073.2660032045</v>
      </c>
    </row>
    <row r="207" spans="1:7">
      <c r="A207" s="1" t="s">
        <v>343</v>
      </c>
      <c r="B207" s="466">
        <f t="shared" si="3"/>
        <v>5.9317417528343748E-2</v>
      </c>
      <c r="C207" s="466">
        <v>1.4034485918845662E-2</v>
      </c>
      <c r="D207" s="466">
        <v>0.18937682936327277</v>
      </c>
      <c r="E207" s="466">
        <v>1.821741752834375E-2</v>
      </c>
      <c r="F207" s="473">
        <v>3382577.6565681733</v>
      </c>
    </row>
    <row r="208" spans="1:7">
      <c r="A208" s="1" t="s">
        <v>345</v>
      </c>
      <c r="B208" s="466">
        <f t="shared" si="3"/>
        <v>4.1099999999999998E-2</v>
      </c>
      <c r="C208" s="466">
        <v>0</v>
      </c>
      <c r="D208" s="466">
        <v>0.25108814145744907</v>
      </c>
      <c r="E208" s="466">
        <v>0</v>
      </c>
      <c r="F208" s="473">
        <v>27577639.220074911</v>
      </c>
    </row>
    <row r="209" spans="1:6">
      <c r="A209" s="1" t="s">
        <v>336</v>
      </c>
      <c r="B209" s="466">
        <f t="shared" si="3"/>
        <v>5.2371232668126128E-2</v>
      </c>
      <c r="C209" s="466">
        <v>8.6832261445802719E-3</v>
      </c>
      <c r="D209" s="466">
        <v>0.24775219614916172</v>
      </c>
      <c r="E209" s="466">
        <v>1.127123266812613E-2</v>
      </c>
      <c r="F209" s="473">
        <v>20250228.834865417</v>
      </c>
    </row>
    <row r="210" spans="1:6">
      <c r="A210" s="1" t="s">
        <v>466</v>
      </c>
      <c r="B210" s="466">
        <f t="shared" si="3"/>
        <v>5.4989633671327573E-2</v>
      </c>
      <c r="C210" s="466">
        <v>1.0700411728220074E-2</v>
      </c>
      <c r="D210" s="466">
        <v>0.2524583457539919</v>
      </c>
      <c r="E210" s="466">
        <v>1.3889633671327575E-2</v>
      </c>
      <c r="F210" s="473">
        <v>100091097.38835955</v>
      </c>
    </row>
  </sheetData>
  <pageMargins left="0.75" right="0.75" top="1" bottom="1" header="0.5" footer="0.5"/>
  <pageSetup orientation="portrait"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I2" activePane="bottomRight" state="frozen"/>
      <selection pane="topRight" activeCell="B1" sqref="B1"/>
      <selection pane="bottomLeft" activeCell="A2" sqref="A2"/>
      <selection pane="bottomRight" sqref="A1:AA1048576"/>
    </sheetView>
  </sheetViews>
  <sheetFormatPr defaultColWidth="11.5" defaultRowHeight="11.4"/>
  <cols>
    <col min="1" max="1" width="23.125" customWidth="1"/>
    <col min="2" max="23" width="10.625" style="90" customWidth="1"/>
  </cols>
  <sheetData>
    <row r="1" spans="1:27" s="169" customFormat="1" ht="68.400000000000006">
      <c r="A1" s="474" t="s">
        <v>86</v>
      </c>
      <c r="B1" s="475" t="s">
        <v>158</v>
      </c>
      <c r="C1" s="476" t="s">
        <v>146</v>
      </c>
      <c r="D1" s="476" t="s">
        <v>587</v>
      </c>
      <c r="E1" s="476" t="s">
        <v>163</v>
      </c>
      <c r="F1" s="475" t="s">
        <v>147</v>
      </c>
      <c r="G1" s="475" t="s">
        <v>193</v>
      </c>
      <c r="H1" s="475" t="s">
        <v>148</v>
      </c>
      <c r="I1" s="475" t="s">
        <v>149</v>
      </c>
      <c r="J1" s="475" t="s">
        <v>150</v>
      </c>
      <c r="K1" s="475" t="s">
        <v>151</v>
      </c>
      <c r="L1" s="475" t="s">
        <v>152</v>
      </c>
      <c r="M1" s="475" t="s">
        <v>135</v>
      </c>
      <c r="N1" s="477" t="s">
        <v>89</v>
      </c>
      <c r="O1" s="475" t="s">
        <v>153</v>
      </c>
      <c r="P1" s="475" t="s">
        <v>154</v>
      </c>
      <c r="Q1" s="475" t="s">
        <v>155</v>
      </c>
      <c r="R1" s="475" t="s">
        <v>156</v>
      </c>
      <c r="S1" s="475" t="s">
        <v>157</v>
      </c>
      <c r="T1" s="475" t="s">
        <v>468</v>
      </c>
      <c r="U1" s="475" t="s">
        <v>469</v>
      </c>
      <c r="V1" s="475" t="s">
        <v>470</v>
      </c>
      <c r="W1" s="475" t="s">
        <v>471</v>
      </c>
      <c r="X1" s="474" t="s">
        <v>455</v>
      </c>
      <c r="Y1" s="474" t="s">
        <v>472</v>
      </c>
      <c r="Z1" s="474" t="s">
        <v>473</v>
      </c>
      <c r="AA1" s="475" t="s">
        <v>595</v>
      </c>
    </row>
    <row r="2" spans="1:27" ht="13.2">
      <c r="A2" s="145" t="s">
        <v>87</v>
      </c>
      <c r="B2" s="74">
        <v>57</v>
      </c>
      <c r="C2" s="146">
        <v>0.11568399999999998</v>
      </c>
      <c r="D2" s="146">
        <v>9.6130213372469048E-2</v>
      </c>
      <c r="E2" s="146">
        <v>0.31515111490453068</v>
      </c>
      <c r="F2" s="146">
        <v>0.20554353210253967</v>
      </c>
      <c r="G2" s="147">
        <v>1.1806104386629273</v>
      </c>
      <c r="H2" s="147">
        <v>1.3723256229214125</v>
      </c>
      <c r="I2" s="146">
        <v>0.10192697865438498</v>
      </c>
      <c r="J2" s="146">
        <v>0.56414425301504312</v>
      </c>
      <c r="K2" s="146">
        <v>5.3524000000000002E-2</v>
      </c>
      <c r="L2" s="146">
        <v>0.25241808479709577</v>
      </c>
      <c r="M2" s="146">
        <v>8.633158509130047E-2</v>
      </c>
      <c r="N2" s="147">
        <v>3.2834030413330759</v>
      </c>
      <c r="O2" s="147">
        <v>2.2595129005604955</v>
      </c>
      <c r="P2" s="147">
        <v>12.940312997421533</v>
      </c>
      <c r="Q2" s="147">
        <v>22.238594038328291</v>
      </c>
      <c r="R2" s="147">
        <v>5.7632981253415299</v>
      </c>
      <c r="S2" s="147">
        <v>175.73470187151344</v>
      </c>
      <c r="T2" s="146">
        <v>1.2534141364144605E-2</v>
      </c>
      <c r="U2" s="146">
        <v>1.8346746746974021E-2</v>
      </c>
      <c r="V2" s="146">
        <v>-1.6886086216883787E-2</v>
      </c>
      <c r="W2" s="146">
        <v>-9.9340600189793196E-3</v>
      </c>
      <c r="X2" s="146">
        <v>3.2541006196152036E-2</v>
      </c>
      <c r="Y2" s="146">
        <v>2.828444643801165</v>
      </c>
      <c r="Z2" s="146">
        <v>2.828444643801165</v>
      </c>
      <c r="AA2" s="148">
        <v>0.10140072310597556</v>
      </c>
    </row>
    <row r="3" spans="1:27" ht="13.2">
      <c r="A3" s="145" t="s">
        <v>638</v>
      </c>
      <c r="B3" s="74">
        <v>70</v>
      </c>
      <c r="C3" s="146">
        <v>7.5882564102564082E-2</v>
      </c>
      <c r="D3" s="146">
        <v>8.5393846789115893E-2</v>
      </c>
      <c r="E3" s="146">
        <v>0.16167717664340658</v>
      </c>
      <c r="F3" s="146">
        <v>0.15449878451886198</v>
      </c>
      <c r="G3" s="147">
        <v>0.93085354059484426</v>
      </c>
      <c r="H3" s="147">
        <v>1.0764050153356324</v>
      </c>
      <c r="I3" s="146">
        <v>8.8314630705439087E-2</v>
      </c>
      <c r="J3" s="146">
        <v>0.36402149671230677</v>
      </c>
      <c r="K3" s="146">
        <v>5.0854999999999997E-2</v>
      </c>
      <c r="L3" s="146">
        <v>0.20291777620162876</v>
      </c>
      <c r="M3" s="146">
        <v>7.8133559868173677E-2</v>
      </c>
      <c r="N3" s="147">
        <v>1.9843395804666923</v>
      </c>
      <c r="O3" s="147">
        <v>2.478314246749687</v>
      </c>
      <c r="P3" s="147">
        <v>18.488711603269998</v>
      </c>
      <c r="Q3" s="147">
        <v>28.310279485536824</v>
      </c>
      <c r="R3" s="147">
        <v>5.0771568796832156</v>
      </c>
      <c r="S3" s="147">
        <v>32.517250905909876</v>
      </c>
      <c r="T3" s="146">
        <v>0.45042764203965496</v>
      </c>
      <c r="U3" s="146">
        <v>2.8342846696895605E-2</v>
      </c>
      <c r="V3" s="146">
        <v>2.282923210385782E-2</v>
      </c>
      <c r="W3" s="146">
        <v>0.39247743028218712</v>
      </c>
      <c r="X3" s="146">
        <v>0.13191483651952815</v>
      </c>
      <c r="Y3" s="146">
        <v>0.53694697197206931</v>
      </c>
      <c r="Z3" s="146">
        <v>0.53694697197206931</v>
      </c>
      <c r="AA3" s="148">
        <v>8.7701154266332376E-2</v>
      </c>
    </row>
    <row r="4" spans="1:27" ht="13.2">
      <c r="A4" s="145" t="s">
        <v>639</v>
      </c>
      <c r="B4" s="74">
        <v>25</v>
      </c>
      <c r="C4" s="146">
        <v>2.9028333333333337E-2</v>
      </c>
      <c r="D4" s="146">
        <v>6.8956114823073109E-2</v>
      </c>
      <c r="E4" s="146">
        <v>0.1092325173386668</v>
      </c>
      <c r="F4" s="146">
        <v>0.23528767545229368</v>
      </c>
      <c r="G4" s="147">
        <v>0.64018804683047448</v>
      </c>
      <c r="H4" s="147">
        <v>1.2668401714816373</v>
      </c>
      <c r="I4" s="146">
        <v>9.7074647888155313E-2</v>
      </c>
      <c r="J4" s="146">
        <v>0.44650998921901031</v>
      </c>
      <c r="K4" s="146">
        <v>5.0854999999999997E-2</v>
      </c>
      <c r="L4" s="146">
        <v>0.61854039037606257</v>
      </c>
      <c r="M4" s="146">
        <v>6.062196095222791E-2</v>
      </c>
      <c r="N4" s="147">
        <v>1.7773199625336142</v>
      </c>
      <c r="O4" s="147">
        <v>0.90579180310273899</v>
      </c>
      <c r="P4" s="147">
        <v>6.1674965255190735</v>
      </c>
      <c r="Q4" s="147">
        <v>13.024537501330959</v>
      </c>
      <c r="R4" s="147">
        <v>2.2359420389310194</v>
      </c>
      <c r="S4" s="147">
        <v>12.658954105086503</v>
      </c>
      <c r="T4" s="146">
        <v>1.0944385248270856E-2</v>
      </c>
      <c r="U4" s="146">
        <v>0.11159925638117965</v>
      </c>
      <c r="V4" s="146">
        <v>6.7202754627620362E-2</v>
      </c>
      <c r="W4" s="146">
        <v>1.1858967293486484</v>
      </c>
      <c r="X4" s="146">
        <v>0.219363538879951</v>
      </c>
      <c r="Y4" s="146">
        <v>7.8632719088479394E-2</v>
      </c>
      <c r="Z4" s="146">
        <v>7.8632719088479353E-2</v>
      </c>
      <c r="AA4" s="148">
        <v>6.7227109104728219E-2</v>
      </c>
    </row>
    <row r="5" spans="1:27" ht="13.2">
      <c r="A5" s="145" t="s">
        <v>640</v>
      </c>
      <c r="B5" s="74">
        <v>38</v>
      </c>
      <c r="C5" s="146">
        <v>5.7186000000000001E-2</v>
      </c>
      <c r="D5" s="146">
        <v>8.7577811977779155E-2</v>
      </c>
      <c r="E5" s="146">
        <v>0.15293487788906657</v>
      </c>
      <c r="F5" s="146">
        <v>0.32165919331897802</v>
      </c>
      <c r="G5" s="147">
        <v>0.92957565005501674</v>
      </c>
      <c r="H5" s="147">
        <v>1.1946998769689117</v>
      </c>
      <c r="I5" s="146">
        <v>9.3756194340569934E-2</v>
      </c>
      <c r="J5" s="146">
        <v>0.37035509904588476</v>
      </c>
      <c r="K5" s="146">
        <v>5.0854999999999997E-2</v>
      </c>
      <c r="L5" s="146">
        <v>0.3277875013609528</v>
      </c>
      <c r="M5" s="146">
        <v>7.5526310696846052E-2</v>
      </c>
      <c r="N5" s="147">
        <v>1.7730762352050577</v>
      </c>
      <c r="O5" s="147">
        <v>1.2013803591525696</v>
      </c>
      <c r="P5" s="147">
        <v>7.9181161902182877</v>
      </c>
      <c r="Q5" s="147">
        <v>12.388401308447197</v>
      </c>
      <c r="R5" s="147">
        <v>2.5581525508953336</v>
      </c>
      <c r="S5" s="147">
        <v>18.688545427356651</v>
      </c>
      <c r="T5" s="146">
        <v>0.24650261726088157</v>
      </c>
      <c r="U5" s="146">
        <v>2.41727298617933E-2</v>
      </c>
      <c r="V5" s="146">
        <v>5.3650838666078442E-3</v>
      </c>
      <c r="W5" s="146">
        <v>-7.2858762711417155E-2</v>
      </c>
      <c r="X5" s="146">
        <v>9.204171598277805E-2</v>
      </c>
      <c r="Y5" s="146">
        <v>0.74982998278991408</v>
      </c>
      <c r="Z5" s="146">
        <v>0.74982998278991408</v>
      </c>
      <c r="AA5" s="148">
        <v>9.6042064560311724E-2</v>
      </c>
    </row>
    <row r="6" spans="1:27" ht="13.2">
      <c r="A6" s="145" t="s">
        <v>641</v>
      </c>
      <c r="B6" s="74">
        <v>34</v>
      </c>
      <c r="C6" s="146">
        <v>0.21942111111111109</v>
      </c>
      <c r="D6" s="146">
        <v>4.8197319767260507E-2</v>
      </c>
      <c r="E6" s="146">
        <v>5.1866325086608607E-2</v>
      </c>
      <c r="F6" s="146">
        <v>0.13206977576521484</v>
      </c>
      <c r="G6" s="147">
        <v>1.3040309184380587</v>
      </c>
      <c r="H6" s="147">
        <v>1.5223779065768546</v>
      </c>
      <c r="I6" s="146">
        <v>0.10882938370253531</v>
      </c>
      <c r="J6" s="146">
        <v>0.59698514250325996</v>
      </c>
      <c r="K6" s="146">
        <v>5.3524000000000002E-2</v>
      </c>
      <c r="L6" s="146">
        <v>0.23675434053330363</v>
      </c>
      <c r="M6" s="146">
        <v>9.2567584225424104E-2</v>
      </c>
      <c r="N6" s="147">
        <v>1.0487316786221139</v>
      </c>
      <c r="O6" s="147">
        <v>2.4924481910179397</v>
      </c>
      <c r="P6" s="147">
        <v>21.649291457975476</v>
      </c>
      <c r="Q6" s="147">
        <v>49.578165599480705</v>
      </c>
      <c r="R6" s="147">
        <v>4.5988812443196219</v>
      </c>
      <c r="S6" s="147">
        <v>21.120152874872904</v>
      </c>
      <c r="T6" s="146">
        <v>-2.1993841210595461E-2</v>
      </c>
      <c r="U6" s="146">
        <v>6.409275484587712E-2</v>
      </c>
      <c r="V6" s="146">
        <v>2.6576673289955756E-2</v>
      </c>
      <c r="W6" s="146">
        <v>0.81471031512595593</v>
      </c>
      <c r="X6" s="146">
        <v>9.3709081086337465E-2</v>
      </c>
      <c r="Y6" s="146">
        <v>0.35459224927693617</v>
      </c>
      <c r="Z6" s="146">
        <v>0.35459224927693622</v>
      </c>
      <c r="AA6" s="148">
        <v>5.097954162021133E-2</v>
      </c>
    </row>
    <row r="7" spans="1:27" ht="13.2">
      <c r="A7" s="145" t="s">
        <v>642</v>
      </c>
      <c r="B7" s="74">
        <v>39</v>
      </c>
      <c r="C7" s="146">
        <v>6.2846956521739161E-2</v>
      </c>
      <c r="D7" s="146">
        <v>5.3068985394390568E-2</v>
      </c>
      <c r="E7" s="146">
        <v>0.10156047044070848</v>
      </c>
      <c r="F7" s="146">
        <v>0.2795040993246159</v>
      </c>
      <c r="G7" s="147">
        <v>1.1211038704345888</v>
      </c>
      <c r="H7" s="147">
        <v>1.3444265903808044</v>
      </c>
      <c r="I7" s="146">
        <v>0.100643623157517</v>
      </c>
      <c r="J7" s="146">
        <v>0.37071964001600449</v>
      </c>
      <c r="K7" s="146">
        <v>5.0854999999999997E-2</v>
      </c>
      <c r="L7" s="146">
        <v>0.2776627158727018</v>
      </c>
      <c r="M7" s="146">
        <v>8.3289044478111765E-2</v>
      </c>
      <c r="N7" s="147">
        <v>2.0047909637588615</v>
      </c>
      <c r="O7" s="147">
        <v>0.81660915840074455</v>
      </c>
      <c r="P7" s="147">
        <v>7.0555269605485504</v>
      </c>
      <c r="Q7" s="147">
        <v>14.11643631329104</v>
      </c>
      <c r="R7" s="147">
        <v>1.9975303469056522</v>
      </c>
      <c r="S7" s="147">
        <v>39.033424628609531</v>
      </c>
      <c r="T7" s="146">
        <v>0.15450924675978886</v>
      </c>
      <c r="U7" s="146">
        <v>3.7078148075236982E-2</v>
      </c>
      <c r="V7" s="146">
        <v>3.1693603646353471E-2</v>
      </c>
      <c r="W7" s="146">
        <v>0.95183324795159374</v>
      </c>
      <c r="X7" s="146">
        <v>5.7236136729090913E-2</v>
      </c>
      <c r="Y7" s="146">
        <v>0.4536555295436519</v>
      </c>
      <c r="Z7" s="146">
        <v>0.45365552954365196</v>
      </c>
      <c r="AA7" s="148">
        <v>5.8520548536996245E-2</v>
      </c>
    </row>
    <row r="8" spans="1:27" ht="13.2">
      <c r="A8" s="145" t="s">
        <v>643</v>
      </c>
      <c r="B8" s="74">
        <v>15</v>
      </c>
      <c r="C8" s="146">
        <v>7.2753846153846155E-2</v>
      </c>
      <c r="D8" s="146">
        <v>0</v>
      </c>
      <c r="E8" s="146">
        <v>1.7809965864835952E-4</v>
      </c>
      <c r="F8" s="146">
        <v>0.15860164261163576</v>
      </c>
      <c r="G8" s="147">
        <v>0.64400511784529801</v>
      </c>
      <c r="H8" s="147">
        <v>1.0613761697933088</v>
      </c>
      <c r="I8" s="146">
        <v>8.7623303810492215E-2</v>
      </c>
      <c r="J8" s="146">
        <v>0.22510527234137442</v>
      </c>
      <c r="K8" s="146">
        <v>4.5043E-2</v>
      </c>
      <c r="L8" s="146">
        <v>0.68370660862510779</v>
      </c>
      <c r="M8" s="146">
        <v>5.0811819504918643E-2</v>
      </c>
      <c r="N8" s="147">
        <v>0.26645699933051714</v>
      </c>
      <c r="O8" s="147">
        <v>5.265879881670676</v>
      </c>
      <c r="P8" s="147" t="s">
        <v>88</v>
      </c>
      <c r="Q8" s="147" t="s">
        <v>88</v>
      </c>
      <c r="R8" s="147">
        <v>1.0492601893677032</v>
      </c>
      <c r="S8" s="147">
        <v>8.547358658097874</v>
      </c>
      <c r="T8" s="146" t="s">
        <v>88</v>
      </c>
      <c r="U8" s="146">
        <v>1.9731137380717412E-2</v>
      </c>
      <c r="V8" s="146">
        <v>1.2953142452475423E-2</v>
      </c>
      <c r="W8" s="146">
        <v>55.728776313853096</v>
      </c>
      <c r="X8" s="146">
        <v>0.14874034732315899</v>
      </c>
      <c r="Y8" s="146">
        <v>0.24337970298838549</v>
      </c>
      <c r="Z8" s="146">
        <v>0.24337970298838552</v>
      </c>
      <c r="AA8" s="148">
        <v>8.1200893217945561E-4</v>
      </c>
    </row>
    <row r="9" spans="1:27" ht="13.2">
      <c r="A9" s="145" t="s">
        <v>644</v>
      </c>
      <c r="B9" s="74">
        <v>625</v>
      </c>
      <c r="C9" s="146">
        <v>9.2156242299794702E-2</v>
      </c>
      <c r="D9" s="146">
        <v>3.6415348617892096E-8</v>
      </c>
      <c r="E9" s="146">
        <v>-5.3374958145126011E-4</v>
      </c>
      <c r="F9" s="146">
        <v>0.20724129233055669</v>
      </c>
      <c r="G9" s="147">
        <v>0.33336660673496787</v>
      </c>
      <c r="H9" s="147">
        <v>0.46115813409367462</v>
      </c>
      <c r="I9" s="146">
        <v>6.0013274168309032E-2</v>
      </c>
      <c r="J9" s="146">
        <v>0.1867735328629955</v>
      </c>
      <c r="K9" s="146">
        <v>4.5043E-2</v>
      </c>
      <c r="L9" s="146">
        <v>0.50481828844665777</v>
      </c>
      <c r="M9" s="146">
        <v>4.677137344346035E-2</v>
      </c>
      <c r="N9" s="147">
        <v>0.3671924593155293</v>
      </c>
      <c r="O9" s="147">
        <v>4.4737564903858402</v>
      </c>
      <c r="P9" s="147" t="s">
        <v>88</v>
      </c>
      <c r="Q9" s="147" t="s">
        <v>88</v>
      </c>
      <c r="R9" s="147">
        <v>1.0188589222331499</v>
      </c>
      <c r="S9" s="147">
        <v>35.966292420385749</v>
      </c>
      <c r="T9" s="146" t="s">
        <v>88</v>
      </c>
      <c r="U9" s="146">
        <v>2.7336820130708508E-2</v>
      </c>
      <c r="V9" s="146">
        <v>-0.10087904726752299</v>
      </c>
      <c r="W9" s="146" t="s">
        <v>88</v>
      </c>
      <c r="X9" s="146">
        <v>0.12142592116953591</v>
      </c>
      <c r="Y9" s="146">
        <v>0.32014617865318346</v>
      </c>
      <c r="Z9" s="146">
        <v>0.3201461786531834</v>
      </c>
      <c r="AA9" s="148">
        <v>-1.7660881241903206E-3</v>
      </c>
    </row>
    <row r="10" spans="1:27" ht="13.2">
      <c r="A10" s="145" t="s">
        <v>645</v>
      </c>
      <c r="B10" s="74">
        <v>19</v>
      </c>
      <c r="C10" s="146">
        <v>0.12062222222222224</v>
      </c>
      <c r="D10" s="146">
        <v>0.20626605729454345</v>
      </c>
      <c r="E10" s="146">
        <v>0.16670846804136458</v>
      </c>
      <c r="F10" s="146">
        <v>0.25595531935006144</v>
      </c>
      <c r="G10" s="147">
        <v>0.97026335212736425</v>
      </c>
      <c r="H10" s="147">
        <v>1.1318349126688121</v>
      </c>
      <c r="I10" s="146">
        <v>9.0864405982765351E-2</v>
      </c>
      <c r="J10" s="146">
        <v>0.4970414041193621</v>
      </c>
      <c r="K10" s="146">
        <v>5.0854999999999997E-2</v>
      </c>
      <c r="L10" s="146">
        <v>0.19656022020066688</v>
      </c>
      <c r="M10" s="146">
        <v>8.0501130833118884E-2</v>
      </c>
      <c r="N10" s="147">
        <v>0.89682311533521308</v>
      </c>
      <c r="O10" s="147">
        <v>3.8916686876869191</v>
      </c>
      <c r="P10" s="147">
        <v>14.843529532980639</v>
      </c>
      <c r="Q10" s="147">
        <v>18.678840886226705</v>
      </c>
      <c r="R10" s="147">
        <v>3.0993348768756093</v>
      </c>
      <c r="S10" s="147">
        <v>35.375901073895371</v>
      </c>
      <c r="T10" s="146">
        <v>0.17116248155736727</v>
      </c>
      <c r="U10" s="146">
        <v>7.6631776152694453E-2</v>
      </c>
      <c r="V10" s="146">
        <v>9.390305849002889E-2</v>
      </c>
      <c r="W10" s="146">
        <v>0.90812968595804455</v>
      </c>
      <c r="X10" s="146">
        <v>8.69908980857384E-2</v>
      </c>
      <c r="Y10" s="146">
        <v>0.54634665208152333</v>
      </c>
      <c r="Z10" s="146">
        <v>0.54634665208152333</v>
      </c>
      <c r="AA10" s="148">
        <v>0.20751043151831927</v>
      </c>
    </row>
    <row r="11" spans="1:27" ht="13.2">
      <c r="A11" s="145" t="s">
        <v>646</v>
      </c>
      <c r="B11" s="74">
        <v>29</v>
      </c>
      <c r="C11" s="146">
        <v>0.28579076923076918</v>
      </c>
      <c r="D11" s="146">
        <v>0.19303402977387185</v>
      </c>
      <c r="E11" s="146">
        <v>0.3065163030779624</v>
      </c>
      <c r="F11" s="146">
        <v>0.18728623048491203</v>
      </c>
      <c r="G11" s="147">
        <v>0.70183334721111912</v>
      </c>
      <c r="H11" s="147">
        <v>0.76414587542458534</v>
      </c>
      <c r="I11" s="146">
        <v>7.3950710269530928E-2</v>
      </c>
      <c r="J11" s="146">
        <v>0.42961071148670704</v>
      </c>
      <c r="K11" s="146">
        <v>5.0854999999999997E-2</v>
      </c>
      <c r="L11" s="146">
        <v>0.14615787524295451</v>
      </c>
      <c r="M11" s="146">
        <v>6.8716875642939296E-2</v>
      </c>
      <c r="N11" s="147">
        <v>1.6931990505110932</v>
      </c>
      <c r="O11" s="147">
        <v>4.164625625009446</v>
      </c>
      <c r="P11" s="147">
        <v>18.067516918352702</v>
      </c>
      <c r="Q11" s="147">
        <v>21.467253635523878</v>
      </c>
      <c r="R11" s="147">
        <v>7.4226028259444998</v>
      </c>
      <c r="S11" s="147">
        <v>33.673065255533182</v>
      </c>
      <c r="T11" s="146">
        <v>-7.1416168745672318E-2</v>
      </c>
      <c r="U11" s="146">
        <v>4.6538312568521902E-2</v>
      </c>
      <c r="V11" s="146">
        <v>2.386992815326883E-2</v>
      </c>
      <c r="W11" s="146">
        <v>0.25676455571759477</v>
      </c>
      <c r="X11" s="146">
        <v>0.30557353679830446</v>
      </c>
      <c r="Y11" s="146">
        <v>0.6638966866591276</v>
      </c>
      <c r="Z11" s="146">
        <v>0.6638966866591276</v>
      </c>
      <c r="AA11" s="148">
        <v>0.19397268289715019</v>
      </c>
    </row>
    <row r="12" spans="1:27" ht="13.2">
      <c r="A12" s="145" t="s">
        <v>647</v>
      </c>
      <c r="B12" s="74">
        <v>22</v>
      </c>
      <c r="C12" s="146">
        <v>5.4847058823529415E-2</v>
      </c>
      <c r="D12" s="146">
        <v>0.11778498155713862</v>
      </c>
      <c r="E12" s="146">
        <v>0.12063888924002568</v>
      </c>
      <c r="F12" s="146">
        <v>0.26271149782887182</v>
      </c>
      <c r="G12" s="147">
        <v>0.49975667452480371</v>
      </c>
      <c r="H12" s="147">
        <v>1.0609243999049403</v>
      </c>
      <c r="I12" s="146">
        <v>8.7602522395627255E-2</v>
      </c>
      <c r="J12" s="146">
        <v>0.38457133667076027</v>
      </c>
      <c r="K12" s="146">
        <v>5.0854999999999997E-2</v>
      </c>
      <c r="L12" s="146">
        <v>0.63820798682921376</v>
      </c>
      <c r="M12" s="146">
        <v>5.603594331400262E-2</v>
      </c>
      <c r="N12" s="147">
        <v>1.1159893806472496</v>
      </c>
      <c r="O12" s="147">
        <v>1.2533019633843616</v>
      </c>
      <c r="P12" s="147">
        <v>7.3098296438361263</v>
      </c>
      <c r="Q12" s="147">
        <v>10.673057550494407</v>
      </c>
      <c r="R12" s="147">
        <v>0.80101351287155709</v>
      </c>
      <c r="S12" s="147">
        <v>7.8167811735331334</v>
      </c>
      <c r="T12" s="146">
        <v>0.10922957427443249</v>
      </c>
      <c r="U12" s="146">
        <v>2.5150013344556445E-2</v>
      </c>
      <c r="V12" s="146">
        <v>-2.0612152442738167E-2</v>
      </c>
      <c r="W12" s="146">
        <v>2.1143668601085928</v>
      </c>
      <c r="X12" s="146">
        <v>-2.1565149058570276E-2</v>
      </c>
      <c r="Y12" s="146">
        <v>2.1958759739129407E-3</v>
      </c>
      <c r="Z12" s="146">
        <v>2.1958759739129086E-3</v>
      </c>
      <c r="AA12" s="148">
        <v>0.11731512451023196</v>
      </c>
    </row>
    <row r="13" spans="1:27" ht="13.2">
      <c r="A13" s="145" t="s">
        <v>648</v>
      </c>
      <c r="B13" s="74">
        <v>27</v>
      </c>
      <c r="C13" s="146">
        <v>0.12787473684210526</v>
      </c>
      <c r="D13" s="146">
        <v>7.7058531092326328E-3</v>
      </c>
      <c r="E13" s="146">
        <v>1.307446941021954E-3</v>
      </c>
      <c r="F13" s="146">
        <v>0.21046665127451775</v>
      </c>
      <c r="G13" s="147">
        <v>0.55077822149952105</v>
      </c>
      <c r="H13" s="147">
        <v>1.120326193984736</v>
      </c>
      <c r="I13" s="146">
        <v>9.0335004923297851E-2</v>
      </c>
      <c r="J13" s="146">
        <v>0.25213732428210645</v>
      </c>
      <c r="K13" s="146">
        <v>5.0854999999999997E-2</v>
      </c>
      <c r="L13" s="146">
        <v>0.69330765887708945</v>
      </c>
      <c r="M13" s="146">
        <v>5.4148674889421655E-2</v>
      </c>
      <c r="N13" s="147">
        <v>0.27949922437037333</v>
      </c>
      <c r="O13" s="147">
        <v>5.6097535469357611</v>
      </c>
      <c r="P13" s="147" t="s">
        <v>88</v>
      </c>
      <c r="Q13" s="147" t="s">
        <v>88</v>
      </c>
      <c r="R13" s="147">
        <v>1.6565413108416178</v>
      </c>
      <c r="S13" s="147">
        <v>222.18514648652769</v>
      </c>
      <c r="T13" s="146" t="s">
        <v>88</v>
      </c>
      <c r="U13" s="146">
        <v>3.4125847634679171E-2</v>
      </c>
      <c r="V13" s="146">
        <v>1.6766162791348155E-2</v>
      </c>
      <c r="W13" s="146">
        <v>56.433655889964861</v>
      </c>
      <c r="X13" s="146">
        <v>0.10413110832014963</v>
      </c>
      <c r="Y13" s="146">
        <v>0.4352511082051424</v>
      </c>
      <c r="Z13" s="146">
        <v>0.43525110820514246</v>
      </c>
      <c r="AA13" s="148">
        <v>5.7932474418426055E-3</v>
      </c>
    </row>
    <row r="14" spans="1:27" ht="13.2">
      <c r="A14" s="145" t="s">
        <v>649</v>
      </c>
      <c r="B14" s="74">
        <v>44</v>
      </c>
      <c r="C14" s="146">
        <v>6.4077647058823517E-2</v>
      </c>
      <c r="D14" s="146">
        <v>0.13549668839875367</v>
      </c>
      <c r="E14" s="146">
        <v>0.25267057444947799</v>
      </c>
      <c r="F14" s="146">
        <v>0.24749103744997217</v>
      </c>
      <c r="G14" s="147">
        <v>1.2090471865786552</v>
      </c>
      <c r="H14" s="147">
        <v>1.3177985305249351</v>
      </c>
      <c r="I14" s="146">
        <v>9.9418732404147017E-2</v>
      </c>
      <c r="J14" s="146">
        <v>0.28715879840268466</v>
      </c>
      <c r="K14" s="146">
        <v>5.0854999999999997E-2</v>
      </c>
      <c r="L14" s="146">
        <v>0.15361123144803443</v>
      </c>
      <c r="M14" s="146">
        <v>9.0005822872010727E-2</v>
      </c>
      <c r="N14" s="147">
        <v>2.2882186586804418</v>
      </c>
      <c r="O14" s="147">
        <v>2.1109365215921261</v>
      </c>
      <c r="P14" s="147">
        <v>12.010468803767779</v>
      </c>
      <c r="Q14" s="147">
        <v>15.394243623712891</v>
      </c>
      <c r="R14" s="147">
        <v>4.735200284670956</v>
      </c>
      <c r="S14" s="147">
        <v>24.847889315631068</v>
      </c>
      <c r="T14" s="146">
        <v>0.18356211311341869</v>
      </c>
      <c r="U14" s="146">
        <v>3.2512733848203627E-2</v>
      </c>
      <c r="V14" s="146">
        <v>2.4513125773923429E-2</v>
      </c>
      <c r="W14" s="146">
        <v>-7.6166544925225102E-3</v>
      </c>
      <c r="X14" s="146">
        <v>0.21354650605206582</v>
      </c>
      <c r="Y14" s="146">
        <v>0.29019405797616848</v>
      </c>
      <c r="Z14" s="146">
        <v>0.29019405797616848</v>
      </c>
      <c r="AA14" s="148">
        <v>0.13773258950466172</v>
      </c>
    </row>
    <row r="15" spans="1:27" ht="13.2">
      <c r="A15" s="145" t="s">
        <v>650</v>
      </c>
      <c r="B15" s="74">
        <v>162</v>
      </c>
      <c r="C15" s="146">
        <v>6.6924269662921379E-2</v>
      </c>
      <c r="D15" s="146">
        <v>0.11098788170854047</v>
      </c>
      <c r="E15" s="146">
        <v>0.27452359974428153</v>
      </c>
      <c r="F15" s="146">
        <v>0.24242512766060723</v>
      </c>
      <c r="G15" s="147">
        <v>0.92964265743301178</v>
      </c>
      <c r="H15" s="147">
        <v>1.0221017216409709</v>
      </c>
      <c r="I15" s="146">
        <v>8.5816679195484663E-2</v>
      </c>
      <c r="J15" s="146">
        <v>0.41290054994468384</v>
      </c>
      <c r="K15" s="146">
        <v>5.0854999999999997E-2</v>
      </c>
      <c r="L15" s="146">
        <v>0.15210606535531057</v>
      </c>
      <c r="M15" s="146">
        <v>7.8564957246433781E-2</v>
      </c>
      <c r="N15" s="147">
        <v>2.7218927299604339</v>
      </c>
      <c r="O15" s="147">
        <v>2.6819987829385279</v>
      </c>
      <c r="P15" s="147">
        <v>16.123377912677118</v>
      </c>
      <c r="Q15" s="147">
        <v>23.493439699858502</v>
      </c>
      <c r="R15" s="147">
        <v>5.5355120575616938</v>
      </c>
      <c r="S15" s="147">
        <v>86.899382361961813</v>
      </c>
      <c r="T15" s="146">
        <v>0.13484425179191181</v>
      </c>
      <c r="U15" s="146">
        <v>2.9848449272908677E-2</v>
      </c>
      <c r="V15" s="146">
        <v>1.6940121240038436E-2</v>
      </c>
      <c r="W15" s="146">
        <v>0.25446821033167139</v>
      </c>
      <c r="X15" s="146">
        <v>0.1399754737551486</v>
      </c>
      <c r="Y15" s="146">
        <v>0.59783007780719277</v>
      </c>
      <c r="Z15" s="146">
        <v>0.59783007780719277</v>
      </c>
      <c r="AA15" s="148">
        <v>0.11307358791595411</v>
      </c>
    </row>
    <row r="16" spans="1:27" ht="13.2">
      <c r="A16" s="145" t="s">
        <v>651</v>
      </c>
      <c r="B16" s="74">
        <v>10</v>
      </c>
      <c r="C16" s="146">
        <v>0.16231666666666669</v>
      </c>
      <c r="D16" s="146">
        <v>0.19465081924755748</v>
      </c>
      <c r="E16" s="146">
        <v>0.11311872163563386</v>
      </c>
      <c r="F16" s="146">
        <v>0.25555176669754759</v>
      </c>
      <c r="G16" s="147">
        <v>0.73562954032076278</v>
      </c>
      <c r="H16" s="147">
        <v>1.2767983158980267</v>
      </c>
      <c r="I16" s="146">
        <v>9.7532722531309235E-2</v>
      </c>
      <c r="J16" s="146">
        <v>0.3300530419558696</v>
      </c>
      <c r="K16" s="146">
        <v>5.0854999999999997E-2</v>
      </c>
      <c r="L16" s="146">
        <v>0.50426003463258229</v>
      </c>
      <c r="M16" s="146">
        <v>6.7583976535791179E-2</v>
      </c>
      <c r="N16" s="147">
        <v>0.77672236932259209</v>
      </c>
      <c r="O16" s="147">
        <v>2.5465853835816081</v>
      </c>
      <c r="P16" s="147">
        <v>7.8008723610498603</v>
      </c>
      <c r="Q16" s="147">
        <v>13.348955942597875</v>
      </c>
      <c r="R16" s="147">
        <v>2.063094529414669</v>
      </c>
      <c r="S16" s="147">
        <v>16.12065991866249</v>
      </c>
      <c r="T16" s="146">
        <v>-9.7741192310436191E-4</v>
      </c>
      <c r="U16" s="146">
        <v>0.14079353806475833</v>
      </c>
      <c r="V16" s="146">
        <v>1.6512641327761278E-2</v>
      </c>
      <c r="W16" s="146">
        <v>0.15767366778442643</v>
      </c>
      <c r="X16" s="146">
        <v>0.19466771140821634</v>
      </c>
      <c r="Y16" s="146">
        <v>0.21927067291667543</v>
      </c>
      <c r="Z16" s="146">
        <v>0.21927067291667546</v>
      </c>
      <c r="AA16" s="148">
        <v>0.19087795085663556</v>
      </c>
    </row>
    <row r="17" spans="1:27" ht="13.2">
      <c r="A17" s="145" t="s">
        <v>607</v>
      </c>
      <c r="B17" s="74">
        <v>32</v>
      </c>
      <c r="C17" s="146">
        <v>0.11316100000000001</v>
      </c>
      <c r="D17" s="146">
        <v>7.8809382448858323E-2</v>
      </c>
      <c r="E17" s="146">
        <v>0.11808931523559212</v>
      </c>
      <c r="F17" s="146">
        <v>0.23971308008564993</v>
      </c>
      <c r="G17" s="147">
        <v>0.87469078478798268</v>
      </c>
      <c r="H17" s="147">
        <v>1.096267077331708</v>
      </c>
      <c r="I17" s="146">
        <v>8.9228285557258563E-2</v>
      </c>
      <c r="J17" s="146">
        <v>0.38924523542650602</v>
      </c>
      <c r="K17" s="146">
        <v>5.0854999999999997E-2</v>
      </c>
      <c r="L17" s="146">
        <v>0.31354657676699077</v>
      </c>
      <c r="M17" s="146">
        <v>7.3210120441106613E-2</v>
      </c>
      <c r="N17" s="147">
        <v>1.6175128141587387</v>
      </c>
      <c r="O17" s="147">
        <v>1.1499985705299101</v>
      </c>
      <c r="P17" s="147">
        <v>8.0995322699832801</v>
      </c>
      <c r="Q17" s="147">
        <v>14.05606834124257</v>
      </c>
      <c r="R17" s="147">
        <v>1.9757813391316583</v>
      </c>
      <c r="S17" s="147">
        <v>12.407994201775024</v>
      </c>
      <c r="T17" s="146">
        <v>0.14739172149447363</v>
      </c>
      <c r="U17" s="146">
        <v>5.5075323588956941E-2</v>
      </c>
      <c r="V17" s="146">
        <v>3.0793498175279994E-2</v>
      </c>
      <c r="W17" s="146">
        <v>0.17366700473212501</v>
      </c>
      <c r="X17" s="146">
        <v>8.8946041576985921E-2</v>
      </c>
      <c r="Y17" s="146">
        <v>1.3126657214952435</v>
      </c>
      <c r="Z17" s="146">
        <v>1.3126657214952435</v>
      </c>
      <c r="AA17" s="148">
        <v>8.0172535926678418E-2</v>
      </c>
    </row>
    <row r="18" spans="1:27" ht="13.2">
      <c r="A18" s="145" t="s">
        <v>652</v>
      </c>
      <c r="B18" s="74">
        <v>4</v>
      </c>
      <c r="C18" s="146">
        <v>-7.5500000000000038E-3</v>
      </c>
      <c r="D18" s="146">
        <v>1.5232688891083214E-2</v>
      </c>
      <c r="E18" s="146">
        <v>1.5720852535763625E-2</v>
      </c>
      <c r="F18" s="146">
        <v>0.44293366295838488</v>
      </c>
      <c r="G18" s="147">
        <v>0.81346085769352849</v>
      </c>
      <c r="H18" s="147">
        <v>1.1332797311390761</v>
      </c>
      <c r="I18" s="146">
        <v>9.0930867632397494E-2</v>
      </c>
      <c r="J18" s="146">
        <v>0.37242278384437877</v>
      </c>
      <c r="K18" s="146">
        <v>5.0854999999999997E-2</v>
      </c>
      <c r="L18" s="146">
        <v>0.41012862019663632</v>
      </c>
      <c r="M18" s="146">
        <v>6.9280334592114287E-2</v>
      </c>
      <c r="N18" s="147">
        <v>1.2786447256557913</v>
      </c>
      <c r="O18" s="147">
        <v>1.1597139266470613</v>
      </c>
      <c r="P18" s="147">
        <v>15.396063877133198</v>
      </c>
      <c r="Q18" s="147">
        <v>73.615159171578384</v>
      </c>
      <c r="R18" s="147">
        <v>1.9746042510627253</v>
      </c>
      <c r="S18" s="147">
        <v>30.527729815250837</v>
      </c>
      <c r="T18" s="146">
        <v>0.17621388838495999</v>
      </c>
      <c r="U18" s="146">
        <v>4.511777011805717E-2</v>
      </c>
      <c r="V18" s="146">
        <v>-5.7903354329949218E-3</v>
      </c>
      <c r="W18" s="146">
        <v>-5.556514170837235</v>
      </c>
      <c r="X18" s="146">
        <v>-2.3605004225089869E-2</v>
      </c>
      <c r="Y18" s="146">
        <v>1.037037037037037E-2</v>
      </c>
      <c r="Z18" s="146">
        <v>1.0370370370370363E-2</v>
      </c>
      <c r="AA18" s="148">
        <v>1.4639496833568348E-2</v>
      </c>
    </row>
    <row r="19" spans="1:27" ht="13.2">
      <c r="A19" s="145" t="s">
        <v>608</v>
      </c>
      <c r="B19" s="74">
        <v>68</v>
      </c>
      <c r="C19" s="146">
        <v>7.3318750000000016E-2</v>
      </c>
      <c r="D19" s="146">
        <v>0.13090390749762712</v>
      </c>
      <c r="E19" s="146">
        <v>0.13505275648152232</v>
      </c>
      <c r="F19" s="146">
        <v>0.18266700211687126</v>
      </c>
      <c r="G19" s="147">
        <v>0.93813574342911976</v>
      </c>
      <c r="H19" s="147">
        <v>1.0873832852797658</v>
      </c>
      <c r="I19" s="146">
        <v>8.8819631122869225E-2</v>
      </c>
      <c r="J19" s="146">
        <v>0.36600539277751015</v>
      </c>
      <c r="K19" s="146">
        <v>5.0854999999999997E-2</v>
      </c>
      <c r="L19" s="146">
        <v>0.21148852013848732</v>
      </c>
      <c r="M19" s="146">
        <v>7.8101735296179364E-2</v>
      </c>
      <c r="N19" s="147">
        <v>1.15732408251221</v>
      </c>
      <c r="O19" s="147">
        <v>2.6791416225374163</v>
      </c>
      <c r="P19" s="147">
        <v>12.849678147864511</v>
      </c>
      <c r="Q19" s="147">
        <v>19.995555424351952</v>
      </c>
      <c r="R19" s="147">
        <v>2.67276074057165</v>
      </c>
      <c r="S19" s="147">
        <v>60.901134435897625</v>
      </c>
      <c r="T19" s="146">
        <v>0.22747765886505658</v>
      </c>
      <c r="U19" s="146">
        <v>8.4587824919642812E-2</v>
      </c>
      <c r="V19" s="146">
        <v>9.8115172777548026E-2</v>
      </c>
      <c r="W19" s="146">
        <v>1.0348496791866486</v>
      </c>
      <c r="X19" s="146">
        <v>0.14943273384769459</v>
      </c>
      <c r="Y19" s="146">
        <v>0.33249927210754887</v>
      </c>
      <c r="Z19" s="146">
        <v>0.33249927210754882</v>
      </c>
      <c r="AA19" s="148">
        <v>0.1304736636407548</v>
      </c>
    </row>
    <row r="20" spans="1:27" ht="13.2">
      <c r="A20" s="145" t="s">
        <v>653</v>
      </c>
      <c r="B20" s="74">
        <v>18</v>
      </c>
      <c r="C20" s="146">
        <v>5.559999999999999E-2</v>
      </c>
      <c r="D20" s="146">
        <v>0.20509759118732937</v>
      </c>
      <c r="E20" s="146">
        <v>0.29497550992564786</v>
      </c>
      <c r="F20" s="146">
        <v>0.13126063867339174</v>
      </c>
      <c r="G20" s="147">
        <v>1.2427250283125129</v>
      </c>
      <c r="H20" s="147">
        <v>1.2707580825145446</v>
      </c>
      <c r="I20" s="146">
        <v>9.7254871795669051E-2</v>
      </c>
      <c r="J20" s="146">
        <v>0.55692259899700314</v>
      </c>
      <c r="K20" s="146">
        <v>5.3524000000000002E-2</v>
      </c>
      <c r="L20" s="146">
        <v>0.18396815851589854</v>
      </c>
      <c r="M20" s="146">
        <v>8.6748105912023726E-2</v>
      </c>
      <c r="N20" s="147">
        <v>1.4739520943470472</v>
      </c>
      <c r="O20" s="147">
        <v>1.329263856564374</v>
      </c>
      <c r="P20" s="147">
        <v>2.7528990930238861</v>
      </c>
      <c r="Q20" s="147">
        <v>4.0368281544460292</v>
      </c>
      <c r="R20" s="147">
        <v>1.7901440274639588</v>
      </c>
      <c r="S20" s="147">
        <v>91.912422983759726</v>
      </c>
      <c r="T20" s="146">
        <v>6.1300782894183045E-2</v>
      </c>
      <c r="U20" s="146">
        <v>9.3046119803254237E-2</v>
      </c>
      <c r="V20" s="146">
        <v>1.5940120019722653E-2</v>
      </c>
      <c r="W20" s="146">
        <v>0.13283664539899678</v>
      </c>
      <c r="X20" s="146">
        <v>0.29069215958320355</v>
      </c>
      <c r="Y20" s="146">
        <v>0.15155665948302102</v>
      </c>
      <c r="Z20" s="146">
        <v>0.15155665948302099</v>
      </c>
      <c r="AA20" s="148">
        <v>0.20552884089594509</v>
      </c>
    </row>
    <row r="21" spans="1:27" ht="13.2">
      <c r="A21" s="145" t="s">
        <v>480</v>
      </c>
      <c r="B21" s="74">
        <v>72</v>
      </c>
      <c r="C21" s="146">
        <v>0.10926473684210528</v>
      </c>
      <c r="D21" s="146">
        <v>6.9781750755169278E-2</v>
      </c>
      <c r="E21" s="146">
        <v>0.24167411086330845</v>
      </c>
      <c r="F21" s="146">
        <v>0.18859681218443272</v>
      </c>
      <c r="G21" s="147">
        <v>0.85869750711737747</v>
      </c>
      <c r="H21" s="147">
        <v>0.99732353782806837</v>
      </c>
      <c r="I21" s="146">
        <v>8.4676882740091136E-2</v>
      </c>
      <c r="J21" s="146">
        <v>0.49612772702274627</v>
      </c>
      <c r="K21" s="146">
        <v>5.0854999999999997E-2</v>
      </c>
      <c r="L21" s="146">
        <v>0.22566035729965525</v>
      </c>
      <c r="M21" s="146">
        <v>7.4175635228796638E-2</v>
      </c>
      <c r="N21" s="147">
        <v>3.5867521403435378</v>
      </c>
      <c r="O21" s="147">
        <v>1.3742206681743261</v>
      </c>
      <c r="P21" s="147">
        <v>12.610910959671749</v>
      </c>
      <c r="Q21" s="147">
        <v>18.862943171557092</v>
      </c>
      <c r="R21" s="147">
        <v>4.3745780390573517</v>
      </c>
      <c r="S21" s="147">
        <v>76.132199815532758</v>
      </c>
      <c r="T21" s="146">
        <v>0.13853121727988529</v>
      </c>
      <c r="U21" s="146">
        <v>1.2325750009423415E-2</v>
      </c>
      <c r="V21" s="146">
        <v>8.2343910033029176E-3</v>
      </c>
      <c r="W21" s="146">
        <v>0.23795588571918946</v>
      </c>
      <c r="X21" s="146">
        <v>0.18772570752648005</v>
      </c>
      <c r="Y21" s="146">
        <v>0.57072644434029085</v>
      </c>
      <c r="Z21" s="146">
        <v>0.57072644434029085</v>
      </c>
      <c r="AA21" s="148">
        <v>7.303438673884674E-2</v>
      </c>
    </row>
    <row r="22" spans="1:27" ht="13.2">
      <c r="A22" s="145" t="s">
        <v>654</v>
      </c>
      <c r="B22" s="74">
        <v>36</v>
      </c>
      <c r="C22" s="146">
        <v>2.3118148148148145E-2</v>
      </c>
      <c r="D22" s="146">
        <v>0.21063899949335566</v>
      </c>
      <c r="E22" s="146">
        <v>0.37798197124632166</v>
      </c>
      <c r="F22" s="146">
        <v>0.146118607992441</v>
      </c>
      <c r="G22" s="147">
        <v>1.1003543807483607</v>
      </c>
      <c r="H22" s="147">
        <v>1.1329223650294353</v>
      </c>
      <c r="I22" s="146">
        <v>9.0914428791354029E-2</v>
      </c>
      <c r="J22" s="146">
        <v>0.38898164531276785</v>
      </c>
      <c r="K22" s="146">
        <v>5.0854999999999997E-2</v>
      </c>
      <c r="L22" s="146">
        <v>5.7417446747048767E-2</v>
      </c>
      <c r="M22" s="146">
        <v>8.7884327608428986E-2</v>
      </c>
      <c r="N22" s="147">
        <v>1.9227871093142761</v>
      </c>
      <c r="O22" s="147">
        <v>5.5117305732812101</v>
      </c>
      <c r="P22" s="147">
        <v>21.831632280697495</v>
      </c>
      <c r="Q22" s="147">
        <v>25.971419409717786</v>
      </c>
      <c r="R22" s="147">
        <v>30.982880033408666</v>
      </c>
      <c r="S22" s="147">
        <v>31.833390779893396</v>
      </c>
      <c r="T22" s="146">
        <v>-9.8693444874868835E-2</v>
      </c>
      <c r="U22" s="146">
        <v>3.0597659642645401E-2</v>
      </c>
      <c r="V22" s="146">
        <v>9.0047013395217704E-3</v>
      </c>
      <c r="W22" s="146">
        <v>9.2441186690531002E-2</v>
      </c>
      <c r="X22" s="146">
        <v>-1.2342890084991339E-5</v>
      </c>
      <c r="Y22" s="146">
        <v>0.17443899392066986</v>
      </c>
      <c r="Z22" s="146">
        <v>0.17443899392066986</v>
      </c>
      <c r="AA22" s="148">
        <v>0.21483117342726249</v>
      </c>
    </row>
    <row r="23" spans="1:27" ht="13.2">
      <c r="A23" s="145" t="s">
        <v>655</v>
      </c>
      <c r="B23" s="74">
        <v>45</v>
      </c>
      <c r="C23" s="146">
        <v>5.6463333333333331E-2</v>
      </c>
      <c r="D23" s="146">
        <v>0.15166241342752021</v>
      </c>
      <c r="E23" s="146">
        <v>0.20159249439191199</v>
      </c>
      <c r="F23" s="146">
        <v>0.22402464152690749</v>
      </c>
      <c r="G23" s="147">
        <v>0.99064326403264391</v>
      </c>
      <c r="H23" s="147">
        <v>1.1279620532844743</v>
      </c>
      <c r="I23" s="146">
        <v>9.0686254451085815E-2</v>
      </c>
      <c r="J23" s="146">
        <v>0.37831296869001413</v>
      </c>
      <c r="K23" s="146">
        <v>5.0854999999999997E-2</v>
      </c>
      <c r="L23" s="146">
        <v>0.19808486343548007</v>
      </c>
      <c r="M23" s="146">
        <v>8.0277884420175791E-2</v>
      </c>
      <c r="N23" s="147">
        <v>1.5346635011566743</v>
      </c>
      <c r="O23" s="147">
        <v>2.1404639541029313</v>
      </c>
      <c r="P23" s="147">
        <v>11.117699163080328</v>
      </c>
      <c r="Q23" s="147">
        <v>14.030171302852379</v>
      </c>
      <c r="R23" s="147">
        <v>3.9177656869750295</v>
      </c>
      <c r="S23" s="147">
        <v>33.885915841704517</v>
      </c>
      <c r="T23" s="146">
        <v>0.19378020407952468</v>
      </c>
      <c r="U23" s="146">
        <v>4.8387580949684664E-2</v>
      </c>
      <c r="V23" s="146">
        <v>3.0449081725833525E-2</v>
      </c>
      <c r="W23" s="146">
        <v>0.51983177890354682</v>
      </c>
      <c r="X23" s="146">
        <v>0.27112218233648655</v>
      </c>
      <c r="Y23" s="146">
        <v>0.23711309103177794</v>
      </c>
      <c r="Z23" s="146">
        <v>0.23711309103177791</v>
      </c>
      <c r="AA23" s="148">
        <v>0.15403954967556815</v>
      </c>
    </row>
    <row r="24" spans="1:27" ht="13.2">
      <c r="A24" s="145" t="s">
        <v>656</v>
      </c>
      <c r="B24" s="74">
        <v>23</v>
      </c>
      <c r="C24" s="146">
        <v>6.9406363636363641E-2</v>
      </c>
      <c r="D24" s="146">
        <v>0.22931748516386233</v>
      </c>
      <c r="E24" s="146">
        <v>0.20395197737613438</v>
      </c>
      <c r="F24" s="146">
        <v>0.17651836241260768</v>
      </c>
      <c r="G24" s="147">
        <v>1.0923486152033832</v>
      </c>
      <c r="H24" s="147">
        <v>1.1948544445210565</v>
      </c>
      <c r="I24" s="146">
        <v>9.3763304447968598E-2</v>
      </c>
      <c r="J24" s="146">
        <v>0.5225050340018127</v>
      </c>
      <c r="K24" s="146">
        <v>5.3524000000000002E-2</v>
      </c>
      <c r="L24" s="146">
        <v>0.1607420785589129</v>
      </c>
      <c r="M24" s="146">
        <v>8.5144265258040405E-2</v>
      </c>
      <c r="N24" s="147">
        <v>0.93313862274715875</v>
      </c>
      <c r="O24" s="147">
        <v>2.4285333531334716</v>
      </c>
      <c r="P24" s="147">
        <v>8.9346371681963657</v>
      </c>
      <c r="Q24" s="147">
        <v>10.510496860016763</v>
      </c>
      <c r="R24" s="147">
        <v>1.8732585871718974</v>
      </c>
      <c r="S24" s="147">
        <v>13.800008820068092</v>
      </c>
      <c r="T24" s="146">
        <v>5.0020771018464777E-2</v>
      </c>
      <c r="U24" s="146">
        <v>4.4830248929640291E-2</v>
      </c>
      <c r="V24" s="146">
        <v>4.6101030377602686E-2</v>
      </c>
      <c r="W24" s="146">
        <v>0.25080420620828026</v>
      </c>
      <c r="X24" s="146">
        <v>0.15867710900985088</v>
      </c>
      <c r="Y24" s="146">
        <v>8.1605407127575316E-2</v>
      </c>
      <c r="Z24" s="146">
        <v>8.1605407127575358E-2</v>
      </c>
      <c r="AA24" s="148">
        <v>0.23068357288812125</v>
      </c>
    </row>
    <row r="25" spans="1:27" ht="13.2">
      <c r="A25" s="145" t="s">
        <v>657</v>
      </c>
      <c r="B25" s="74">
        <v>572</v>
      </c>
      <c r="C25" s="146">
        <v>0.18950851190476192</v>
      </c>
      <c r="D25" s="146">
        <v>1.0772125793898567E-2</v>
      </c>
      <c r="E25" s="146">
        <v>1.5551579144381567E-2</v>
      </c>
      <c r="F25" s="146">
        <v>0.16414119075344816</v>
      </c>
      <c r="G25" s="147">
        <v>1.0890964696256169</v>
      </c>
      <c r="H25" s="147">
        <v>1.1233547439492362</v>
      </c>
      <c r="I25" s="146">
        <v>9.0474318221664865E-2</v>
      </c>
      <c r="J25" s="146">
        <v>0.6198094773831897</v>
      </c>
      <c r="K25" s="146">
        <v>5.3524000000000002E-2</v>
      </c>
      <c r="L25" s="146">
        <v>0.14082267604024337</v>
      </c>
      <c r="M25" s="146">
        <v>8.3386527301056959E-2</v>
      </c>
      <c r="N25" s="147">
        <v>0.40681193428310364</v>
      </c>
      <c r="O25" s="147">
        <v>6.8880470352138108</v>
      </c>
      <c r="P25" s="147">
        <v>13.519816800069261</v>
      </c>
      <c r="Q25" s="147" t="s">
        <v>88</v>
      </c>
      <c r="R25" s="147">
        <v>6.135291677851848</v>
      </c>
      <c r="S25" s="147">
        <v>30.391605386786914</v>
      </c>
      <c r="T25" s="146">
        <v>9.9810417479148511E-2</v>
      </c>
      <c r="U25" s="146">
        <v>3.8231005472018041E-2</v>
      </c>
      <c r="V25" s="146">
        <v>3.468871974612317E-2</v>
      </c>
      <c r="W25" s="146" t="s">
        <v>88</v>
      </c>
      <c r="X25" s="146">
        <v>-0.11590040227481527</v>
      </c>
      <c r="Y25" s="146">
        <v>8.849667367975925E-4</v>
      </c>
      <c r="Z25" s="146">
        <v>8.8496673679760995E-4</v>
      </c>
      <c r="AA25" s="148">
        <v>3.8302994165288748E-2</v>
      </c>
    </row>
    <row r="26" spans="1:27" ht="13.2">
      <c r="A26" s="145" t="s">
        <v>658</v>
      </c>
      <c r="B26" s="74">
        <v>245</v>
      </c>
      <c r="C26" s="146">
        <v>0.41537666666666667</v>
      </c>
      <c r="D26" s="146">
        <v>0.1816047184019137</v>
      </c>
      <c r="E26" s="146">
        <v>0.13375270622156929</v>
      </c>
      <c r="F26" s="146">
        <v>0.14924679402968208</v>
      </c>
      <c r="G26" s="147">
        <v>0.94399768677855111</v>
      </c>
      <c r="H26" s="147">
        <v>1.0269619624933468</v>
      </c>
      <c r="I26" s="146">
        <v>8.6040250274693947E-2</v>
      </c>
      <c r="J26" s="146">
        <v>0.6530341383257241</v>
      </c>
      <c r="K26" s="146">
        <v>6.0879000000000003E-2</v>
      </c>
      <c r="L26" s="146">
        <v>0.13828827500212321</v>
      </c>
      <c r="M26" s="146">
        <v>8.0456031403846245E-2</v>
      </c>
      <c r="N26" s="147">
        <v>0.64296181942943686</v>
      </c>
      <c r="O26" s="147">
        <v>5.0792398099384464</v>
      </c>
      <c r="P26" s="147">
        <v>16.617974116905632</v>
      </c>
      <c r="Q26" s="147">
        <v>27.428480363585575</v>
      </c>
      <c r="R26" s="147">
        <v>5.1951082931130115</v>
      </c>
      <c r="S26" s="147">
        <v>57.625877349549583</v>
      </c>
      <c r="T26" s="146">
        <v>0.22369121415285234</v>
      </c>
      <c r="U26" s="146">
        <v>5.3053463594413347E-2</v>
      </c>
      <c r="V26" s="146">
        <v>0.1297351632612678</v>
      </c>
      <c r="W26" s="146">
        <v>0.85392631754367632</v>
      </c>
      <c r="X26" s="146">
        <v>0.17320808107952249</v>
      </c>
      <c r="Y26" s="146">
        <v>0.69958361802549229</v>
      </c>
      <c r="Z26" s="146">
        <v>0.69958361802549229</v>
      </c>
      <c r="AA26" s="148">
        <v>0.21327300590991013</v>
      </c>
    </row>
    <row r="27" spans="1:27" ht="13.2">
      <c r="A27" s="145" t="s">
        <v>659</v>
      </c>
      <c r="B27" s="74">
        <v>31</v>
      </c>
      <c r="C27" s="146">
        <v>4.1181874999999993E-2</v>
      </c>
      <c r="D27" s="146">
        <v>5.8152137730714419E-2</v>
      </c>
      <c r="E27" s="146">
        <v>5.9280308281626143E-2</v>
      </c>
      <c r="F27" s="146">
        <v>0.32156187378758871</v>
      </c>
      <c r="G27" s="147">
        <v>1.1467394309363781</v>
      </c>
      <c r="H27" s="147">
        <v>1.2251855531141391</v>
      </c>
      <c r="I27" s="146">
        <v>9.5158535443250397E-2</v>
      </c>
      <c r="J27" s="146">
        <v>0.43781301036597053</v>
      </c>
      <c r="K27" s="146">
        <v>5.0854999999999997E-2</v>
      </c>
      <c r="L27" s="146">
        <v>0.16383109786985448</v>
      </c>
      <c r="M27" s="146">
        <v>8.5817330971523803E-2</v>
      </c>
      <c r="N27" s="147">
        <v>1.2894168928698895</v>
      </c>
      <c r="O27" s="147">
        <v>2.3038717172014334</v>
      </c>
      <c r="P27" s="147">
        <v>10.79885515422891</v>
      </c>
      <c r="Q27" s="147">
        <v>31.741208061314889</v>
      </c>
      <c r="R27" s="147">
        <v>2.7160288491807298</v>
      </c>
      <c r="S27" s="147">
        <v>34.573469860937713</v>
      </c>
      <c r="T27" s="146">
        <v>9.0768336455339341E-2</v>
      </c>
      <c r="U27" s="146">
        <v>2.9240501681576912E-2</v>
      </c>
      <c r="V27" s="146">
        <v>3.3245288819538331E-3</v>
      </c>
      <c r="W27" s="146">
        <v>0.97503980207358554</v>
      </c>
      <c r="X27" s="146">
        <v>1.6746880536467494E-2</v>
      </c>
      <c r="Y27" s="146">
        <v>0.38078808076847676</v>
      </c>
      <c r="Z27" s="146">
        <v>0.3807880807684767</v>
      </c>
      <c r="AA27" s="148">
        <v>5.1629989846851708E-2</v>
      </c>
    </row>
    <row r="28" spans="1:27" ht="13.2">
      <c r="A28" s="145" t="s">
        <v>660</v>
      </c>
      <c r="B28" s="74">
        <v>103</v>
      </c>
      <c r="C28" s="146">
        <v>0.14907829787234042</v>
      </c>
      <c r="D28" s="146">
        <v>9.0010627576211533E-2</v>
      </c>
      <c r="E28" s="146">
        <v>0.13265964322266596</v>
      </c>
      <c r="F28" s="146">
        <v>0.21670554463683422</v>
      </c>
      <c r="G28" s="147">
        <v>1.145843471951508</v>
      </c>
      <c r="H28" s="147">
        <v>1.2410543592858396</v>
      </c>
      <c r="I28" s="146">
        <v>9.5888500527148618E-2</v>
      </c>
      <c r="J28" s="146">
        <v>0.54423898938240323</v>
      </c>
      <c r="K28" s="146">
        <v>5.3524000000000002E-2</v>
      </c>
      <c r="L28" s="146">
        <v>0.17619594793469248</v>
      </c>
      <c r="M28" s="146">
        <v>8.6066369218673763E-2</v>
      </c>
      <c r="N28" s="147">
        <v>1.4659763013390332</v>
      </c>
      <c r="O28" s="147">
        <v>2.9757179784329062</v>
      </c>
      <c r="P28" s="147">
        <v>14.654554784871266</v>
      </c>
      <c r="Q28" s="147">
        <v>28.89201617695047</v>
      </c>
      <c r="R28" s="147">
        <v>2.9236490003601276</v>
      </c>
      <c r="S28" s="147">
        <v>24.688706144324069</v>
      </c>
      <c r="T28" s="146">
        <v>0.28273149237542999</v>
      </c>
      <c r="U28" s="146">
        <v>6.1632530290405142E-2</v>
      </c>
      <c r="V28" s="146">
        <v>9.8179239343670066E-2</v>
      </c>
      <c r="W28" s="146">
        <v>2.1463997544763114</v>
      </c>
      <c r="X28" s="146">
        <v>0.23703235618633814</v>
      </c>
      <c r="Y28" s="146">
        <v>0.17177866341194353</v>
      </c>
      <c r="Z28" s="146">
        <v>0.17177866341194359</v>
      </c>
      <c r="AA28" s="148">
        <v>9.5714676405284388E-2</v>
      </c>
    </row>
    <row r="29" spans="1:27" ht="13.2">
      <c r="A29" s="145" t="s">
        <v>661</v>
      </c>
      <c r="B29" s="74">
        <v>13</v>
      </c>
      <c r="C29" s="146">
        <v>-6.3210000000000002E-2</v>
      </c>
      <c r="D29" s="146">
        <v>-7.643401586021315E-4</v>
      </c>
      <c r="E29" s="146">
        <v>9.5426355462240233E-3</v>
      </c>
      <c r="F29" s="146">
        <v>0.6944234404536862</v>
      </c>
      <c r="G29" s="147">
        <v>1.3029636093516688</v>
      </c>
      <c r="H29" s="147">
        <v>1.2951787766557901</v>
      </c>
      <c r="I29" s="146">
        <v>9.8378223726166336E-2</v>
      </c>
      <c r="J29" s="146">
        <v>0.39424154982087117</v>
      </c>
      <c r="K29" s="146">
        <v>5.0854999999999997E-2</v>
      </c>
      <c r="L29" s="146">
        <v>0.15486981955971799</v>
      </c>
      <c r="M29" s="146">
        <v>8.904933447437148E-2</v>
      </c>
      <c r="N29" s="147">
        <v>1.6732153737167332</v>
      </c>
      <c r="O29" s="147">
        <v>0.84607344479761215</v>
      </c>
      <c r="P29" s="147">
        <v>19.143941698748328</v>
      </c>
      <c r="Q29" s="147" t="s">
        <v>88</v>
      </c>
      <c r="R29" s="147">
        <v>1.9031490452094928</v>
      </c>
      <c r="S29" s="147">
        <v>38.632883209912393</v>
      </c>
      <c r="T29" s="146">
        <v>0.15533542696520905</v>
      </c>
      <c r="U29" s="146">
        <v>1.5568092728386464E-2</v>
      </c>
      <c r="V29" s="146">
        <v>-2.2079528200980025E-3</v>
      </c>
      <c r="W29" s="146" t="s">
        <v>88</v>
      </c>
      <c r="X29" s="146">
        <v>-6.6268001387247435E-2</v>
      </c>
      <c r="Y29" s="146">
        <v>0</v>
      </c>
      <c r="Z29" s="146">
        <v>0</v>
      </c>
      <c r="AA29" s="148">
        <v>5.6724354829463522E-3</v>
      </c>
    </row>
    <row r="30" spans="1:27" ht="13.2">
      <c r="A30" s="145" t="s">
        <v>609</v>
      </c>
      <c r="B30" s="74">
        <v>129</v>
      </c>
      <c r="C30" s="146">
        <v>0.15823965116279071</v>
      </c>
      <c r="D30" s="146">
        <v>9.4816605584407423E-2</v>
      </c>
      <c r="E30" s="146">
        <v>0.15114383953059968</v>
      </c>
      <c r="F30" s="146">
        <v>0.22613287894821063</v>
      </c>
      <c r="G30" s="147">
        <v>0.8772051743933108</v>
      </c>
      <c r="H30" s="147">
        <v>0.93395459906726541</v>
      </c>
      <c r="I30" s="146">
        <v>8.1761911557094211E-2</v>
      </c>
      <c r="J30" s="146">
        <v>0.42942643620556031</v>
      </c>
      <c r="K30" s="146">
        <v>5.0854999999999997E-2</v>
      </c>
      <c r="L30" s="146">
        <v>0.14673840734826454</v>
      </c>
      <c r="M30" s="146">
        <v>7.5361085152728532E-2</v>
      </c>
      <c r="N30" s="147">
        <v>1.6768879249052682</v>
      </c>
      <c r="O30" s="147">
        <v>2.1770119295764263</v>
      </c>
      <c r="P30" s="147">
        <v>13.589599841576854</v>
      </c>
      <c r="Q30" s="147">
        <v>22.109356359942485</v>
      </c>
      <c r="R30" s="147">
        <v>3.2790176756415139</v>
      </c>
      <c r="S30" s="147">
        <v>102.2602762874735</v>
      </c>
      <c r="T30" s="146">
        <v>0.24013986599713918</v>
      </c>
      <c r="U30" s="146">
        <v>4.0634673225505777E-2</v>
      </c>
      <c r="V30" s="146">
        <v>4.116813973531535E-2</v>
      </c>
      <c r="W30" s="146">
        <v>0.70431641073104712</v>
      </c>
      <c r="X30" s="146">
        <v>8.797660106927524E-2</v>
      </c>
      <c r="Y30" s="146">
        <v>0.28526884031561212</v>
      </c>
      <c r="Z30" s="146">
        <v>0.28526884031561206</v>
      </c>
      <c r="AA30" s="148">
        <v>9.7970185070913832E-2</v>
      </c>
    </row>
    <row r="31" spans="1:27" ht="13.2">
      <c r="A31" s="145" t="s">
        <v>662</v>
      </c>
      <c r="B31" s="74">
        <v>43</v>
      </c>
      <c r="C31" s="146">
        <v>8.0567096774193547E-2</v>
      </c>
      <c r="D31" s="146">
        <v>4.4761915158891621E-2</v>
      </c>
      <c r="E31" s="146">
        <v>0.12584190576281387</v>
      </c>
      <c r="F31" s="146">
        <v>0.28016307022345316</v>
      </c>
      <c r="G31" s="147">
        <v>0.84467706518989538</v>
      </c>
      <c r="H31" s="147">
        <v>0.96064394549084864</v>
      </c>
      <c r="I31" s="146">
        <v>8.2989621492579047E-2</v>
      </c>
      <c r="J31" s="146">
        <v>0.3368374054652199</v>
      </c>
      <c r="K31" s="146">
        <v>5.0854999999999997E-2</v>
      </c>
      <c r="L31" s="146">
        <v>0.20763646217020956</v>
      </c>
      <c r="M31" s="146">
        <v>7.3677464301764639E-2</v>
      </c>
      <c r="N31" s="147">
        <v>3.1139792067111656</v>
      </c>
      <c r="O31" s="147">
        <v>1.1163272617563171</v>
      </c>
      <c r="P31" s="147">
        <v>12.760394435192657</v>
      </c>
      <c r="Q31" s="147">
        <v>23.127763287334602</v>
      </c>
      <c r="R31" s="147">
        <v>3.3331388725978139</v>
      </c>
      <c r="S31" s="147">
        <v>47.295500708894096</v>
      </c>
      <c r="T31" s="146">
        <v>0.18924885792675486</v>
      </c>
      <c r="U31" s="146">
        <v>3.0006983111800924E-2</v>
      </c>
      <c r="V31" s="146">
        <v>2.6362292573701269E-2</v>
      </c>
      <c r="W31" s="146">
        <v>1.2619175754407028</v>
      </c>
      <c r="X31" s="146">
        <v>6.4114009345206779E-2</v>
      </c>
      <c r="Y31" s="146">
        <v>0.21672148486032367</v>
      </c>
      <c r="Z31" s="146">
        <v>0.21672148486032361</v>
      </c>
      <c r="AA31" s="148">
        <v>4.7177467138974402E-2</v>
      </c>
    </row>
    <row r="32" spans="1:27" ht="13.2">
      <c r="A32" s="145" t="s">
        <v>481</v>
      </c>
      <c r="B32" s="74">
        <v>98</v>
      </c>
      <c r="C32" s="146">
        <v>0.15469137931034482</v>
      </c>
      <c r="D32" s="146">
        <v>7.0067935835321643E-2</v>
      </c>
      <c r="E32" s="146">
        <v>7.5578911739182089E-2</v>
      </c>
      <c r="F32" s="146">
        <v>0.19997160037162454</v>
      </c>
      <c r="G32" s="147">
        <v>0.86571919280395593</v>
      </c>
      <c r="H32" s="147">
        <v>0.99455942915170392</v>
      </c>
      <c r="I32" s="146">
        <v>8.4549733740978378E-2</v>
      </c>
      <c r="J32" s="146">
        <v>0.61185830172417144</v>
      </c>
      <c r="K32" s="146">
        <v>5.3524000000000002E-2</v>
      </c>
      <c r="L32" s="146">
        <v>0.22327359258810395</v>
      </c>
      <c r="M32" s="146">
        <v>7.4634882763526755E-2</v>
      </c>
      <c r="N32" s="147">
        <v>1.105934104413193</v>
      </c>
      <c r="O32" s="147">
        <v>3.0674272548861663</v>
      </c>
      <c r="P32" s="147">
        <v>16.372327269203399</v>
      </c>
      <c r="Q32" s="147">
        <v>42.533399418877075</v>
      </c>
      <c r="R32" s="147">
        <v>2.5929691561863222</v>
      </c>
      <c r="S32" s="147">
        <v>31.168325364687774</v>
      </c>
      <c r="T32" s="146">
        <v>3.8054347095575536E-2</v>
      </c>
      <c r="U32" s="146">
        <v>4.3745016460205635E-2</v>
      </c>
      <c r="V32" s="146">
        <v>-2.2575917320574641E-2</v>
      </c>
      <c r="W32" s="146">
        <v>-0.20650613209517016</v>
      </c>
      <c r="X32" s="146">
        <v>-2.7275543810870717E-3</v>
      </c>
      <c r="Y32" s="146">
        <v>3.4346522556140007E-3</v>
      </c>
      <c r="Z32" s="146">
        <v>3.4346522556140124E-3</v>
      </c>
      <c r="AA32" s="148">
        <v>7.0525654364218135E-2</v>
      </c>
    </row>
    <row r="33" spans="1:27" ht="13.2">
      <c r="A33" s="145" t="s">
        <v>663</v>
      </c>
      <c r="B33" s="74">
        <v>57</v>
      </c>
      <c r="C33" s="146">
        <v>0.13381230769230767</v>
      </c>
      <c r="D33" s="146">
        <v>0.13553472241576553</v>
      </c>
      <c r="E33" s="146">
        <v>0.29942483961191058</v>
      </c>
      <c r="F33" s="146">
        <v>0.24029481031347999</v>
      </c>
      <c r="G33" s="147">
        <v>0.78573019548056033</v>
      </c>
      <c r="H33" s="147">
        <v>0.90699903446977015</v>
      </c>
      <c r="I33" s="146">
        <v>8.0521955585609428E-2</v>
      </c>
      <c r="J33" s="146">
        <v>0.4606641855124769</v>
      </c>
      <c r="K33" s="146">
        <v>5.0854999999999997E-2</v>
      </c>
      <c r="L33" s="146">
        <v>0.17996903176435833</v>
      </c>
      <c r="M33" s="146">
        <v>7.2894741035876967E-2</v>
      </c>
      <c r="N33" s="147">
        <v>2.2902044972728537</v>
      </c>
      <c r="O33" s="147">
        <v>3.3833883540504326</v>
      </c>
      <c r="P33" s="147">
        <v>15.00034560192311</v>
      </c>
      <c r="Q33" s="147">
        <v>24.256339038064446</v>
      </c>
      <c r="R33" s="147">
        <v>6.2476402280431014</v>
      </c>
      <c r="S33" s="147">
        <v>31.275191037772736</v>
      </c>
      <c r="T33" s="146">
        <v>0.10180591590590521</v>
      </c>
      <c r="U33" s="146">
        <v>7.8381742161797524E-2</v>
      </c>
      <c r="V33" s="146">
        <v>6.4845913725881957E-2</v>
      </c>
      <c r="W33" s="146">
        <v>0.70099824399013422</v>
      </c>
      <c r="X33" s="146">
        <v>0.2101163487107984</v>
      </c>
      <c r="Y33" s="146">
        <v>0.3634221878468773</v>
      </c>
      <c r="Z33" s="146">
        <v>0.3634221878468773</v>
      </c>
      <c r="AA33" s="148">
        <v>0.13822317401919318</v>
      </c>
    </row>
    <row r="34" spans="1:27" ht="13.2">
      <c r="A34" s="145" t="s">
        <v>664</v>
      </c>
      <c r="B34" s="74">
        <v>42</v>
      </c>
      <c r="C34" s="146">
        <v>0.21383809523809522</v>
      </c>
      <c r="D34" s="146">
        <v>0.1017867183533354</v>
      </c>
      <c r="E34" s="146">
        <v>0.17930588293067248</v>
      </c>
      <c r="F34" s="146">
        <v>0.20906218860773967</v>
      </c>
      <c r="G34" s="147">
        <v>0.76921333535098557</v>
      </c>
      <c r="H34" s="147">
        <v>0.99162450807266023</v>
      </c>
      <c r="I34" s="146">
        <v>8.4414727371342368E-2</v>
      </c>
      <c r="J34" s="146">
        <v>0.54139722238781107</v>
      </c>
      <c r="K34" s="146">
        <v>5.3524000000000002E-2</v>
      </c>
      <c r="L34" s="146">
        <v>0.31178335075736729</v>
      </c>
      <c r="M34" s="146">
        <v>7.0611539867688589E-2</v>
      </c>
      <c r="N34" s="147">
        <v>1.8306605351728302</v>
      </c>
      <c r="O34" s="147">
        <v>1.1055363962241</v>
      </c>
      <c r="P34" s="147">
        <v>8.9728445584552468</v>
      </c>
      <c r="Q34" s="147">
        <v>10.564710180101258</v>
      </c>
      <c r="R34" s="147">
        <v>2.7330367548600969</v>
      </c>
      <c r="S34" s="147">
        <v>21.611875005333811</v>
      </c>
      <c r="T34" s="146">
        <v>0.14722500458801463</v>
      </c>
      <c r="U34" s="146">
        <v>3.3959385963758186E-2</v>
      </c>
      <c r="V34" s="146">
        <v>2.6989790167118995E-2</v>
      </c>
      <c r="W34" s="146">
        <v>0.53012035842397032</v>
      </c>
      <c r="X34" s="146">
        <v>0.27512096983755308</v>
      </c>
      <c r="Y34" s="146">
        <v>0.17330466660689933</v>
      </c>
      <c r="Z34" s="146">
        <v>0.17330466660689936</v>
      </c>
      <c r="AA34" s="148">
        <v>0.10487455135329483</v>
      </c>
    </row>
    <row r="35" spans="1:27" ht="13.2">
      <c r="A35" s="145" t="s">
        <v>665</v>
      </c>
      <c r="B35" s="74">
        <v>172</v>
      </c>
      <c r="C35" s="146">
        <v>0.20501310679611653</v>
      </c>
      <c r="D35" s="146">
        <v>0.15180167018136817</v>
      </c>
      <c r="E35" s="146">
        <v>8.8000233230330835E-3</v>
      </c>
      <c r="F35" s="146">
        <v>0.19506036249910982</v>
      </c>
      <c r="G35" s="147">
        <v>0.32197875072770449</v>
      </c>
      <c r="H35" s="147">
        <v>1.1435084926002885</v>
      </c>
      <c r="I35" s="146">
        <v>9.140139065961328E-2</v>
      </c>
      <c r="J35" s="146">
        <v>0.38661906483318564</v>
      </c>
      <c r="K35" s="146">
        <v>5.0854999999999997E-2</v>
      </c>
      <c r="L35" s="146">
        <v>0.77976463577478972</v>
      </c>
      <c r="M35" s="146">
        <v>4.9871016476855864E-2</v>
      </c>
      <c r="N35" s="147">
        <v>6.4868817839517173E-2</v>
      </c>
      <c r="O35" s="147">
        <v>19.18449176258731</v>
      </c>
      <c r="P35" s="147">
        <v>62.475028788602742</v>
      </c>
      <c r="Q35" s="147">
        <v>83.078559960891738</v>
      </c>
      <c r="R35" s="147">
        <v>3.433260809839322</v>
      </c>
      <c r="S35" s="147">
        <v>25.588370516069009</v>
      </c>
      <c r="T35" s="146">
        <v>13.079698706991074</v>
      </c>
      <c r="U35" s="146">
        <v>2.5535543778949593E-2</v>
      </c>
      <c r="V35" s="146">
        <v>2.83598183581379E-2</v>
      </c>
      <c r="W35" s="146">
        <v>0.21675896399206002</v>
      </c>
      <c r="X35" s="146">
        <v>0.22361139419471984</v>
      </c>
      <c r="Y35" s="146">
        <v>0.27809500344761101</v>
      </c>
      <c r="Z35" s="146">
        <v>0.27809500344761107</v>
      </c>
      <c r="AA35" s="148">
        <v>0.1525193861991764</v>
      </c>
    </row>
    <row r="36" spans="1:27" ht="13.2">
      <c r="A36" s="145" t="s">
        <v>666</v>
      </c>
      <c r="B36" s="74">
        <v>82</v>
      </c>
      <c r="C36" s="146">
        <v>7.2433478260869572E-2</v>
      </c>
      <c r="D36" s="146">
        <v>0.10787378764336854</v>
      </c>
      <c r="E36" s="146">
        <v>0.17232732992047894</v>
      </c>
      <c r="F36" s="146">
        <v>0.21576118970807889</v>
      </c>
      <c r="G36" s="147">
        <v>0.49587927161435114</v>
      </c>
      <c r="H36" s="147">
        <v>0.60571773514306815</v>
      </c>
      <c r="I36" s="146">
        <v>6.6663015816581128E-2</v>
      </c>
      <c r="J36" s="146">
        <v>0.36509661152078565</v>
      </c>
      <c r="K36" s="146">
        <v>5.0854999999999997E-2</v>
      </c>
      <c r="L36" s="146">
        <v>0.25207878166293529</v>
      </c>
      <c r="M36" s="146">
        <v>5.9473283838661802E-2</v>
      </c>
      <c r="N36" s="147">
        <v>1.7201959394721398</v>
      </c>
      <c r="O36" s="147">
        <v>1.8429492449644929</v>
      </c>
      <c r="P36" s="147">
        <v>12.510605460521338</v>
      </c>
      <c r="Q36" s="147">
        <v>16.772528178110687</v>
      </c>
      <c r="R36" s="147">
        <v>2.2978753647758015</v>
      </c>
      <c r="S36" s="147">
        <v>31.401327168039369</v>
      </c>
      <c r="T36" s="146">
        <v>6.0076717333373719E-2</v>
      </c>
      <c r="U36" s="146">
        <v>4.1255414961379071E-2</v>
      </c>
      <c r="V36" s="146">
        <v>2.6469155146914392E-2</v>
      </c>
      <c r="W36" s="146">
        <v>0.41192631497381554</v>
      </c>
      <c r="X36" s="146">
        <v>0.10101697021572027</v>
      </c>
      <c r="Y36" s="146">
        <v>0.68706702379116191</v>
      </c>
      <c r="Z36" s="146">
        <v>0.68706702379116191</v>
      </c>
      <c r="AA36" s="148">
        <v>0.10922833001114575</v>
      </c>
    </row>
    <row r="37" spans="1:27" ht="13.2">
      <c r="A37" s="145" t="s">
        <v>667</v>
      </c>
      <c r="B37" s="74">
        <v>14</v>
      </c>
      <c r="C37" s="146">
        <v>0.18654000000000004</v>
      </c>
      <c r="D37" s="146">
        <v>2.2317777961135557E-2</v>
      </c>
      <c r="E37" s="146">
        <v>0.14961754390226162</v>
      </c>
      <c r="F37" s="146">
        <v>0.2440190000210877</v>
      </c>
      <c r="G37" s="147">
        <v>0.73507044655838505</v>
      </c>
      <c r="H37" s="147">
        <v>0.96571097077283663</v>
      </c>
      <c r="I37" s="146">
        <v>8.3222704655550483E-2</v>
      </c>
      <c r="J37" s="146">
        <v>0.27303412055804871</v>
      </c>
      <c r="K37" s="146">
        <v>5.0854999999999997E-2</v>
      </c>
      <c r="L37" s="146">
        <v>0.30860321409511282</v>
      </c>
      <c r="M37" s="146">
        <v>6.9310422852764508E-2</v>
      </c>
      <c r="N37" s="147">
        <v>8.0191460013825839</v>
      </c>
      <c r="O37" s="147">
        <v>0.40048850227638738</v>
      </c>
      <c r="P37" s="147">
        <v>11.256367425384894</v>
      </c>
      <c r="Q37" s="147">
        <v>18.0515417386402</v>
      </c>
      <c r="R37" s="147">
        <v>4.1027570359655128</v>
      </c>
      <c r="S37" s="147">
        <v>26.104224353465391</v>
      </c>
      <c r="T37" s="146">
        <v>5.7756762830022068E-2</v>
      </c>
      <c r="U37" s="146">
        <v>9.3056479659282213E-3</v>
      </c>
      <c r="V37" s="146">
        <v>8.9900828796691135E-3</v>
      </c>
      <c r="W37" s="146">
        <v>0.47194525861898456</v>
      </c>
      <c r="X37" s="146">
        <v>0.21114375328629606</v>
      </c>
      <c r="Y37" s="146">
        <v>0.38161390503630449</v>
      </c>
      <c r="Z37" s="146">
        <v>0.38161390503630455</v>
      </c>
      <c r="AA37" s="148">
        <v>2.2183644509181345E-2</v>
      </c>
    </row>
    <row r="38" spans="1:27" ht="13.2">
      <c r="A38" s="145" t="s">
        <v>668</v>
      </c>
      <c r="B38" s="74">
        <v>31</v>
      </c>
      <c r="C38" s="146">
        <v>3.1330476190476186E-2</v>
      </c>
      <c r="D38" s="146">
        <v>5.8633420949189427E-2</v>
      </c>
      <c r="E38" s="146">
        <v>0.1031461588962982</v>
      </c>
      <c r="F38" s="146">
        <v>0.34491477746639632</v>
      </c>
      <c r="G38" s="147">
        <v>0.86118748521761213</v>
      </c>
      <c r="H38" s="147">
        <v>1.1071062452097284</v>
      </c>
      <c r="I38" s="146">
        <v>8.9726887279647505E-2</v>
      </c>
      <c r="J38" s="146">
        <v>0.46652480430214993</v>
      </c>
      <c r="K38" s="146">
        <v>5.0854999999999997E-2</v>
      </c>
      <c r="L38" s="146">
        <v>0.32226061623577029</v>
      </c>
      <c r="M38" s="146">
        <v>7.3102868020993375E-2</v>
      </c>
      <c r="N38" s="147">
        <v>1.9608741359470769</v>
      </c>
      <c r="O38" s="147">
        <v>1.0479459257763848</v>
      </c>
      <c r="P38" s="147">
        <v>9.3651533150560073</v>
      </c>
      <c r="Q38" s="147">
        <v>16.699225224322326</v>
      </c>
      <c r="R38" s="147">
        <v>2.2525462393242712</v>
      </c>
      <c r="S38" s="147">
        <v>19.580017118656851</v>
      </c>
      <c r="T38" s="146">
        <v>0.13973769506770378</v>
      </c>
      <c r="U38" s="146">
        <v>3.2449167583192058E-2</v>
      </c>
      <c r="V38" s="146">
        <v>7.2155187930717318E-2</v>
      </c>
      <c r="W38" s="146">
        <v>0.97314551193468091</v>
      </c>
      <c r="X38" s="146">
        <v>-6.5262790801996332E-2</v>
      </c>
      <c r="Y38" s="146">
        <v>8.5617107786026027E-3</v>
      </c>
      <c r="Z38" s="146">
        <v>8.5617107786025715E-3</v>
      </c>
      <c r="AA38" s="148">
        <v>6.1113859297196843E-2</v>
      </c>
    </row>
    <row r="39" spans="1:27" ht="13.2">
      <c r="A39" s="145" t="s">
        <v>669</v>
      </c>
      <c r="B39" s="74">
        <v>17</v>
      </c>
      <c r="C39" s="146">
        <v>3.7350000000000001E-2</v>
      </c>
      <c r="D39" s="146">
        <v>0.23439691972396948</v>
      </c>
      <c r="E39" s="146">
        <v>4.1502730750869E-2</v>
      </c>
      <c r="F39" s="146">
        <v>7.0572558077555192E-2</v>
      </c>
      <c r="G39" s="147">
        <v>0.55608601915516875</v>
      </c>
      <c r="H39" s="147">
        <v>1.1067077196296322</v>
      </c>
      <c r="I39" s="146">
        <v>8.9708555102963078E-2</v>
      </c>
      <c r="J39" s="146">
        <v>0.5733620520250774</v>
      </c>
      <c r="K39" s="146">
        <v>5.3524000000000002E-2</v>
      </c>
      <c r="L39" s="146">
        <v>0.58576061978789462</v>
      </c>
      <c r="M39" s="146">
        <v>6.0675004825720386E-2</v>
      </c>
      <c r="N39" s="147">
        <v>0.19933188854202233</v>
      </c>
      <c r="O39" s="147">
        <v>7.4719645715662937</v>
      </c>
      <c r="P39" s="147">
        <v>12.631994561427968</v>
      </c>
      <c r="Q39" s="147">
        <v>33.578774668897871</v>
      </c>
      <c r="R39" s="147">
        <v>0.85442228941416143</v>
      </c>
      <c r="S39" s="147">
        <v>39.872418108542938</v>
      </c>
      <c r="T39" s="146">
        <v>-0.27981625458988918</v>
      </c>
      <c r="U39" s="146">
        <v>0.44316771676285083</v>
      </c>
      <c r="V39" s="146">
        <v>0.20460875674779533</v>
      </c>
      <c r="W39" s="146">
        <v>1.1590198207962661</v>
      </c>
      <c r="X39" s="146">
        <v>0.10675101428653834</v>
      </c>
      <c r="Y39" s="146">
        <v>0.2559530242443892</v>
      </c>
      <c r="Z39" s="146">
        <v>0.25595302424438926</v>
      </c>
      <c r="AA39" s="148">
        <v>0.21775570853782217</v>
      </c>
    </row>
    <row r="40" spans="1:27" ht="13.2">
      <c r="A40" s="145" t="s">
        <v>670</v>
      </c>
      <c r="B40" s="74">
        <v>230</v>
      </c>
      <c r="C40" s="146">
        <v>0.17948400000000009</v>
      </c>
      <c r="D40" s="146">
        <v>0.13294967540797936</v>
      </c>
      <c r="E40" s="146">
        <v>0.13081181602888342</v>
      </c>
      <c r="F40" s="146">
        <v>0.20580162761975571</v>
      </c>
      <c r="G40" s="147">
        <v>1.0054180718910262</v>
      </c>
      <c r="H40" s="147">
        <v>1.0620798954428441</v>
      </c>
      <c r="I40" s="146">
        <v>8.7655675190370819E-2</v>
      </c>
      <c r="J40" s="146">
        <v>0.52205534504314732</v>
      </c>
      <c r="K40" s="146">
        <v>5.3524000000000002E-2</v>
      </c>
      <c r="L40" s="146">
        <v>0.11239729750559911</v>
      </c>
      <c r="M40" s="146">
        <v>8.2315378901711811E-2</v>
      </c>
      <c r="N40" s="147">
        <v>0.9916960692418304</v>
      </c>
      <c r="O40" s="147">
        <v>5.1610656647278397</v>
      </c>
      <c r="P40" s="147">
        <v>21.511372797591477</v>
      </c>
      <c r="Q40" s="147">
        <v>36.992220884124826</v>
      </c>
      <c r="R40" s="147">
        <v>4.6291469613257821</v>
      </c>
      <c r="S40" s="147">
        <v>61.891562138745677</v>
      </c>
      <c r="T40" s="146">
        <v>0.25574201971953897</v>
      </c>
      <c r="U40" s="146">
        <v>4.9018238448480196E-2</v>
      </c>
      <c r="V40" s="146">
        <v>2.0771729298397056E-2</v>
      </c>
      <c r="W40" s="146">
        <v>0.49512455251752285</v>
      </c>
      <c r="X40" s="146">
        <v>8.305797928561881E-2</v>
      </c>
      <c r="Y40" s="146">
        <v>0.41765478553209229</v>
      </c>
      <c r="Z40" s="146">
        <v>0.41765478553209223</v>
      </c>
      <c r="AA40" s="148">
        <v>0.13835739605834813</v>
      </c>
    </row>
    <row r="41" spans="1:27" ht="13.2">
      <c r="A41" s="145" t="s">
        <v>671</v>
      </c>
      <c r="B41" s="74">
        <v>119</v>
      </c>
      <c r="C41" s="146">
        <v>0.12421877192982453</v>
      </c>
      <c r="D41" s="146">
        <v>3.9183419890367124E-2</v>
      </c>
      <c r="E41" s="146">
        <v>0.45741028306204884</v>
      </c>
      <c r="F41" s="146">
        <v>0.22529394737980976</v>
      </c>
      <c r="G41" s="147">
        <v>0.94030624894969284</v>
      </c>
      <c r="H41" s="147">
        <v>1.0326229061406076</v>
      </c>
      <c r="I41" s="146">
        <v>8.6300653682467948E-2</v>
      </c>
      <c r="J41" s="146">
        <v>0.49525733448964099</v>
      </c>
      <c r="K41" s="146">
        <v>5.0854999999999997E-2</v>
      </c>
      <c r="L41" s="146">
        <v>0.2117523051840508</v>
      </c>
      <c r="M41" s="146">
        <v>7.6102788936416088E-2</v>
      </c>
      <c r="N41" s="147">
        <v>12.880997802478152</v>
      </c>
      <c r="O41" s="147">
        <v>0.6094709713815003</v>
      </c>
      <c r="P41" s="147">
        <v>11.292454334901061</v>
      </c>
      <c r="Q41" s="147">
        <v>15.455594645482641</v>
      </c>
      <c r="R41" s="147">
        <v>3.3377128034800818</v>
      </c>
      <c r="S41" s="147">
        <v>80.168287304864251</v>
      </c>
      <c r="T41" s="146">
        <v>-6.5254137415651933E-2</v>
      </c>
      <c r="U41" s="146">
        <v>7.0548223798331212E-3</v>
      </c>
      <c r="V41" s="146">
        <v>1.9151402871181444E-2</v>
      </c>
      <c r="W41" s="146">
        <v>0.6275372045055494</v>
      </c>
      <c r="X41" s="146">
        <v>0.15620310034184115</v>
      </c>
      <c r="Y41" s="146">
        <v>0.29625921121923621</v>
      </c>
      <c r="Z41" s="146">
        <v>0.29625921121923615</v>
      </c>
      <c r="AA41" s="148">
        <v>3.8635101743000333E-2</v>
      </c>
    </row>
    <row r="42" spans="1:27" ht="13.2">
      <c r="A42" s="145" t="s">
        <v>672</v>
      </c>
      <c r="B42" s="74">
        <v>128</v>
      </c>
      <c r="C42" s="146">
        <v>0.19666706896551731</v>
      </c>
      <c r="D42" s="146">
        <v>0.14008066391084326</v>
      </c>
      <c r="E42" s="146">
        <v>0.14281217248637942</v>
      </c>
      <c r="F42" s="146">
        <v>0.11691985958691149</v>
      </c>
      <c r="G42" s="147">
        <v>1.1875339477983193</v>
      </c>
      <c r="H42" s="147">
        <v>1.2747542568245518</v>
      </c>
      <c r="I42" s="146">
        <v>9.7438695813929388E-2</v>
      </c>
      <c r="J42" s="146">
        <v>0.54153165246921775</v>
      </c>
      <c r="K42" s="146">
        <v>5.3524000000000002E-2</v>
      </c>
      <c r="L42" s="146">
        <v>0.13845034763183783</v>
      </c>
      <c r="M42" s="146">
        <v>8.9506086810682825E-2</v>
      </c>
      <c r="N42" s="147">
        <v>1.0414718449585996</v>
      </c>
      <c r="O42" s="147">
        <v>5.2888957340712599</v>
      </c>
      <c r="P42" s="147">
        <v>21.435576546426841</v>
      </c>
      <c r="Q42" s="147">
        <v>36.529531221176818</v>
      </c>
      <c r="R42" s="147">
        <v>4.0887278277055206</v>
      </c>
      <c r="S42" s="147">
        <v>44.436443878627578</v>
      </c>
      <c r="T42" s="146">
        <v>0.22945875273735597</v>
      </c>
      <c r="U42" s="146">
        <v>4.5108188895623375E-2</v>
      </c>
      <c r="V42" s="146">
        <v>2.6677271844225636E-2</v>
      </c>
      <c r="W42" s="146">
        <v>0.31339455513224623</v>
      </c>
      <c r="X42" s="146">
        <v>5.17765805634577E-2</v>
      </c>
      <c r="Y42" s="146">
        <v>0.19727330771004128</v>
      </c>
      <c r="Z42" s="146">
        <v>0.19727330771004126</v>
      </c>
      <c r="AA42" s="148">
        <v>0.14149228552648924</v>
      </c>
    </row>
    <row r="43" spans="1:27" ht="13.2">
      <c r="A43" s="145" t="s">
        <v>673</v>
      </c>
      <c r="B43" s="74">
        <v>32</v>
      </c>
      <c r="C43" s="146">
        <v>0.11040782608695648</v>
      </c>
      <c r="D43" s="146">
        <v>0.16243511385197026</v>
      </c>
      <c r="E43" s="146">
        <v>0.20906182388989658</v>
      </c>
      <c r="F43" s="146">
        <v>0.23441748751073238</v>
      </c>
      <c r="G43" s="147">
        <v>1.3535915929813263</v>
      </c>
      <c r="H43" s="147">
        <v>1.3695349346617718</v>
      </c>
      <c r="I43" s="146">
        <v>0.1017986069944415</v>
      </c>
      <c r="J43" s="146">
        <v>0.32313883781178943</v>
      </c>
      <c r="K43" s="146">
        <v>5.0854999999999997E-2</v>
      </c>
      <c r="L43" s="146">
        <v>0.14104057563334713</v>
      </c>
      <c r="M43" s="146">
        <v>9.2820336720647989E-2</v>
      </c>
      <c r="N43" s="147">
        <v>1.5490492448976174</v>
      </c>
      <c r="O43" s="147">
        <v>1.3227511565241321</v>
      </c>
      <c r="P43" s="147">
        <v>7.7926513257951306</v>
      </c>
      <c r="Q43" s="147">
        <v>8.1068864527413051</v>
      </c>
      <c r="R43" s="147">
        <v>2.0034988997912557</v>
      </c>
      <c r="S43" s="147">
        <v>10.663226208304753</v>
      </c>
      <c r="T43" s="146">
        <v>0.58510809678996634</v>
      </c>
      <c r="U43" s="146">
        <v>5.1362234787959054E-3</v>
      </c>
      <c r="V43" s="146">
        <v>3.6279568408271621E-3</v>
      </c>
      <c r="W43" s="146">
        <v>-4.9962200704110622E-2</v>
      </c>
      <c r="X43" s="146">
        <v>0.2288315257494398</v>
      </c>
      <c r="Y43" s="146">
        <v>6.4331005164984509E-2</v>
      </c>
      <c r="Z43" s="146">
        <v>6.4331005164984467E-2</v>
      </c>
      <c r="AA43" s="148">
        <v>0.16303748138534604</v>
      </c>
    </row>
    <row r="44" spans="1:27" ht="13.2">
      <c r="A44" s="145" t="s">
        <v>674</v>
      </c>
      <c r="B44" s="74">
        <v>32</v>
      </c>
      <c r="C44" s="146">
        <v>0.18106894736842105</v>
      </c>
      <c r="D44" s="146">
        <v>0.11569354150132667</v>
      </c>
      <c r="E44" s="146">
        <v>0.20156640226109454</v>
      </c>
      <c r="F44" s="146">
        <v>0.20295530643789431</v>
      </c>
      <c r="G44" s="147">
        <v>0.55999610695192847</v>
      </c>
      <c r="H44" s="147">
        <v>0.87957632490356097</v>
      </c>
      <c r="I44" s="146">
        <v>7.92605109455638E-2</v>
      </c>
      <c r="J44" s="146">
        <v>0.46328064944317854</v>
      </c>
      <c r="K44" s="146">
        <v>5.0854999999999997E-2</v>
      </c>
      <c r="L44" s="146">
        <v>0.44365037194401546</v>
      </c>
      <c r="M44" s="146">
        <v>6.1017935533001388E-2</v>
      </c>
      <c r="N44" s="147">
        <v>1.8739472690562888</v>
      </c>
      <c r="O44" s="147">
        <v>1.5597693131250068</v>
      </c>
      <c r="P44" s="147">
        <v>8.7526157560373488</v>
      </c>
      <c r="Q44" s="147">
        <v>13.412731417361721</v>
      </c>
      <c r="R44" s="147">
        <v>5.1168203803504957</v>
      </c>
      <c r="S44" s="147">
        <v>22.866077429053238</v>
      </c>
      <c r="T44" s="146">
        <v>0.11173413334158254</v>
      </c>
      <c r="U44" s="146">
        <v>6.2482428184781058E-2</v>
      </c>
      <c r="V44" s="146">
        <v>2.2041129079390705E-2</v>
      </c>
      <c r="W44" s="146">
        <v>0.34919798188250589</v>
      </c>
      <c r="X44" s="146">
        <v>0.61965679511239247</v>
      </c>
      <c r="Y44" s="146">
        <v>0.12781126030710444</v>
      </c>
      <c r="Z44" s="146">
        <v>0.12781126030710444</v>
      </c>
      <c r="AA44" s="148">
        <v>0.11548052103864387</v>
      </c>
    </row>
    <row r="45" spans="1:27" ht="13.2">
      <c r="A45" s="145" t="s">
        <v>675</v>
      </c>
      <c r="B45" s="74">
        <v>68</v>
      </c>
      <c r="C45" s="146">
        <v>0.10244649999999998</v>
      </c>
      <c r="D45" s="146">
        <v>0.17139569325713905</v>
      </c>
      <c r="E45" s="146">
        <v>9.9886217562338883E-2</v>
      </c>
      <c r="F45" s="146">
        <v>0.19265003883365289</v>
      </c>
      <c r="G45" s="147">
        <v>1.0481897733536769</v>
      </c>
      <c r="H45" s="147">
        <v>1.3434280675321946</v>
      </c>
      <c r="I45" s="146">
        <v>0.10059769110648095</v>
      </c>
      <c r="J45" s="146">
        <v>0.40799721064073169</v>
      </c>
      <c r="K45" s="146">
        <v>5.0854999999999997E-2</v>
      </c>
      <c r="L45" s="146">
        <v>0.32736720549245807</v>
      </c>
      <c r="M45" s="146">
        <v>8.0151500516447996E-2</v>
      </c>
      <c r="N45" s="147">
        <v>0.80682265774953521</v>
      </c>
      <c r="O45" s="147">
        <v>4.2252788004104538</v>
      </c>
      <c r="P45" s="147">
        <v>14.975440441167427</v>
      </c>
      <c r="Q45" s="147">
        <v>30.72977186409063</v>
      </c>
      <c r="R45" s="147">
        <v>11.056315096413167</v>
      </c>
      <c r="S45" s="147">
        <v>32.221437920653571</v>
      </c>
      <c r="T45" s="146">
        <v>2.9915132671853681E-2</v>
      </c>
      <c r="U45" s="146">
        <v>6.7121787001380398E-2</v>
      </c>
      <c r="V45" s="146">
        <v>1.1171667233667715E-2</v>
      </c>
      <c r="W45" s="146">
        <v>0.21810072641597461</v>
      </c>
      <c r="X45" s="146">
        <v>0.35869098916068981</v>
      </c>
      <c r="Y45" s="146">
        <v>8.4312715869453519E-2</v>
      </c>
      <c r="Z45" s="146">
        <v>8.4312715869453547E-2</v>
      </c>
      <c r="AA45" s="148">
        <v>0.13535100750457585</v>
      </c>
    </row>
    <row r="46" spans="1:27" ht="13.2">
      <c r="A46" s="145" t="s">
        <v>676</v>
      </c>
      <c r="B46" s="74">
        <v>93</v>
      </c>
      <c r="C46" s="146">
        <v>2.2456341463414627E-2</v>
      </c>
      <c r="D46" s="146">
        <v>0.16859886158271969</v>
      </c>
      <c r="E46" s="146">
        <v>0.3117119490495866</v>
      </c>
      <c r="F46" s="146">
        <v>0.22132011627855985</v>
      </c>
      <c r="G46" s="147">
        <v>0.77292013375962598</v>
      </c>
      <c r="H46" s="147">
        <v>0.84344417808245642</v>
      </c>
      <c r="I46" s="146">
        <v>7.7598432191792993E-2</v>
      </c>
      <c r="J46" s="146">
        <v>0.51118105127415381</v>
      </c>
      <c r="K46" s="146">
        <v>5.3524000000000002E-2</v>
      </c>
      <c r="L46" s="146">
        <v>0.14203959666978541</v>
      </c>
      <c r="M46" s="146">
        <v>7.2278277710178224E-2</v>
      </c>
      <c r="N46" s="147">
        <v>1.9939780230234398</v>
      </c>
      <c r="O46" s="147">
        <v>3.4146535727357166</v>
      </c>
      <c r="P46" s="147">
        <v>15.954989167369019</v>
      </c>
      <c r="Q46" s="147">
        <v>20.013621435472231</v>
      </c>
      <c r="R46" s="147">
        <v>7.3274761955842767</v>
      </c>
      <c r="S46" s="147">
        <v>34.469619164706735</v>
      </c>
      <c r="T46" s="146">
        <v>7.4964449376184114E-2</v>
      </c>
      <c r="U46" s="146">
        <v>3.6174629752540516E-2</v>
      </c>
      <c r="V46" s="146">
        <v>9.442860706523613E-3</v>
      </c>
      <c r="W46" s="146">
        <v>-9.7514047042614139E-4</v>
      </c>
      <c r="X46" s="146">
        <v>0.26982900687477657</v>
      </c>
      <c r="Y46" s="146">
        <v>1.2222919620788795</v>
      </c>
      <c r="Z46" s="146">
        <v>1.2222919620788795</v>
      </c>
      <c r="AA46" s="148">
        <v>0.17026793382302821</v>
      </c>
    </row>
    <row r="47" spans="1:27" ht="13.2">
      <c r="A47" s="145" t="s">
        <v>677</v>
      </c>
      <c r="B47" s="74">
        <v>18</v>
      </c>
      <c r="C47" s="146">
        <v>4.7169999999999997E-2</v>
      </c>
      <c r="D47" s="146">
        <v>0.11632760029506121</v>
      </c>
      <c r="E47" s="146">
        <v>0.22740740434639165</v>
      </c>
      <c r="F47" s="146">
        <v>0.25775980471928395</v>
      </c>
      <c r="G47" s="147">
        <v>0.77238249143783833</v>
      </c>
      <c r="H47" s="147">
        <v>0.93074336988492989</v>
      </c>
      <c r="I47" s="146">
        <v>8.1614195014706778E-2</v>
      </c>
      <c r="J47" s="146">
        <v>0.33828737962659511</v>
      </c>
      <c r="K47" s="146">
        <v>5.0854999999999997E-2</v>
      </c>
      <c r="L47" s="146">
        <v>0.26289829475513876</v>
      </c>
      <c r="M47" s="146">
        <v>7.0185231902356454E-2</v>
      </c>
      <c r="N47" s="147">
        <v>2.1851130805639345</v>
      </c>
      <c r="O47" s="147">
        <v>2.3329330913412769</v>
      </c>
      <c r="P47" s="147">
        <v>12.153718575448424</v>
      </c>
      <c r="Q47" s="147">
        <v>19.061250080564882</v>
      </c>
      <c r="R47" s="147">
        <v>4.0576322144266381</v>
      </c>
      <c r="S47" s="147">
        <v>24.757228147387533</v>
      </c>
      <c r="T47" s="146">
        <v>0.15732336315134232</v>
      </c>
      <c r="U47" s="146">
        <v>1.9033801691390826E-2</v>
      </c>
      <c r="V47" s="146">
        <v>-3.6251195768292693E-2</v>
      </c>
      <c r="W47" s="146">
        <v>-0.26314035240567679</v>
      </c>
      <c r="X47" s="146">
        <v>8.4289167807033175E-2</v>
      </c>
      <c r="Y47" s="146">
        <v>0.60703971407145041</v>
      </c>
      <c r="Z47" s="146">
        <v>0.60703971407145041</v>
      </c>
      <c r="AA47" s="148">
        <v>0.1233982054939375</v>
      </c>
    </row>
    <row r="48" spans="1:27" ht="13.2">
      <c r="A48" s="145" t="s">
        <v>678</v>
      </c>
      <c r="B48" s="74">
        <v>21</v>
      </c>
      <c r="C48" s="146">
        <v>7.7637272727272721E-2</v>
      </c>
      <c r="D48" s="146">
        <v>0.15227330392370475</v>
      </c>
      <c r="E48" s="146">
        <v>0.15653546538570912</v>
      </c>
      <c r="F48" s="146">
        <v>0.20671990280364713</v>
      </c>
      <c r="G48" s="147">
        <v>0.8946178159376359</v>
      </c>
      <c r="H48" s="147">
        <v>1.0331486323510635</v>
      </c>
      <c r="I48" s="146">
        <v>8.632483708814892E-2</v>
      </c>
      <c r="J48" s="146">
        <v>0.40381703602170393</v>
      </c>
      <c r="K48" s="146">
        <v>5.0854999999999997E-2</v>
      </c>
      <c r="L48" s="146">
        <v>0.20592429100406523</v>
      </c>
      <c r="M48" s="146">
        <v>7.6402666078989212E-2</v>
      </c>
      <c r="N48" s="147">
        <v>1.187979918303592</v>
      </c>
      <c r="O48" s="147">
        <v>2.6563933238175803</v>
      </c>
      <c r="P48" s="147">
        <v>11.479314259662191</v>
      </c>
      <c r="Q48" s="147">
        <v>17.340883842855348</v>
      </c>
      <c r="R48" s="147">
        <v>2.855054505130747</v>
      </c>
      <c r="S48" s="147">
        <v>92.17728773965159</v>
      </c>
      <c r="T48" s="146">
        <v>-9.3256253318981707E-5</v>
      </c>
      <c r="U48" s="146">
        <v>9.2788698704108791E-3</v>
      </c>
      <c r="V48" s="146">
        <v>-2.5998498392279908E-2</v>
      </c>
      <c r="W48" s="146">
        <v>0.3789687523388437</v>
      </c>
      <c r="X48" s="146">
        <v>0.13524697097521135</v>
      </c>
      <c r="Y48" s="146">
        <v>0.32753059692538994</v>
      </c>
      <c r="Z48" s="146">
        <v>0.32753059692538988</v>
      </c>
      <c r="AA48" s="148">
        <v>0.15267058429114069</v>
      </c>
    </row>
    <row r="49" spans="1:27" ht="13.2">
      <c r="A49" s="145" t="s">
        <v>679</v>
      </c>
      <c r="B49" s="74">
        <v>23</v>
      </c>
      <c r="C49" s="146">
        <v>-6.2500000000000121E-4</v>
      </c>
      <c r="D49" s="146">
        <v>6.5616738438321659E-4</v>
      </c>
      <c r="E49" s="146">
        <v>1.0816809572142688E-3</v>
      </c>
      <c r="F49" s="146">
        <v>0.17734932983816021</v>
      </c>
      <c r="G49" s="147">
        <v>0.53983111888386293</v>
      </c>
      <c r="H49" s="147">
        <v>0.76576086532748944</v>
      </c>
      <c r="I49" s="146">
        <v>7.4024999805064523E-2</v>
      </c>
      <c r="J49" s="146">
        <v>0.30849684925039994</v>
      </c>
      <c r="K49" s="146">
        <v>5.0854999999999997E-2</v>
      </c>
      <c r="L49" s="146">
        <v>0.47983380623416055</v>
      </c>
      <c r="M49" s="146">
        <v>5.68067635541461E-2</v>
      </c>
      <c r="N49" s="147">
        <v>0.93697128407023411</v>
      </c>
      <c r="O49" s="147">
        <v>1.5653336469693586</v>
      </c>
      <c r="P49" s="147">
        <v>17.24492070332478</v>
      </c>
      <c r="Q49" s="147" t="s">
        <v>88</v>
      </c>
      <c r="R49" s="147">
        <v>1.6173451473258358</v>
      </c>
      <c r="S49" s="147">
        <v>176.37863200216751</v>
      </c>
      <c r="T49" s="146">
        <v>0.28615881247116098</v>
      </c>
      <c r="U49" s="146">
        <v>1.8122427617276609E-3</v>
      </c>
      <c r="V49" s="146">
        <v>-2.5614435950617652E-2</v>
      </c>
      <c r="W49" s="146" t="s">
        <v>88</v>
      </c>
      <c r="X49" s="146">
        <v>1.3240127450855269E-2</v>
      </c>
      <c r="Y49" s="146">
        <v>3.812072472103254</v>
      </c>
      <c r="Z49" s="146">
        <v>3.812072472103254</v>
      </c>
      <c r="AA49" s="148">
        <v>1.2852923105425914E-3</v>
      </c>
    </row>
    <row r="50" spans="1:27" ht="13.2">
      <c r="A50" s="145" t="s">
        <v>680</v>
      </c>
      <c r="B50" s="74">
        <v>50</v>
      </c>
      <c r="C50" s="146">
        <v>6.1676590909090896E-2</v>
      </c>
      <c r="D50" s="146">
        <v>7.4121043407829504E-2</v>
      </c>
      <c r="E50" s="146">
        <v>0.11118635097908262</v>
      </c>
      <c r="F50" s="146">
        <v>0.18944213157737264</v>
      </c>
      <c r="G50" s="147">
        <v>0.67520761727476519</v>
      </c>
      <c r="H50" s="147">
        <v>0.73875776033737084</v>
      </c>
      <c r="I50" s="146">
        <v>7.2782856975519061E-2</v>
      </c>
      <c r="J50" s="146">
        <v>0.27404177841998512</v>
      </c>
      <c r="K50" s="146">
        <v>5.0854999999999997E-2</v>
      </c>
      <c r="L50" s="146">
        <v>0.16235416986823059</v>
      </c>
      <c r="M50" s="146">
        <v>6.715864763210716E-2</v>
      </c>
      <c r="N50" s="147">
        <v>1.6945936593477595</v>
      </c>
      <c r="O50" s="147">
        <v>1.3577625752259637</v>
      </c>
      <c r="P50" s="147">
        <v>11.773604889791214</v>
      </c>
      <c r="Q50" s="147">
        <v>15.658885816047809</v>
      </c>
      <c r="R50" s="147">
        <v>2.2989008715036703</v>
      </c>
      <c r="S50" s="147">
        <v>20.722521356503638</v>
      </c>
      <c r="T50" s="146">
        <v>-0.40937489754024503</v>
      </c>
      <c r="U50" s="146">
        <v>7.7982820927461833E-3</v>
      </c>
      <c r="V50" s="146">
        <v>-1.3016926116446899E-3</v>
      </c>
      <c r="W50" s="146">
        <v>0.28662293809310668</v>
      </c>
      <c r="X50" s="146">
        <v>0.10356883343367865</v>
      </c>
      <c r="Y50" s="146">
        <v>0.35133432350759741</v>
      </c>
      <c r="Z50" s="146">
        <v>0.35133432350759741</v>
      </c>
      <c r="AA50" s="148">
        <v>7.4917280524282939E-2</v>
      </c>
    </row>
    <row r="51" spans="1:27" ht="13.2">
      <c r="A51" s="145" t="s">
        <v>681</v>
      </c>
      <c r="B51" s="74">
        <v>334</v>
      </c>
      <c r="C51" s="146">
        <v>4.6036862745098023E-2</v>
      </c>
      <c r="D51" s="146">
        <v>0.14999164034895529</v>
      </c>
      <c r="E51" s="146">
        <v>6.1639717527291187E-2</v>
      </c>
      <c r="F51" s="146">
        <v>0.18978292304498715</v>
      </c>
      <c r="G51" s="147">
        <v>0.39129392968006665</v>
      </c>
      <c r="H51" s="147">
        <v>0.45700546948270204</v>
      </c>
      <c r="I51" s="146">
        <v>5.9822251596204294E-2</v>
      </c>
      <c r="J51" s="146">
        <v>0.15150889761067693</v>
      </c>
      <c r="K51" s="146">
        <v>4.5043E-2</v>
      </c>
      <c r="L51" s="146">
        <v>0.28742573556682555</v>
      </c>
      <c r="M51" s="146">
        <v>5.2337684983253967E-2</v>
      </c>
      <c r="N51" s="147">
        <v>0.47398717524974837</v>
      </c>
      <c r="O51" s="147">
        <v>5.415454683531844</v>
      </c>
      <c r="P51" s="147">
        <v>34.845251313805413</v>
      </c>
      <c r="Q51" s="147">
        <v>34.896040662166058</v>
      </c>
      <c r="R51" s="147">
        <v>2.0039088032674184</v>
      </c>
      <c r="S51" s="147">
        <v>69.378833078564355</v>
      </c>
      <c r="T51" s="146" t="s">
        <v>88</v>
      </c>
      <c r="U51" s="146">
        <v>2.9725746882996038E-2</v>
      </c>
      <c r="V51" s="146">
        <v>6.1361471889236401E-2</v>
      </c>
      <c r="W51" s="146">
        <v>0.54669683230965871</v>
      </c>
      <c r="X51" s="146">
        <v>0.13783634813168708</v>
      </c>
      <c r="Y51" s="146">
        <v>0.42105650684678592</v>
      </c>
      <c r="Z51" s="146">
        <v>0.42105650684678597</v>
      </c>
      <c r="AA51" s="148">
        <v>0.14670723243602463</v>
      </c>
    </row>
    <row r="52" spans="1:27" ht="13.2">
      <c r="A52" s="145" t="s">
        <v>682</v>
      </c>
      <c r="B52" s="74">
        <v>103</v>
      </c>
      <c r="C52" s="146">
        <v>4.712599999999998E-2</v>
      </c>
      <c r="D52" s="146">
        <v>0.14779213072591901</v>
      </c>
      <c r="E52" s="146">
        <v>0.24909385325604075</v>
      </c>
      <c r="F52" s="146">
        <v>0.21716795174857764</v>
      </c>
      <c r="G52" s="147">
        <v>0.9376095544061418</v>
      </c>
      <c r="H52" s="147">
        <v>1.0260564286029479</v>
      </c>
      <c r="I52" s="146">
        <v>8.5998595715735593E-2</v>
      </c>
      <c r="J52" s="146">
        <v>0.33444214078623241</v>
      </c>
      <c r="K52" s="146">
        <v>5.0854999999999997E-2</v>
      </c>
      <c r="L52" s="146">
        <v>0.14430985657050793</v>
      </c>
      <c r="M52" s="146">
        <v>7.9092309019652585E-2</v>
      </c>
      <c r="N52" s="147">
        <v>1.8716132403381998</v>
      </c>
      <c r="O52" s="147">
        <v>3.0699195050801884</v>
      </c>
      <c r="P52" s="147">
        <v>15.461408447841649</v>
      </c>
      <c r="Q52" s="147">
        <v>20.31238382156512</v>
      </c>
      <c r="R52" s="147">
        <v>4.3438247500417724</v>
      </c>
      <c r="S52" s="147">
        <v>26.951754964203868</v>
      </c>
      <c r="T52" s="146">
        <v>0.25173396431408457</v>
      </c>
      <c r="U52" s="146">
        <v>2.4425884717957834E-2</v>
      </c>
      <c r="V52" s="146">
        <v>6.4279580722076277E-2</v>
      </c>
      <c r="W52" s="146">
        <v>0.66768064881451694</v>
      </c>
      <c r="X52" s="146">
        <v>0.19022656097823037</v>
      </c>
      <c r="Y52" s="146">
        <v>0.3626998107382271</v>
      </c>
      <c r="Z52" s="146">
        <v>0.3626998107382271</v>
      </c>
      <c r="AA52" s="148">
        <v>0.15061465678939701</v>
      </c>
    </row>
    <row r="53" spans="1:27" ht="13.2">
      <c r="A53" s="145" t="s">
        <v>610</v>
      </c>
      <c r="B53" s="74">
        <v>68</v>
      </c>
      <c r="C53" s="146">
        <v>-1.3133333333333325E-2</v>
      </c>
      <c r="D53" s="146">
        <v>0.19621084093017843</v>
      </c>
      <c r="E53" s="146">
        <v>0.2402669710602103</v>
      </c>
      <c r="F53" s="146">
        <v>0.35286412829106101</v>
      </c>
      <c r="G53" s="147">
        <v>0.91212435483261867</v>
      </c>
      <c r="H53" s="147">
        <v>0.96247840953991504</v>
      </c>
      <c r="I53" s="146">
        <v>8.307400683883609E-2</v>
      </c>
      <c r="J53" s="146">
        <v>0.605593652790272</v>
      </c>
      <c r="K53" s="146">
        <v>5.3524000000000002E-2</v>
      </c>
      <c r="L53" s="146">
        <v>0.13659352614226641</v>
      </c>
      <c r="M53" s="146">
        <v>7.7209909233881727E-2</v>
      </c>
      <c r="N53" s="147">
        <v>1.2535014116480827</v>
      </c>
      <c r="O53" s="147">
        <v>2.937914549631262</v>
      </c>
      <c r="P53" s="147">
        <v>10.355846578641355</v>
      </c>
      <c r="Q53" s="147">
        <v>14.873774197012049</v>
      </c>
      <c r="R53" s="147">
        <v>3.2224919928098128</v>
      </c>
      <c r="S53" s="147">
        <v>33.132597557421676</v>
      </c>
      <c r="T53" s="146">
        <v>0.1532155838029568</v>
      </c>
      <c r="U53" s="146">
        <v>0.13030144622632117</v>
      </c>
      <c r="V53" s="146">
        <v>5.9114049217197283E-2</v>
      </c>
      <c r="W53" s="146">
        <v>0.63149629307441901</v>
      </c>
      <c r="X53" s="146">
        <v>0.12165895420384185</v>
      </c>
      <c r="Y53" s="146">
        <v>0.95470595148672233</v>
      </c>
      <c r="Z53" s="146">
        <v>0.95470595148672233</v>
      </c>
      <c r="AA53" s="148">
        <v>0.19557867619586258</v>
      </c>
    </row>
    <row r="54" spans="1:27" ht="13.2">
      <c r="A54" s="145" t="s">
        <v>683</v>
      </c>
      <c r="B54" s="74">
        <v>17</v>
      </c>
      <c r="C54" s="146">
        <v>0.15850384615384616</v>
      </c>
      <c r="D54" s="146">
        <v>7.2923117575051641E-2</v>
      </c>
      <c r="E54" s="146">
        <v>0.12926389341779917</v>
      </c>
      <c r="F54" s="146">
        <v>0.44322557458970102</v>
      </c>
      <c r="G54" s="147">
        <v>0.87643280799530487</v>
      </c>
      <c r="H54" s="147">
        <v>1.1394185236914496</v>
      </c>
      <c r="I54" s="146">
        <v>9.1213252089806685E-2</v>
      </c>
      <c r="J54" s="146">
        <v>0.30280062793938978</v>
      </c>
      <c r="K54" s="146">
        <v>5.0854999999999997E-2</v>
      </c>
      <c r="L54" s="146">
        <v>0.34456840647253745</v>
      </c>
      <c r="M54" s="146">
        <v>7.2926316901414823E-2</v>
      </c>
      <c r="N54" s="147">
        <v>2.0704085648273138</v>
      </c>
      <c r="O54" s="147">
        <v>1.1711022809028628</v>
      </c>
      <c r="P54" s="147">
        <v>9.3426486012209295</v>
      </c>
      <c r="Q54" s="147">
        <v>15.610563143808655</v>
      </c>
      <c r="R54" s="147">
        <v>2.5364199127790323</v>
      </c>
      <c r="S54" s="147">
        <v>249.15655023807091</v>
      </c>
      <c r="T54" s="146">
        <v>9.126079195854167E-2</v>
      </c>
      <c r="U54" s="146">
        <v>2.2936760875543978E-2</v>
      </c>
      <c r="V54" s="146">
        <v>1.9833530163557829E-2</v>
      </c>
      <c r="W54" s="146">
        <v>0.16580160140452149</v>
      </c>
      <c r="X54" s="146">
        <v>2.6638000470444002E-2</v>
      </c>
      <c r="Y54" s="146">
        <v>2.2516908050975011</v>
      </c>
      <c r="Z54" s="146">
        <v>2.2516908050975011</v>
      </c>
      <c r="AA54" s="148">
        <v>7.5269931494080691E-2</v>
      </c>
    </row>
    <row r="55" spans="1:27" ht="13.2">
      <c r="A55" s="145" t="s">
        <v>684</v>
      </c>
      <c r="B55" s="74">
        <v>4</v>
      </c>
      <c r="C55" s="146">
        <v>1.7600000000000001E-2</v>
      </c>
      <c r="D55" s="146">
        <v>0.15595793751029599</v>
      </c>
      <c r="E55" s="146">
        <v>0.17039770081786265</v>
      </c>
      <c r="F55" s="146">
        <v>0.29512418516063021</v>
      </c>
      <c r="G55" s="147">
        <v>0.64404501383935209</v>
      </c>
      <c r="H55" s="147">
        <v>0.67065158444684592</v>
      </c>
      <c r="I55" s="146">
        <v>6.9649972884554906E-2</v>
      </c>
      <c r="J55" s="146">
        <v>0.26444809223182186</v>
      </c>
      <c r="K55" s="146">
        <v>5.0854999999999997E-2</v>
      </c>
      <c r="L55" s="146">
        <v>0.11113222576377609</v>
      </c>
      <c r="M55" s="146">
        <v>6.6148338379420288E-2</v>
      </c>
      <c r="N55" s="147">
        <v>1.3700896826288935</v>
      </c>
      <c r="O55" s="147">
        <v>1.3474820849008362</v>
      </c>
      <c r="P55" s="147">
        <v>6.2381265148709089</v>
      </c>
      <c r="Q55" s="147">
        <v>8.5388407205521357</v>
      </c>
      <c r="R55" s="147">
        <v>1.816944677335053</v>
      </c>
      <c r="S55" s="147">
        <v>8.0182128970163014</v>
      </c>
      <c r="T55" s="146">
        <v>3.3696495250123547E-2</v>
      </c>
      <c r="U55" s="146">
        <v>7.3867785953544554E-2</v>
      </c>
      <c r="V55" s="146">
        <v>-2.148426775026158E-4</v>
      </c>
      <c r="W55" s="146">
        <v>-1.671215236463339E-2</v>
      </c>
      <c r="X55" s="146">
        <v>0.19851813516763073</v>
      </c>
      <c r="Y55" s="146">
        <v>0.37142296537371583</v>
      </c>
      <c r="Z55" s="146">
        <v>0.37142296537371577</v>
      </c>
      <c r="AA55" s="148">
        <v>0.15779316761156298</v>
      </c>
    </row>
    <row r="56" spans="1:27" ht="13.2">
      <c r="A56" s="145" t="s">
        <v>611</v>
      </c>
      <c r="B56" s="74">
        <v>166</v>
      </c>
      <c r="C56" s="146">
        <v>0.2328005882352942</v>
      </c>
      <c r="D56" s="146">
        <v>0.37265839691067637</v>
      </c>
      <c r="E56" s="146">
        <v>0.28405709355869363</v>
      </c>
      <c r="F56" s="146">
        <v>0.20342463510697406</v>
      </c>
      <c r="G56" s="147">
        <v>0.82142049675943762</v>
      </c>
      <c r="H56" s="147">
        <v>0.92989873869595874</v>
      </c>
      <c r="I56" s="146">
        <v>8.1575341980014093E-2</v>
      </c>
      <c r="J56" s="146">
        <v>0.46310335310672146</v>
      </c>
      <c r="K56" s="146">
        <v>5.0854999999999997E-2</v>
      </c>
      <c r="L56" s="146">
        <v>0.18884246603997282</v>
      </c>
      <c r="M56" s="146">
        <v>7.3373140940301229E-2</v>
      </c>
      <c r="N56" s="147">
        <v>0.79856329783464552</v>
      </c>
      <c r="O56" s="147">
        <v>2.6500043086455731</v>
      </c>
      <c r="P56" s="147">
        <v>4.6683778175149708</v>
      </c>
      <c r="Q56" s="147">
        <v>6.9825673409011877</v>
      </c>
      <c r="R56" s="147">
        <v>1.9431230096211636</v>
      </c>
      <c r="S56" s="147">
        <v>16.325943214833998</v>
      </c>
      <c r="T56" s="146">
        <v>9.9951288617362785E-3</v>
      </c>
      <c r="U56" s="146">
        <v>0.30047596852821296</v>
      </c>
      <c r="V56" s="146">
        <v>0.16046402665504775</v>
      </c>
      <c r="W56" s="146">
        <v>0.50395048936072928</v>
      </c>
      <c r="X56" s="146">
        <v>0.31094799857184063</v>
      </c>
      <c r="Y56" s="146">
        <v>0.31272316107697362</v>
      </c>
      <c r="Z56" s="146">
        <v>0.31272316107697362</v>
      </c>
      <c r="AA56" s="148">
        <v>0.37686234244190675</v>
      </c>
    </row>
    <row r="57" spans="1:27" ht="13.2">
      <c r="A57" s="145" t="s">
        <v>685</v>
      </c>
      <c r="B57" s="74">
        <v>24</v>
      </c>
      <c r="C57" s="146">
        <v>0.27451533333333339</v>
      </c>
      <c r="D57" s="146">
        <v>0.37953024273539593</v>
      </c>
      <c r="E57" s="146">
        <v>0.20602082553480802</v>
      </c>
      <c r="F57" s="146">
        <v>0.18244447623517368</v>
      </c>
      <c r="G57" s="147">
        <v>0.52912157126984105</v>
      </c>
      <c r="H57" s="147">
        <v>0.79075215100878704</v>
      </c>
      <c r="I57" s="146">
        <v>7.5174598946404214E-2</v>
      </c>
      <c r="J57" s="146">
        <v>0.32547547332498222</v>
      </c>
      <c r="K57" s="146">
        <v>5.0854999999999997E-2</v>
      </c>
      <c r="L57" s="146">
        <v>0.4125209705549901</v>
      </c>
      <c r="M57" s="146">
        <v>5.9897565896131919E-2</v>
      </c>
      <c r="N57" s="147">
        <v>0.59413677185269997</v>
      </c>
      <c r="O57" s="147">
        <v>3.5771916018946355</v>
      </c>
      <c r="P57" s="147">
        <v>7.3117668440851462</v>
      </c>
      <c r="Q57" s="147">
        <v>9.2923197649384655</v>
      </c>
      <c r="R57" s="147">
        <v>2.3169738478309978</v>
      </c>
      <c r="S57" s="147">
        <v>18.412840120237689</v>
      </c>
      <c r="T57" s="146">
        <v>2.5338522415672818E-2</v>
      </c>
      <c r="U57" s="146">
        <v>0.16531343804567911</v>
      </c>
      <c r="V57" s="146">
        <v>0.13121071073961837</v>
      </c>
      <c r="W57" s="146">
        <v>0.40284567963839019</v>
      </c>
      <c r="X57" s="146">
        <v>0.42406084058617804</v>
      </c>
      <c r="Y57" s="146">
        <v>0.39844096378722926</v>
      </c>
      <c r="Z57" s="146">
        <v>0.39844096378722926</v>
      </c>
      <c r="AA57" s="148">
        <v>0.38210569457340066</v>
      </c>
    </row>
    <row r="58" spans="1:27" ht="13.2">
      <c r="A58" s="145" t="s">
        <v>686</v>
      </c>
      <c r="B58" s="74">
        <v>100</v>
      </c>
      <c r="C58" s="146">
        <v>7.7372121212121239E-2</v>
      </c>
      <c r="D58" s="146">
        <v>8.7209149027514102E-2</v>
      </c>
      <c r="E58" s="146">
        <v>0.28021406956927292</v>
      </c>
      <c r="F58" s="146">
        <v>0.2183798745548326</v>
      </c>
      <c r="G58" s="147">
        <v>0.85290173814940118</v>
      </c>
      <c r="H58" s="147">
        <v>0.9795500315745983</v>
      </c>
      <c r="I58" s="146">
        <v>8.385930145243152E-2</v>
      </c>
      <c r="J58" s="146">
        <v>0.43728736432048126</v>
      </c>
      <c r="K58" s="146">
        <v>5.0854999999999997E-2</v>
      </c>
      <c r="L58" s="146">
        <v>0.24322695079309051</v>
      </c>
      <c r="M58" s="146">
        <v>7.2739439201454981E-2</v>
      </c>
      <c r="N58" s="147">
        <v>3.553462668606814</v>
      </c>
      <c r="O58" s="147">
        <v>0.62823830145194459</v>
      </c>
      <c r="P58" s="147">
        <v>5.4241303880351577</v>
      </c>
      <c r="Q58" s="147">
        <v>7.0794352962597635</v>
      </c>
      <c r="R58" s="147">
        <v>1.9840962070304522</v>
      </c>
      <c r="S58" s="147">
        <v>70.298228177707173</v>
      </c>
      <c r="T58" s="146">
        <v>6.3418447061245012E-2</v>
      </c>
      <c r="U58" s="146">
        <v>2.3634819010543238E-2</v>
      </c>
      <c r="V58" s="146">
        <v>5.7629495091217316E-3</v>
      </c>
      <c r="W58" s="146">
        <v>0.15485672710250106</v>
      </c>
      <c r="X58" s="146">
        <v>0.29646913716435203</v>
      </c>
      <c r="Y58" s="146">
        <v>0.18808725311152891</v>
      </c>
      <c r="Z58" s="146">
        <v>0.18808725311152896</v>
      </c>
      <c r="AA58" s="148">
        <v>8.846245675775162E-2</v>
      </c>
    </row>
    <row r="59" spans="1:27" ht="13.2">
      <c r="A59" s="145" t="s">
        <v>687</v>
      </c>
      <c r="B59" s="74">
        <v>22</v>
      </c>
      <c r="C59" s="146">
        <v>3.4183888888888882E-2</v>
      </c>
      <c r="D59" s="146">
        <v>9.7594601728491798E-2</v>
      </c>
      <c r="E59" s="146">
        <v>0.14213647578465585</v>
      </c>
      <c r="F59" s="146">
        <v>0.2399155168186175</v>
      </c>
      <c r="G59" s="147">
        <v>0.80686586053260567</v>
      </c>
      <c r="H59" s="147">
        <v>1.1327220379604754</v>
      </c>
      <c r="I59" s="146">
        <v>9.0905213746181879E-2</v>
      </c>
      <c r="J59" s="146">
        <v>0.26242708965746769</v>
      </c>
      <c r="K59" s="146">
        <v>5.0854999999999997E-2</v>
      </c>
      <c r="L59" s="146">
        <v>0.37988410428510205</v>
      </c>
      <c r="M59" s="146">
        <v>7.0861022639931978E-2</v>
      </c>
      <c r="N59" s="147">
        <v>1.7390682733466043</v>
      </c>
      <c r="O59" s="147">
        <v>1.3995514423034054</v>
      </c>
      <c r="P59" s="147">
        <v>8.6311154282377931</v>
      </c>
      <c r="Q59" s="147">
        <v>14.02966201208884</v>
      </c>
      <c r="R59" s="147">
        <v>2.5748982613891491</v>
      </c>
      <c r="S59" s="147">
        <v>19.636247288161293</v>
      </c>
      <c r="T59" s="146">
        <v>0.11122681556948795</v>
      </c>
      <c r="U59" s="146">
        <v>6.1265537922326724E-2</v>
      </c>
      <c r="V59" s="146">
        <v>4.8285256933559742E-2</v>
      </c>
      <c r="W59" s="146">
        <v>0.67963203594423915</v>
      </c>
      <c r="X59" s="146">
        <v>8.5430656930737564E-2</v>
      </c>
      <c r="Y59" s="146">
        <v>0.70221790425170683</v>
      </c>
      <c r="Z59" s="146">
        <v>0.70221790425170683</v>
      </c>
      <c r="AA59" s="148">
        <v>9.9802579714606279E-2</v>
      </c>
    </row>
    <row r="60" spans="1:27" ht="13.2">
      <c r="A60" s="145" t="s">
        <v>688</v>
      </c>
      <c r="B60" s="74">
        <v>7</v>
      </c>
      <c r="C60" s="146">
        <v>3.8425000000000001E-2</v>
      </c>
      <c r="D60" s="146">
        <v>9.9619899214932001E-2</v>
      </c>
      <c r="E60" s="146">
        <v>0.18901373691463047</v>
      </c>
      <c r="F60" s="146">
        <v>0.30911701363962674</v>
      </c>
      <c r="G60" s="147">
        <v>1.5902925666995296</v>
      </c>
      <c r="H60" s="147">
        <v>1.9382231536190784</v>
      </c>
      <c r="I60" s="146">
        <v>0.12795826506647762</v>
      </c>
      <c r="J60" s="146">
        <v>0.43036486711913036</v>
      </c>
      <c r="K60" s="146">
        <v>5.0854999999999997E-2</v>
      </c>
      <c r="L60" s="146">
        <v>0.27203680189153673</v>
      </c>
      <c r="M60" s="146">
        <v>0.10352473153234908</v>
      </c>
      <c r="N60" s="147">
        <v>2.1382237014668712</v>
      </c>
      <c r="O60" s="147">
        <v>1.039978868393705</v>
      </c>
      <c r="P60" s="147">
        <v>7.0633686570128136</v>
      </c>
      <c r="Q60" s="147">
        <v>10.309929699692999</v>
      </c>
      <c r="R60" s="147">
        <v>2.420835985244048</v>
      </c>
      <c r="S60" s="147">
        <v>19.990268135629133</v>
      </c>
      <c r="T60" s="146">
        <v>0.12896672468828177</v>
      </c>
      <c r="U60" s="146">
        <v>7.5908105941041221E-2</v>
      </c>
      <c r="V60" s="146">
        <v>5.0747159393665635E-2</v>
      </c>
      <c r="W60" s="146">
        <v>0.99702940057992662</v>
      </c>
      <c r="X60" s="146">
        <v>0.15165444471442061</v>
      </c>
      <c r="Y60" s="146">
        <v>0.27578599007170435</v>
      </c>
      <c r="Z60" s="146">
        <v>0.27578599007170435</v>
      </c>
      <c r="AA60" s="148">
        <v>0.10140987860769964</v>
      </c>
    </row>
    <row r="61" spans="1:27" ht="13.2">
      <c r="A61" s="145" t="s">
        <v>689</v>
      </c>
      <c r="B61" s="74">
        <v>50</v>
      </c>
      <c r="C61" s="146">
        <v>5.3279999999999987E-2</v>
      </c>
      <c r="D61" s="146">
        <v>0.16292988851641926</v>
      </c>
      <c r="E61" s="146">
        <v>5.7838808795451627E-2</v>
      </c>
      <c r="F61" s="146">
        <v>0.16140322753814085</v>
      </c>
      <c r="G61" s="147">
        <v>0.3885061927976376</v>
      </c>
      <c r="H61" s="147">
        <v>0.65062741829817849</v>
      </c>
      <c r="I61" s="146">
        <v>6.8728861241716205E-2</v>
      </c>
      <c r="J61" s="146">
        <v>0.20394370124554315</v>
      </c>
      <c r="K61" s="146">
        <v>4.5043E-2</v>
      </c>
      <c r="L61" s="146">
        <v>0.48166097793207796</v>
      </c>
      <c r="M61" s="146">
        <v>5.189644229561903E-2</v>
      </c>
      <c r="N61" s="147">
        <v>0.4114319764618295</v>
      </c>
      <c r="O61" s="147">
        <v>3.7153854274683433</v>
      </c>
      <c r="P61" s="147">
        <v>11.691846058595218</v>
      </c>
      <c r="Q61" s="147">
        <v>22.339910401761529</v>
      </c>
      <c r="R61" s="147">
        <v>1.7113225687107074</v>
      </c>
      <c r="S61" s="147">
        <v>23.19158205893271</v>
      </c>
      <c r="T61" s="146">
        <v>8.2551593545111768E-2</v>
      </c>
      <c r="U61" s="146">
        <v>0.33954089511344704</v>
      </c>
      <c r="V61" s="146">
        <v>0.22702951827873996</v>
      </c>
      <c r="W61" s="146">
        <v>1.7342755771524554</v>
      </c>
      <c r="X61" s="146">
        <v>8.6033634105900814E-2</v>
      </c>
      <c r="Y61" s="146">
        <v>0.76674406940227546</v>
      </c>
      <c r="Z61" s="146">
        <v>0.76674406940227546</v>
      </c>
      <c r="AA61" s="148">
        <v>0.16287010099737925</v>
      </c>
    </row>
    <row r="62" spans="1:27" ht="13.2">
      <c r="A62" s="145" t="s">
        <v>690</v>
      </c>
      <c r="B62" s="74">
        <v>61</v>
      </c>
      <c r="C62" s="146">
        <v>0.116358</v>
      </c>
      <c r="D62" s="146">
        <v>9.4815347859160626E-2</v>
      </c>
      <c r="E62" s="146">
        <v>4.6929693296862557E-2</v>
      </c>
      <c r="F62" s="146">
        <v>0.22878493646304626</v>
      </c>
      <c r="G62" s="147">
        <v>0.83008391475465471</v>
      </c>
      <c r="H62" s="147">
        <v>0.86895093981506022</v>
      </c>
      <c r="I62" s="146">
        <v>7.8771743231492775E-2</v>
      </c>
      <c r="J62" s="146">
        <v>0.63609473927989657</v>
      </c>
      <c r="K62" s="146">
        <v>5.3524000000000002E-2</v>
      </c>
      <c r="L62" s="146">
        <v>0.13198988940179562</v>
      </c>
      <c r="M62" s="146">
        <v>7.3673139684637678E-2</v>
      </c>
      <c r="N62" s="147">
        <v>0.50505304327330192</v>
      </c>
      <c r="O62" s="147">
        <v>3.955802095084481</v>
      </c>
      <c r="P62" s="147">
        <v>13.009572620028603</v>
      </c>
      <c r="Q62" s="147">
        <v>40.056477737396648</v>
      </c>
      <c r="R62" s="147">
        <v>2.0363465513114485</v>
      </c>
      <c r="S62" s="147">
        <v>34.232639448888236</v>
      </c>
      <c r="T62" s="146">
        <v>9.8325052009865355E-2</v>
      </c>
      <c r="U62" s="146">
        <v>0.25407970239525501</v>
      </c>
      <c r="V62" s="146">
        <v>9.5405975749894428E-2</v>
      </c>
      <c r="W62" s="146">
        <v>1.4626231735473461</v>
      </c>
      <c r="X62" s="146">
        <v>-2.3341970007055318E-2</v>
      </c>
      <c r="Y62" s="146">
        <v>8.8351216929083726E-3</v>
      </c>
      <c r="Z62" s="146">
        <v>8.8351216929083431E-3</v>
      </c>
      <c r="AA62" s="148">
        <v>9.4817432437201393E-2</v>
      </c>
    </row>
    <row r="63" spans="1:27" ht="13.2">
      <c r="A63" s="145" t="s">
        <v>691</v>
      </c>
      <c r="B63" s="74">
        <v>21</v>
      </c>
      <c r="C63" s="146">
        <v>1.4301538461538454E-2</v>
      </c>
      <c r="D63" s="146">
        <v>7.799268875649687E-2</v>
      </c>
      <c r="E63" s="146">
        <v>0.13864542842203184</v>
      </c>
      <c r="F63" s="146">
        <v>0.30084662624835684</v>
      </c>
      <c r="G63" s="147">
        <v>0.82298346208105466</v>
      </c>
      <c r="H63" s="147">
        <v>0.96111364761823381</v>
      </c>
      <c r="I63" s="146">
        <v>8.3011227790438763E-2</v>
      </c>
      <c r="J63" s="146">
        <v>0.38203317252748159</v>
      </c>
      <c r="K63" s="146">
        <v>5.0854999999999997E-2</v>
      </c>
      <c r="L63" s="146">
        <v>0.24514393589381342</v>
      </c>
      <c r="M63" s="146">
        <v>7.2011624831422621E-2</v>
      </c>
      <c r="N63" s="147">
        <v>2.0023430300609588</v>
      </c>
      <c r="O63" s="147">
        <v>1.4417508854588179</v>
      </c>
      <c r="P63" s="147">
        <v>10.524430352410006</v>
      </c>
      <c r="Q63" s="147">
        <v>18.911615383953578</v>
      </c>
      <c r="R63" s="147">
        <v>2.054348258457602</v>
      </c>
      <c r="S63" s="147">
        <v>29.241403521063901</v>
      </c>
      <c r="T63" s="146">
        <v>0.10133375540284054</v>
      </c>
      <c r="U63" s="146">
        <v>3.5944126672785327E-2</v>
      </c>
      <c r="V63" s="146">
        <v>-1.2909705831287229E-2</v>
      </c>
      <c r="W63" s="146">
        <v>-0.13309544549517302</v>
      </c>
      <c r="X63" s="146">
        <v>3.3967877910674668E-2</v>
      </c>
      <c r="Y63" s="146">
        <v>0.87155132679265179</v>
      </c>
      <c r="Z63" s="146">
        <v>0.87155132679265179</v>
      </c>
      <c r="AA63" s="148">
        <v>7.6833613953210839E-2</v>
      </c>
    </row>
    <row r="64" spans="1:27" ht="13.2">
      <c r="A64" s="145" t="s">
        <v>692</v>
      </c>
      <c r="B64" s="74">
        <v>193</v>
      </c>
      <c r="C64" s="146">
        <v>8.359719512195124E-2</v>
      </c>
      <c r="D64" s="146">
        <v>0.243406841238619</v>
      </c>
      <c r="E64" s="146">
        <v>2.9812175117724469E-2</v>
      </c>
      <c r="F64" s="146">
        <v>3.2128429308851889E-2</v>
      </c>
      <c r="G64" s="147">
        <v>0.66006354212432161</v>
      </c>
      <c r="H64" s="147">
        <v>1.0315825268097811</v>
      </c>
      <c r="I64" s="146">
        <v>8.625279623324994E-2</v>
      </c>
      <c r="J64" s="146">
        <v>0.23718238142541787</v>
      </c>
      <c r="K64" s="146">
        <v>4.5043E-2</v>
      </c>
      <c r="L64" s="146">
        <v>0.44146512350526418</v>
      </c>
      <c r="M64" s="146">
        <v>6.3088880059999575E-2</v>
      </c>
      <c r="N64" s="147">
        <v>0.13967726747915735</v>
      </c>
      <c r="O64" s="147">
        <v>11.49492573699334</v>
      </c>
      <c r="P64" s="147">
        <v>21.021909275607779</v>
      </c>
      <c r="Q64" s="147">
        <v>47.68030534436101</v>
      </c>
      <c r="R64" s="147">
        <v>2.0128630891188832</v>
      </c>
      <c r="S64" s="147">
        <v>117.17420797066069</v>
      </c>
      <c r="T64" s="146">
        <v>1.3368628412334298</v>
      </c>
      <c r="U64" s="146">
        <v>2.9654279265403011E-2</v>
      </c>
      <c r="V64" s="146">
        <v>-0.15119507768229209</v>
      </c>
      <c r="W64" s="146">
        <v>-0.66513831480579866</v>
      </c>
      <c r="X64" s="146">
        <v>4.5722711158027979E-2</v>
      </c>
      <c r="Y64" s="146">
        <v>2.1521878536304322</v>
      </c>
      <c r="Z64" s="146">
        <v>2.1521878536304322</v>
      </c>
      <c r="AA64" s="148">
        <v>0.2176858060671846</v>
      </c>
    </row>
    <row r="65" spans="1:27" ht="13.2">
      <c r="A65" s="145" t="s">
        <v>693</v>
      </c>
      <c r="B65" s="74">
        <v>17</v>
      </c>
      <c r="C65" s="146">
        <v>0.55561666666666665</v>
      </c>
      <c r="D65" s="146">
        <v>0.1260895802230371</v>
      </c>
      <c r="E65" s="146">
        <v>2.9287042485061747E-2</v>
      </c>
      <c r="F65" s="146">
        <v>0.24259357814440308</v>
      </c>
      <c r="G65" s="147">
        <v>0.4314363177605709</v>
      </c>
      <c r="H65" s="147">
        <v>0.66859406140799615</v>
      </c>
      <c r="I65" s="146">
        <v>6.9555326824767824E-2</v>
      </c>
      <c r="J65" s="146">
        <v>0.34240037014717128</v>
      </c>
      <c r="K65" s="146">
        <v>5.0854999999999997E-2</v>
      </c>
      <c r="L65" s="146">
        <v>0.48479507760579099</v>
      </c>
      <c r="M65" s="146">
        <v>5.4325937012590225E-2</v>
      </c>
      <c r="N65" s="147">
        <v>0.26632691318970303</v>
      </c>
      <c r="O65" s="147">
        <v>4.3826293726146881</v>
      </c>
      <c r="P65" s="147">
        <v>17.93205737756681</v>
      </c>
      <c r="Q65" s="147">
        <v>36.271131152719285</v>
      </c>
      <c r="R65" s="147">
        <v>1.3514347597641898</v>
      </c>
      <c r="S65" s="147">
        <v>8.0221176983239513</v>
      </c>
      <c r="T65" s="146">
        <v>4.0784818863112492E-2</v>
      </c>
      <c r="U65" s="146">
        <v>2.5419140294122532E-2</v>
      </c>
      <c r="V65" s="146">
        <v>-5.9288075101082707E-2</v>
      </c>
      <c r="W65" s="146">
        <v>-0.97271208117751418</v>
      </c>
      <c r="X65" s="146">
        <v>-8.5380378934187581E-2</v>
      </c>
      <c r="Y65" s="146">
        <v>0</v>
      </c>
      <c r="Z65" s="146">
        <v>0</v>
      </c>
      <c r="AA65" s="148">
        <v>0.11158676233778687</v>
      </c>
    </row>
    <row r="66" spans="1:27" ht="13.2">
      <c r="A66" s="145" t="s">
        <v>694</v>
      </c>
      <c r="B66" s="74">
        <v>11</v>
      </c>
      <c r="C66" s="146">
        <v>9.080400000000001E-2</v>
      </c>
      <c r="D66" s="146">
        <v>0.16131826431281968</v>
      </c>
      <c r="E66" s="146">
        <v>5.3122203722769448E-2</v>
      </c>
      <c r="F66" s="146">
        <v>0.17400095021907827</v>
      </c>
      <c r="G66" s="147">
        <v>0.51252675181814633</v>
      </c>
      <c r="H66" s="147">
        <v>0.56357223766363951</v>
      </c>
      <c r="I66" s="146">
        <v>6.4724322932527417E-2</v>
      </c>
      <c r="J66" s="146">
        <v>0.35907096541478567</v>
      </c>
      <c r="K66" s="146">
        <v>5.0854999999999997E-2</v>
      </c>
      <c r="L66" s="146">
        <v>0.24171470192446345</v>
      </c>
      <c r="M66" s="146">
        <v>5.8298803382405277E-2</v>
      </c>
      <c r="N66" s="147">
        <v>0.37242041233481304</v>
      </c>
      <c r="O66" s="147">
        <v>4.7788406442155482</v>
      </c>
      <c r="P66" s="147">
        <v>18.009159397595386</v>
      </c>
      <c r="Q66" s="147">
        <v>28.438668024742345</v>
      </c>
      <c r="R66" s="147">
        <v>1.2470691827068427</v>
      </c>
      <c r="S66" s="147">
        <v>33.226230825792904</v>
      </c>
      <c r="T66" s="146">
        <v>2.0129995050321732</v>
      </c>
      <c r="U66" s="146">
        <v>2.8403728757630749E-2</v>
      </c>
      <c r="V66" s="146">
        <v>-5.1359511631743945E-2</v>
      </c>
      <c r="W66" s="146">
        <v>-0.59412378257803355</v>
      </c>
      <c r="X66" s="146">
        <v>9.1092056157810561E-2</v>
      </c>
      <c r="Y66" s="146">
        <v>0.24923181973369751</v>
      </c>
      <c r="Z66" s="146">
        <v>0.24923181973369757</v>
      </c>
      <c r="AA66" s="148">
        <v>0.1643542931994576</v>
      </c>
    </row>
    <row r="67" spans="1:27" ht="13.2">
      <c r="A67" s="145" t="s">
        <v>695</v>
      </c>
      <c r="B67" s="74">
        <v>60</v>
      </c>
      <c r="C67" s="146">
        <v>5.4392666666666666E-2</v>
      </c>
      <c r="D67" s="146">
        <v>-2.8357035717595817E-3</v>
      </c>
      <c r="E67" s="146">
        <v>6.7119159647465029E-4</v>
      </c>
      <c r="F67" s="146">
        <v>0.18035278243626368</v>
      </c>
      <c r="G67" s="147">
        <v>0.88284638532075765</v>
      </c>
      <c r="H67" s="147">
        <v>1.0801188936162607</v>
      </c>
      <c r="I67" s="146">
        <v>8.8485469106347997E-2</v>
      </c>
      <c r="J67" s="146">
        <v>0.44192228893495522</v>
      </c>
      <c r="K67" s="146">
        <v>5.0854999999999997E-2</v>
      </c>
      <c r="L67" s="146">
        <v>0.30827148132425231</v>
      </c>
      <c r="M67" s="146">
        <v>7.2965782106321375E-2</v>
      </c>
      <c r="N67" s="147">
        <v>1.44524314073108</v>
      </c>
      <c r="O67" s="147">
        <v>1.5074220348746605</v>
      </c>
      <c r="P67" s="147">
        <v>14.981930532197556</v>
      </c>
      <c r="Q67" s="147" t="s">
        <v>88</v>
      </c>
      <c r="R67" s="147">
        <v>2.8721502379113324</v>
      </c>
      <c r="S67" s="147">
        <v>104.23604792269977</v>
      </c>
      <c r="T67" s="146">
        <v>9.6938280068516611E-2</v>
      </c>
      <c r="U67" s="146">
        <v>1.3030956034781528E-2</v>
      </c>
      <c r="V67" s="146">
        <v>-1.1660648443319731E-2</v>
      </c>
      <c r="W67" s="146" t="s">
        <v>88</v>
      </c>
      <c r="X67" s="146">
        <v>-8.2699453594316241E-2</v>
      </c>
      <c r="Y67" s="146">
        <v>7.6188461338059024E-3</v>
      </c>
      <c r="Z67" s="146">
        <v>7.6188461338059232E-3</v>
      </c>
      <c r="AA67" s="148">
        <v>4.8652777182227547E-4</v>
      </c>
    </row>
    <row r="68" spans="1:27" ht="13.2">
      <c r="A68" s="145" t="s">
        <v>696</v>
      </c>
      <c r="B68" s="74">
        <v>55</v>
      </c>
      <c r="C68" s="146">
        <v>0.10951862068965518</v>
      </c>
      <c r="D68" s="146">
        <v>9.6590436589090084E-2</v>
      </c>
      <c r="E68" s="146">
        <v>9.5367541711306333E-2</v>
      </c>
      <c r="F68" s="146">
        <v>0.27908973850786251</v>
      </c>
      <c r="G68" s="147">
        <v>0.84887800605574826</v>
      </c>
      <c r="H68" s="147">
        <v>1.17128693009822</v>
      </c>
      <c r="I68" s="146">
        <v>9.2679198784518121E-2</v>
      </c>
      <c r="J68" s="146">
        <v>0.44295221149390968</v>
      </c>
      <c r="K68" s="146">
        <v>5.0854999999999997E-2</v>
      </c>
      <c r="L68" s="146">
        <v>0.36938218119030658</v>
      </c>
      <c r="M68" s="146">
        <v>7.2533852304847587E-2</v>
      </c>
      <c r="N68" s="147">
        <v>1.28318501683349</v>
      </c>
      <c r="O68" s="147">
        <v>1.8421118883204324</v>
      </c>
      <c r="P68" s="147">
        <v>9.9873894498440308</v>
      </c>
      <c r="Q68" s="147">
        <v>21.71796210872423</v>
      </c>
      <c r="R68" s="147">
        <v>3.4596231451635577</v>
      </c>
      <c r="S68" s="147">
        <v>27.700115574206265</v>
      </c>
      <c r="T68" s="146">
        <v>0.18037794033907653</v>
      </c>
      <c r="U68" s="146">
        <v>7.1115609943383618E-2</v>
      </c>
      <c r="V68" s="146">
        <v>3.2100923079553575E-2</v>
      </c>
      <c r="W68" s="146">
        <v>0.56158342782299575</v>
      </c>
      <c r="X68" s="146">
        <v>2.5626629604530146E-2</v>
      </c>
      <c r="Y68" s="146">
        <v>1.9958513365724233</v>
      </c>
      <c r="Z68" s="146">
        <v>1.9958513365724233</v>
      </c>
      <c r="AA68" s="148">
        <v>8.10090946051851E-2</v>
      </c>
    </row>
    <row r="69" spans="1:27" ht="13.2">
      <c r="A69" s="145" t="s">
        <v>697</v>
      </c>
      <c r="B69" s="74">
        <v>1</v>
      </c>
      <c r="C69" s="146">
        <v>6.9500000000000006E-2</v>
      </c>
      <c r="D69" s="146">
        <v>9.6556719411633601E-2</v>
      </c>
      <c r="E69" s="146">
        <v>0.30116910073399067</v>
      </c>
      <c r="F69" s="146">
        <v>0.22953020134228189</v>
      </c>
      <c r="G69" s="147">
        <v>0.60985091839783168</v>
      </c>
      <c r="H69" s="147">
        <v>0.65514402605202471</v>
      </c>
      <c r="I69" s="146">
        <v>6.8936625198393137E-2</v>
      </c>
      <c r="J69" s="146">
        <v>0.17094029032718663</v>
      </c>
      <c r="K69" s="146">
        <v>4.5043E-2</v>
      </c>
      <c r="L69" s="146">
        <v>0.29842458571273739</v>
      </c>
      <c r="M69" s="146">
        <v>5.8445695343822532E-2</v>
      </c>
      <c r="N69" s="147">
        <v>4.0484415459074663</v>
      </c>
      <c r="O69" s="147">
        <v>0.68963176352401712</v>
      </c>
      <c r="P69" s="147">
        <v>7.2830308277311326</v>
      </c>
      <c r="Q69" s="147">
        <v>7.1425014429623443</v>
      </c>
      <c r="R69" s="147">
        <v>1.3077640132466577</v>
      </c>
      <c r="S69" s="147">
        <v>9.3446099912357585</v>
      </c>
      <c r="T69" s="146">
        <v>0.17093826610207266</v>
      </c>
      <c r="U69" s="146">
        <v>1.4486293737463784E-3</v>
      </c>
      <c r="V69" s="146">
        <v>4.3263873412079337E-2</v>
      </c>
      <c r="W69" s="146">
        <v>0.75607995316740739</v>
      </c>
      <c r="X69" s="146">
        <v>0.31234601697235148</v>
      </c>
      <c r="Y69" s="146">
        <v>0.18930762489044697</v>
      </c>
      <c r="Z69" s="146">
        <v>0.18930762489044695</v>
      </c>
      <c r="AA69" s="148">
        <v>9.6553255050935372E-2</v>
      </c>
    </row>
    <row r="70" spans="1:27" ht="13.2">
      <c r="A70" s="145" t="s">
        <v>698</v>
      </c>
      <c r="B70" s="74">
        <v>64</v>
      </c>
      <c r="C70" s="146">
        <v>6.7960000000000007E-2</v>
      </c>
      <c r="D70" s="146">
        <v>0.15800225916236191</v>
      </c>
      <c r="E70" s="146">
        <v>0.19557552942837814</v>
      </c>
      <c r="F70" s="146">
        <v>0.19967846424718289</v>
      </c>
      <c r="G70" s="147">
        <v>1.0243276951296387</v>
      </c>
      <c r="H70" s="147">
        <v>1.194577320424228</v>
      </c>
      <c r="I70" s="146">
        <v>9.375055673951449E-2</v>
      </c>
      <c r="J70" s="146">
        <v>0.35372310643077254</v>
      </c>
      <c r="K70" s="146">
        <v>5.0854999999999997E-2</v>
      </c>
      <c r="L70" s="146">
        <v>0.20462608516509845</v>
      </c>
      <c r="M70" s="146">
        <v>8.2371442002662512E-2</v>
      </c>
      <c r="N70" s="147">
        <v>1.6196890156518917</v>
      </c>
      <c r="O70" s="147">
        <v>4.1943615958584566</v>
      </c>
      <c r="P70" s="147">
        <v>16.598910443571427</v>
      </c>
      <c r="Q70" s="147">
        <v>29.333020694460565</v>
      </c>
      <c r="R70" s="147" t="s">
        <v>88</v>
      </c>
      <c r="S70" s="147">
        <v>94.189098132402151</v>
      </c>
      <c r="T70" s="146">
        <v>8.6042887900802303E-3</v>
      </c>
      <c r="U70" s="146">
        <v>5.7944026102845256E-2</v>
      </c>
      <c r="V70" s="146">
        <v>3.5722685370995058E-2</v>
      </c>
      <c r="W70" s="146">
        <v>0.34511083241843721</v>
      </c>
      <c r="X70" s="146" t="s">
        <v>88</v>
      </c>
      <c r="Y70" s="146">
        <v>0.53075598955740277</v>
      </c>
      <c r="Z70" s="146">
        <v>0.53075598955740277</v>
      </c>
      <c r="AA70" s="148">
        <v>0.13614064338279905</v>
      </c>
    </row>
    <row r="71" spans="1:27" ht="13.2">
      <c r="A71" s="145" t="s">
        <v>699</v>
      </c>
      <c r="B71" s="74">
        <v>30</v>
      </c>
      <c r="C71" s="146">
        <v>0.17498636363636366</v>
      </c>
      <c r="D71" s="146">
        <v>6.1756206429810209E-2</v>
      </c>
      <c r="E71" s="146">
        <v>0.13195481158300898</v>
      </c>
      <c r="F71" s="146">
        <v>0.23751485780163534</v>
      </c>
      <c r="G71" s="147">
        <v>1.0587643053346871</v>
      </c>
      <c r="H71" s="147">
        <v>1.4944959500823904</v>
      </c>
      <c r="I71" s="146">
        <v>0.10754681370378996</v>
      </c>
      <c r="J71" s="146">
        <v>0.46787574959813977</v>
      </c>
      <c r="K71" s="146">
        <v>5.0854999999999997E-2</v>
      </c>
      <c r="L71" s="146">
        <v>0.36513247499984208</v>
      </c>
      <c r="M71" s="146">
        <v>8.2204588449865917E-2</v>
      </c>
      <c r="N71" s="147">
        <v>2.6698337874045341</v>
      </c>
      <c r="O71" s="147">
        <v>1.0494760169508079</v>
      </c>
      <c r="P71" s="147">
        <v>11.625721407059311</v>
      </c>
      <c r="Q71" s="147">
        <v>17.424466432833757</v>
      </c>
      <c r="R71" s="147">
        <v>6.9701147308624885</v>
      </c>
      <c r="S71" s="147">
        <v>17.888727923754509</v>
      </c>
      <c r="T71" s="146">
        <v>9.9833697994084286E-2</v>
      </c>
      <c r="U71" s="146">
        <v>1.9066371040589995E-2</v>
      </c>
      <c r="V71" s="146">
        <v>2.1762603098834987E-2</v>
      </c>
      <c r="W71" s="146">
        <v>0.71346116785558666</v>
      </c>
      <c r="X71" s="146">
        <v>0.47328545526154348</v>
      </c>
      <c r="Y71" s="146">
        <v>5.7941597498037609E-2</v>
      </c>
      <c r="Z71" s="146">
        <v>5.7941597498037622E-2</v>
      </c>
      <c r="AA71" s="148">
        <v>5.7130049786012285E-2</v>
      </c>
    </row>
    <row r="72" spans="1:27" ht="13.2">
      <c r="A72" s="145" t="s">
        <v>700</v>
      </c>
      <c r="B72" s="74">
        <v>16</v>
      </c>
      <c r="C72" s="146">
        <v>8.9053846153846164E-2</v>
      </c>
      <c r="D72" s="146">
        <v>0.12513815577176424</v>
      </c>
      <c r="E72" s="146">
        <v>0.39426101011063314</v>
      </c>
      <c r="F72" s="146">
        <v>0.24040748843756385</v>
      </c>
      <c r="G72" s="147">
        <v>1.704153179546406</v>
      </c>
      <c r="H72" s="147">
        <v>1.9381785697071496</v>
      </c>
      <c r="I72" s="146">
        <v>0.12795621420652886</v>
      </c>
      <c r="J72" s="146">
        <v>0.45210582664645632</v>
      </c>
      <c r="K72" s="146">
        <v>5.0854999999999997E-2</v>
      </c>
      <c r="L72" s="146">
        <v>0.16613035370375878</v>
      </c>
      <c r="M72" s="146">
        <v>0.11303522243500778</v>
      </c>
      <c r="N72" s="147">
        <v>3.6418165867455921</v>
      </c>
      <c r="O72" s="147">
        <v>2.1699324764427979</v>
      </c>
      <c r="P72" s="147">
        <v>13.331901910729169</v>
      </c>
      <c r="Q72" s="147">
        <v>17.190761080323021</v>
      </c>
      <c r="R72" s="147" t="s">
        <v>88</v>
      </c>
      <c r="S72" s="147">
        <v>27.87080707923468</v>
      </c>
      <c r="T72" s="146">
        <v>8.4696827644573189E-2</v>
      </c>
      <c r="U72" s="146">
        <v>2.4278467792407967E-2</v>
      </c>
      <c r="V72" s="146">
        <v>8.4849635897816383E-3</v>
      </c>
      <c r="W72" s="146">
        <v>2.3337337560001278E-2</v>
      </c>
      <c r="X72" s="146" t="s">
        <v>88</v>
      </c>
      <c r="Y72" s="146">
        <v>0.46644741818218693</v>
      </c>
      <c r="Z72" s="146">
        <v>0.46644741818218693</v>
      </c>
      <c r="AA72" s="148">
        <v>0.1238432505090802</v>
      </c>
    </row>
    <row r="73" spans="1:27" ht="13.2">
      <c r="A73" s="145" t="s">
        <v>701</v>
      </c>
      <c r="B73" s="74">
        <v>62</v>
      </c>
      <c r="C73" s="146">
        <v>5.8054594594594583E-2</v>
      </c>
      <c r="D73" s="146">
        <v>0.11953213688630857</v>
      </c>
      <c r="E73" s="146">
        <v>0.18608587925495401</v>
      </c>
      <c r="F73" s="146">
        <v>0.23449866940082945</v>
      </c>
      <c r="G73" s="147">
        <v>0.90932555384051728</v>
      </c>
      <c r="H73" s="147">
        <v>1.106042693037566</v>
      </c>
      <c r="I73" s="146">
        <v>8.967796387972804E-2</v>
      </c>
      <c r="J73" s="146">
        <v>0.37735750438183585</v>
      </c>
      <c r="K73" s="146">
        <v>5.0854999999999997E-2</v>
      </c>
      <c r="L73" s="146">
        <v>0.24408909195893314</v>
      </c>
      <c r="M73" s="146">
        <v>7.7098414186277886E-2</v>
      </c>
      <c r="N73" s="147">
        <v>1.8156573835628624</v>
      </c>
      <c r="O73" s="147">
        <v>1.8130781123729549</v>
      </c>
      <c r="P73" s="147">
        <v>11.632873296385332</v>
      </c>
      <c r="Q73" s="147">
        <v>13.822749735595126</v>
      </c>
      <c r="R73" s="147">
        <v>4.0303872285760063</v>
      </c>
      <c r="S73" s="147">
        <v>28.908314358128138</v>
      </c>
      <c r="T73" s="146">
        <v>0.17415504658831088</v>
      </c>
      <c r="U73" s="146">
        <v>6.25565357934217E-2</v>
      </c>
      <c r="V73" s="146">
        <v>9.2151064103531105E-2</v>
      </c>
      <c r="W73" s="146">
        <v>1.0375036244575058</v>
      </c>
      <c r="X73" s="146">
        <v>0.25451622985825711</v>
      </c>
      <c r="Y73" s="146">
        <v>0.25220531066727753</v>
      </c>
      <c r="Z73" s="146">
        <v>0.25220531066727747</v>
      </c>
      <c r="AA73" s="148">
        <v>0.121685531334811</v>
      </c>
    </row>
    <row r="74" spans="1:27" ht="13.2">
      <c r="A74" s="145" t="s">
        <v>629</v>
      </c>
      <c r="B74" s="74">
        <v>26</v>
      </c>
      <c r="C74" s="146">
        <v>0.18063052631578944</v>
      </c>
      <c r="D74" s="146">
        <v>4.4133968058007046E-2</v>
      </c>
      <c r="E74" s="146">
        <v>9.8929938052508604E-2</v>
      </c>
      <c r="F74" s="146">
        <v>0.21721237165566823</v>
      </c>
      <c r="G74" s="147">
        <v>1.1710629087177289</v>
      </c>
      <c r="H74" s="147">
        <v>1.2466770513434235</v>
      </c>
      <c r="I74" s="146">
        <v>9.6147144361797485E-2</v>
      </c>
      <c r="J74" s="146">
        <v>0.38283198873816127</v>
      </c>
      <c r="K74" s="146">
        <v>5.0854999999999997E-2</v>
      </c>
      <c r="L74" s="146">
        <v>0.1183525185747442</v>
      </c>
      <c r="M74" s="146">
        <v>8.9282000671898204E-2</v>
      </c>
      <c r="N74" s="147">
        <v>2.411559428998697</v>
      </c>
      <c r="O74" s="147">
        <v>1.5688483400026725</v>
      </c>
      <c r="P74" s="147">
        <v>16.631295752592539</v>
      </c>
      <c r="Q74" s="147">
        <v>38.46582980994355</v>
      </c>
      <c r="R74" s="147">
        <v>7.2422855039301099</v>
      </c>
      <c r="S74" s="147">
        <v>29.844016342968811</v>
      </c>
      <c r="T74" s="146">
        <v>7.6876136239185482E-3</v>
      </c>
      <c r="U74" s="146">
        <v>5.2009664806773569E-2</v>
      </c>
      <c r="V74" s="146">
        <v>2.2820227937652104E-2</v>
      </c>
      <c r="W74" s="146">
        <v>0.79447833647214905</v>
      </c>
      <c r="X74" s="146">
        <v>0.1955014547502191</v>
      </c>
      <c r="Y74" s="146">
        <v>0.21744723060022958</v>
      </c>
      <c r="Z74" s="146">
        <v>0.21744723060022952</v>
      </c>
      <c r="AA74" s="148">
        <v>4.6967034911053938E-2</v>
      </c>
    </row>
    <row r="75" spans="1:27" ht="13.2">
      <c r="A75" s="145" t="s">
        <v>702</v>
      </c>
      <c r="B75" s="74">
        <v>14</v>
      </c>
      <c r="C75" s="146">
        <v>6.5912499999999999E-2</v>
      </c>
      <c r="D75" s="146">
        <v>2.4225596853965255E-2</v>
      </c>
      <c r="E75" s="146">
        <v>0.10989245466725754</v>
      </c>
      <c r="F75" s="146">
        <v>0.22911929074099627</v>
      </c>
      <c r="G75" s="147">
        <v>0.36476114906597701</v>
      </c>
      <c r="H75" s="147">
        <v>0.49360805956180459</v>
      </c>
      <c r="I75" s="146">
        <v>6.1505970739843013E-2</v>
      </c>
      <c r="J75" s="146">
        <v>0.25647926947712857</v>
      </c>
      <c r="K75" s="146">
        <v>5.0854999999999997E-2</v>
      </c>
      <c r="L75" s="146">
        <v>0.35831710070912415</v>
      </c>
      <c r="M75" s="146">
        <v>5.3133991745464119E-2</v>
      </c>
      <c r="N75" s="147">
        <v>4.7564463793562597</v>
      </c>
      <c r="O75" s="147">
        <v>0.41252131113329121</v>
      </c>
      <c r="P75" s="147">
        <v>6.3798048221013888</v>
      </c>
      <c r="Q75" s="147">
        <v>19.804920951092498</v>
      </c>
      <c r="R75" s="147">
        <v>2.903171334143174</v>
      </c>
      <c r="S75" s="147">
        <v>16.757683247241964</v>
      </c>
      <c r="T75" s="146">
        <v>-2.4323899281002599E-3</v>
      </c>
      <c r="U75" s="146">
        <v>2.6633515324994268E-2</v>
      </c>
      <c r="V75" s="146">
        <v>1.326060238245387E-2</v>
      </c>
      <c r="W75" s="146">
        <v>1.1428223096616057</v>
      </c>
      <c r="X75" s="146">
        <v>0.14777603490447422</v>
      </c>
      <c r="Y75" s="146">
        <v>0.36924015550657879</v>
      </c>
      <c r="Z75" s="146">
        <v>0.36924015550657874</v>
      </c>
      <c r="AA75" s="148">
        <v>2.6473632076435664E-2</v>
      </c>
    </row>
    <row r="76" spans="1:27" ht="13.2">
      <c r="A76" s="145" t="s">
        <v>871</v>
      </c>
      <c r="B76" s="74">
        <v>28</v>
      </c>
      <c r="C76" s="146">
        <v>4.1101851851851841E-2</v>
      </c>
      <c r="D76" s="146">
        <v>0.36745097043843167</v>
      </c>
      <c r="E76" s="146">
        <v>4.458562834006221E-2</v>
      </c>
      <c r="F76" s="146">
        <v>4.2019303588884428E-2</v>
      </c>
      <c r="G76" s="147">
        <v>0.78667470190348754</v>
      </c>
      <c r="H76" s="147">
        <v>1.1208677660313939</v>
      </c>
      <c r="I76" s="146">
        <v>9.0359917237444118E-2</v>
      </c>
      <c r="J76" s="146">
        <v>0.20718002005434216</v>
      </c>
      <c r="K76" s="146">
        <v>4.5043E-2</v>
      </c>
      <c r="L76" s="146">
        <v>0.37042376508860575</v>
      </c>
      <c r="M76" s="146">
        <v>6.9402204719419811E-2</v>
      </c>
      <c r="N76" s="147">
        <v>0.13065981426778428</v>
      </c>
      <c r="O76" s="147">
        <v>12.151988991799444</v>
      </c>
      <c r="P76" s="147">
        <v>17.431873861346652</v>
      </c>
      <c r="Q76" s="147">
        <v>34.711010000762485</v>
      </c>
      <c r="R76" s="147">
        <v>1.9356719923817578</v>
      </c>
      <c r="S76" s="147">
        <v>74.090504225084899</v>
      </c>
      <c r="T76" s="146">
        <v>-9.8708986919809769E-2</v>
      </c>
      <c r="U76" s="146">
        <v>5.1678638509569011E-2</v>
      </c>
      <c r="V76" s="146">
        <v>-0.26525961554732042</v>
      </c>
      <c r="W76" s="146">
        <v>-0.81803643279498717</v>
      </c>
      <c r="X76" s="146">
        <v>6.523063162826355E-2</v>
      </c>
      <c r="Y76" s="146">
        <v>1.5557235045106812</v>
      </c>
      <c r="Z76" s="146">
        <v>1.5557235045106812</v>
      </c>
      <c r="AA76" s="148">
        <v>0.35009709985829468</v>
      </c>
    </row>
    <row r="77" spans="1:27" ht="13.2">
      <c r="A77" s="145" t="s">
        <v>703</v>
      </c>
      <c r="B77" s="74">
        <v>105</v>
      </c>
      <c r="C77" s="146">
        <v>0.12071967741935487</v>
      </c>
      <c r="D77" s="146">
        <v>4.6172630818204483E-2</v>
      </c>
      <c r="E77" s="146">
        <v>0.13499345989584943</v>
      </c>
      <c r="F77" s="146">
        <v>0.24714983147031147</v>
      </c>
      <c r="G77" s="147">
        <v>0.97306921831208426</v>
      </c>
      <c r="H77" s="147">
        <v>1.1814057462278666</v>
      </c>
      <c r="I77" s="146">
        <v>9.3144664326481857E-2</v>
      </c>
      <c r="J77" s="146">
        <v>0.44007853687551313</v>
      </c>
      <c r="K77" s="146">
        <v>5.0854999999999997E-2</v>
      </c>
      <c r="L77" s="146">
        <v>0.26552004840016741</v>
      </c>
      <c r="M77" s="146">
        <v>7.8540155092339942E-2</v>
      </c>
      <c r="N77" s="147">
        <v>3.1090000638677036</v>
      </c>
      <c r="O77" s="147">
        <v>0.98357084492498503</v>
      </c>
      <c r="P77" s="147">
        <v>9.3415485589048952</v>
      </c>
      <c r="Q77" s="147">
        <v>20.317569846397642</v>
      </c>
      <c r="R77" s="147">
        <v>4.7786065628780694</v>
      </c>
      <c r="S77" s="147">
        <v>48.788376528460567</v>
      </c>
      <c r="T77" s="146">
        <v>5.0599261894710514E-2</v>
      </c>
      <c r="U77" s="146">
        <v>2.5889269223510269E-2</v>
      </c>
      <c r="V77" s="146">
        <v>2.6622349307585433E-2</v>
      </c>
      <c r="W77" s="146">
        <v>0.55230156249920015</v>
      </c>
      <c r="X77" s="146">
        <v>9.6438784183108986E-2</v>
      </c>
      <c r="Y77" s="146">
        <v>0.8704265485497078</v>
      </c>
      <c r="Z77" s="146">
        <v>0.8704265485497078</v>
      </c>
      <c r="AA77" s="148">
        <v>4.7981611326379597E-2</v>
      </c>
    </row>
    <row r="78" spans="1:27" ht="13.2">
      <c r="A78" s="145" t="s">
        <v>704</v>
      </c>
      <c r="B78" s="74">
        <v>3</v>
      </c>
      <c r="C78" s="146">
        <v>9.0200000000000002E-2</v>
      </c>
      <c r="D78" s="146">
        <v>1.8445123448906007E-2</v>
      </c>
      <c r="E78" s="146">
        <v>3.124092719979871E-2</v>
      </c>
      <c r="F78" s="146" t="e">
        <v>#DIV/0!</v>
      </c>
      <c r="G78" s="147">
        <v>0.26316933125019143</v>
      </c>
      <c r="H78" s="147">
        <v>0.67451976956750803</v>
      </c>
      <c r="I78" s="146">
        <v>6.9827909400105373E-2</v>
      </c>
      <c r="J78" s="146">
        <v>0.40772526552560179</v>
      </c>
      <c r="K78" s="146">
        <v>5.0854999999999997E-2</v>
      </c>
      <c r="L78" s="146">
        <v>0.70174055335879415</v>
      </c>
      <c r="M78" s="146">
        <v>4.7592095498583793E-2</v>
      </c>
      <c r="N78" s="147">
        <v>1.4484047693844369</v>
      </c>
      <c r="O78" s="147">
        <v>0.62828691748081245</v>
      </c>
      <c r="P78" s="147">
        <v>7.9475865714228098</v>
      </c>
      <c r="Q78" s="147">
        <v>29.777572649378406</v>
      </c>
      <c r="R78" s="147">
        <v>0.78946449471402003</v>
      </c>
      <c r="S78" s="147" t="e">
        <v>#DIV/0!</v>
      </c>
      <c r="T78" s="146">
        <v>0.10694212196535768</v>
      </c>
      <c r="U78" s="146">
        <v>5.4186799367281373E-2</v>
      </c>
      <c r="V78" s="146">
        <v>7.0628985193991103E-3</v>
      </c>
      <c r="W78" s="146">
        <v>-0.32002680606024081</v>
      </c>
      <c r="X78" s="146">
        <v>-9.9980552314274607E-2</v>
      </c>
      <c r="Y78" s="146" t="e">
        <v>#DIV/0!</v>
      </c>
      <c r="Z78" s="146" t="e">
        <v>#DIV/0!</v>
      </c>
      <c r="AA78" s="148">
        <v>2.1569196581060632E-2</v>
      </c>
    </row>
    <row r="79" spans="1:27" ht="13.2">
      <c r="A79" s="145" t="s">
        <v>705</v>
      </c>
      <c r="B79" s="74">
        <v>63</v>
      </c>
      <c r="C79" s="146">
        <v>6.4411627906976743E-2</v>
      </c>
      <c r="D79" s="146">
        <v>0.19711975635060902</v>
      </c>
      <c r="E79" s="146">
        <v>0.11368358391768708</v>
      </c>
      <c r="F79" s="146">
        <v>9.3092670508339401E-2</v>
      </c>
      <c r="G79" s="147">
        <v>1.460244593924559</v>
      </c>
      <c r="H79" s="147">
        <v>1.4952411850835359</v>
      </c>
      <c r="I79" s="146">
        <v>0.10758109451384265</v>
      </c>
      <c r="J79" s="146">
        <v>0.4147143445700453</v>
      </c>
      <c r="K79" s="146">
        <v>5.0854999999999997E-2</v>
      </c>
      <c r="L79" s="146">
        <v>5.7008102947212459E-2</v>
      </c>
      <c r="M79" s="146">
        <v>0.10362246070915908</v>
      </c>
      <c r="N79" s="147">
        <v>0.58072920923018134</v>
      </c>
      <c r="O79" s="147">
        <v>10.596722932093094</v>
      </c>
      <c r="P79" s="147">
        <v>31.594447138361602</v>
      </c>
      <c r="Q79" s="147">
        <v>53.315004182229046</v>
      </c>
      <c r="R79" s="147">
        <v>7.38179145503603</v>
      </c>
      <c r="S79" s="147">
        <v>82.75051639049542</v>
      </c>
      <c r="T79" s="146">
        <v>0.22403022878237655</v>
      </c>
      <c r="U79" s="146">
        <v>0.1700086447636025</v>
      </c>
      <c r="V79" s="146">
        <v>6.8986975778472778E-2</v>
      </c>
      <c r="W79" s="146">
        <v>0.49863224477303802</v>
      </c>
      <c r="X79" s="146">
        <v>0.12611876313091647</v>
      </c>
      <c r="Y79" s="146">
        <v>0.48873979408723345</v>
      </c>
      <c r="Z79" s="146">
        <v>0.48873979408723345</v>
      </c>
      <c r="AA79" s="148">
        <v>0.2053985135441381</v>
      </c>
    </row>
    <row r="80" spans="1:27" ht="13.2">
      <c r="A80" s="145" t="s">
        <v>706</v>
      </c>
      <c r="B80" s="74">
        <v>30</v>
      </c>
      <c r="C80" s="146">
        <v>9.9257499999999985E-2</v>
      </c>
      <c r="D80" s="146">
        <v>0.24186751386172409</v>
      </c>
      <c r="E80" s="146">
        <v>0.25683632466511935</v>
      </c>
      <c r="F80" s="146">
        <v>0.12268560712932465</v>
      </c>
      <c r="G80" s="147">
        <v>1.5077650793777069</v>
      </c>
      <c r="H80" s="147">
        <v>1.5279822074255314</v>
      </c>
      <c r="I80" s="146">
        <v>0.10908718154157444</v>
      </c>
      <c r="J80" s="146">
        <v>0.37040142988651292</v>
      </c>
      <c r="K80" s="146">
        <v>5.0854999999999997E-2</v>
      </c>
      <c r="L80" s="146">
        <v>7.2165763925439705E-2</v>
      </c>
      <c r="M80" s="146">
        <v>0.10396731419447477</v>
      </c>
      <c r="N80" s="147">
        <v>1.1649954029158387</v>
      </c>
      <c r="O80" s="147">
        <v>5.2442581732157283</v>
      </c>
      <c r="P80" s="147">
        <v>18.178195157648474</v>
      </c>
      <c r="Q80" s="147">
        <v>21.529732735448246</v>
      </c>
      <c r="R80" s="147">
        <v>8.1009758909034115</v>
      </c>
      <c r="S80" s="147">
        <v>163.51842013025154</v>
      </c>
      <c r="T80" s="146">
        <v>0.34562808268522127</v>
      </c>
      <c r="U80" s="146">
        <v>5.0796555474868554E-2</v>
      </c>
      <c r="V80" s="146">
        <v>2.6035463292282256E-2</v>
      </c>
      <c r="W80" s="146">
        <v>0.13881169088914808</v>
      </c>
      <c r="X80" s="146">
        <v>0.3289066823779071</v>
      </c>
      <c r="Y80" s="146">
        <v>0.20089988720666727</v>
      </c>
      <c r="Z80" s="146">
        <v>0.20089988720666729</v>
      </c>
      <c r="AA80" s="148">
        <v>0.25001236423819828</v>
      </c>
    </row>
    <row r="81" spans="1:27" ht="13.2">
      <c r="A81" s="145" t="s">
        <v>707</v>
      </c>
      <c r="B81" s="74">
        <v>8</v>
      </c>
      <c r="C81" s="146">
        <v>-6.8033333333333348E-3</v>
      </c>
      <c r="D81" s="146">
        <v>0.10650740465993001</v>
      </c>
      <c r="E81" s="146">
        <v>9.2351394997663441E-2</v>
      </c>
      <c r="F81" s="146">
        <v>0.18850960892353175</v>
      </c>
      <c r="G81" s="147">
        <v>0.68659497205240805</v>
      </c>
      <c r="H81" s="147">
        <v>0.81083614181090768</v>
      </c>
      <c r="I81" s="146">
        <v>7.6098462523301755E-2</v>
      </c>
      <c r="J81" s="146">
        <v>0.45074724706930092</v>
      </c>
      <c r="K81" s="146">
        <v>5.0854999999999997E-2</v>
      </c>
      <c r="L81" s="146">
        <v>0.22942151889413903</v>
      </c>
      <c r="M81" s="146">
        <v>6.7390261173218224E-2</v>
      </c>
      <c r="N81" s="147">
        <v>0.82933963708877079</v>
      </c>
      <c r="O81" s="147">
        <v>1.7047396816839095</v>
      </c>
      <c r="P81" s="147">
        <v>8.384720595362964</v>
      </c>
      <c r="Q81" s="147">
        <v>14.228088437354392</v>
      </c>
      <c r="R81" s="147">
        <v>1.3642629613319885</v>
      </c>
      <c r="S81" s="147">
        <v>24.757087703228514</v>
      </c>
      <c r="T81" s="146">
        <v>0.11299865486721869</v>
      </c>
      <c r="U81" s="146">
        <v>0.10241614888029281</v>
      </c>
      <c r="V81" s="146">
        <v>4.0299197608605203E-2</v>
      </c>
      <c r="W81" s="146">
        <v>0.50270712026329756</v>
      </c>
      <c r="X81" s="146">
        <v>7.817317702121597E-2</v>
      </c>
      <c r="Y81" s="146">
        <v>0.29337528524998274</v>
      </c>
      <c r="Z81" s="146">
        <v>0.29337528524998269</v>
      </c>
      <c r="AA81" s="148">
        <v>0.11940027650657051</v>
      </c>
    </row>
    <row r="82" spans="1:27" ht="13.2">
      <c r="A82" s="145" t="s">
        <v>708</v>
      </c>
      <c r="B82" s="74">
        <v>13</v>
      </c>
      <c r="C82" s="146">
        <v>0.11491250000000001</v>
      </c>
      <c r="D82" s="146">
        <v>0.12199139215361694</v>
      </c>
      <c r="E82" s="146">
        <v>0.24043080830071734</v>
      </c>
      <c r="F82" s="146">
        <v>0.1746054567339842</v>
      </c>
      <c r="G82" s="147">
        <v>1.2730955389810585</v>
      </c>
      <c r="H82" s="147">
        <v>1.2915789442240697</v>
      </c>
      <c r="I82" s="146">
        <v>9.821263143430721E-2</v>
      </c>
      <c r="J82" s="146">
        <v>0.36279908890119261</v>
      </c>
      <c r="K82" s="146">
        <v>5.0854999999999997E-2</v>
      </c>
      <c r="L82" s="146">
        <v>8.0114408003915991E-2</v>
      </c>
      <c r="M82" s="146">
        <v>9.3400048272720262E-2</v>
      </c>
      <c r="N82" s="147">
        <v>2.2253944893651223</v>
      </c>
      <c r="O82" s="147">
        <v>2.8863044842694969</v>
      </c>
      <c r="P82" s="147">
        <v>18.953733947779405</v>
      </c>
      <c r="Q82" s="147">
        <v>23.682872304836216</v>
      </c>
      <c r="R82" s="147">
        <v>8.7107690650024558</v>
      </c>
      <c r="S82" s="147">
        <v>19.768872194714948</v>
      </c>
      <c r="T82" s="146">
        <v>0.19614445731942837</v>
      </c>
      <c r="U82" s="146">
        <v>8.5762704850190375E-3</v>
      </c>
      <c r="V82" s="146">
        <v>-5.2012497930805967E-3</v>
      </c>
      <c r="W82" s="146">
        <v>-0.20182594713277416</v>
      </c>
      <c r="X82" s="146">
        <v>0.29903214866474775</v>
      </c>
      <c r="Y82" s="146">
        <v>0.32261310697398488</v>
      </c>
      <c r="Z82" s="146">
        <v>0.32261310697398482</v>
      </c>
      <c r="AA82" s="148">
        <v>0.12180719617705567</v>
      </c>
    </row>
    <row r="83" spans="1:27" ht="13.2">
      <c r="A83" s="145" t="s">
        <v>709</v>
      </c>
      <c r="B83" s="74">
        <v>84</v>
      </c>
      <c r="C83" s="146">
        <v>0.17412533333333333</v>
      </c>
      <c r="D83" s="146">
        <v>0.2680484859792075</v>
      </c>
      <c r="E83" s="146">
        <v>0.19944873406255512</v>
      </c>
      <c r="F83" s="146">
        <v>0.16568125122952723</v>
      </c>
      <c r="G83" s="147">
        <v>1.1136804709373258</v>
      </c>
      <c r="H83" s="147">
        <v>1.1083305740238332</v>
      </c>
      <c r="I83" s="146">
        <v>8.9783206405096322E-2</v>
      </c>
      <c r="J83" s="146">
        <v>0.52789322078229139</v>
      </c>
      <c r="K83" s="146">
        <v>5.3524000000000002E-2</v>
      </c>
      <c r="L83" s="146">
        <v>3.0561494934367585E-2</v>
      </c>
      <c r="M83" s="146">
        <v>8.8266127488506013E-2</v>
      </c>
      <c r="N83" s="147">
        <v>0.74384849848531331</v>
      </c>
      <c r="O83" s="147">
        <v>6.0250177191083116</v>
      </c>
      <c r="P83" s="147">
        <v>17.157815859353224</v>
      </c>
      <c r="Q83" s="147">
        <v>22.221744412094619</v>
      </c>
      <c r="R83" s="147">
        <v>6.2430547316243272</v>
      </c>
      <c r="S83" s="147">
        <v>30.818070198150206</v>
      </c>
      <c r="T83" s="146">
        <v>4.7763247678820571E-2</v>
      </c>
      <c r="U83" s="146">
        <v>0.12672459193901217</v>
      </c>
      <c r="V83" s="146">
        <v>8.7039144070400018E-2</v>
      </c>
      <c r="W83" s="146">
        <v>0.46794430766934031</v>
      </c>
      <c r="X83" s="146">
        <v>0.2325593855621183</v>
      </c>
      <c r="Y83" s="146">
        <v>2.5063968697220758E-3</v>
      </c>
      <c r="Z83" s="146">
        <v>2.506396869722094E-3</v>
      </c>
      <c r="AA83" s="148">
        <v>0.28167769393149628</v>
      </c>
    </row>
    <row r="84" spans="1:27" ht="13.2">
      <c r="A84" s="145" t="s">
        <v>710</v>
      </c>
      <c r="B84" s="74">
        <v>35</v>
      </c>
      <c r="C84" s="146">
        <v>0.22244545454545456</v>
      </c>
      <c r="D84" s="146">
        <v>-3.3594816570468533E-2</v>
      </c>
      <c r="E84" s="146">
        <v>-4.8109532624457758E-3</v>
      </c>
      <c r="F84" s="146">
        <v>0.17878408264897386</v>
      </c>
      <c r="G84" s="147">
        <v>1.5117563379021286</v>
      </c>
      <c r="H84" s="147">
        <v>1.6160843271745926</v>
      </c>
      <c r="I84" s="146">
        <v>0.11313987905003126</v>
      </c>
      <c r="J84" s="146">
        <v>0.65221602599035</v>
      </c>
      <c r="K84" s="146">
        <v>6.0879000000000003E-2</v>
      </c>
      <c r="L84" s="146">
        <v>0.10698653549795539</v>
      </c>
      <c r="M84" s="146">
        <v>0.10592036033474572</v>
      </c>
      <c r="N84" s="147">
        <v>0.63612335565638134</v>
      </c>
      <c r="O84" s="147">
        <v>8.3828736851725534</v>
      </c>
      <c r="P84" s="147">
        <v>19.329878727497675</v>
      </c>
      <c r="Q84" s="147" t="s">
        <v>88</v>
      </c>
      <c r="R84" s="147">
        <v>9.0021141302291596</v>
      </c>
      <c r="S84" s="147">
        <v>35.177442964143594</v>
      </c>
      <c r="T84" s="146">
        <v>9.6695754393934422E-2</v>
      </c>
      <c r="U84" s="146">
        <v>5.5778077921357368E-2</v>
      </c>
      <c r="V84" s="146">
        <v>2.8310083379424048E-2</v>
      </c>
      <c r="W84" s="146" t="s">
        <v>88</v>
      </c>
      <c r="X84" s="146">
        <v>-0.14540651129197349</v>
      </c>
      <c r="Y84" s="146">
        <v>0</v>
      </c>
      <c r="Z84" s="146">
        <v>0</v>
      </c>
      <c r="AA84" s="148">
        <v>-8.317507436808912E-3</v>
      </c>
    </row>
    <row r="85" spans="1:27" ht="13.2">
      <c r="A85" s="145" t="s">
        <v>711</v>
      </c>
      <c r="B85" s="74">
        <v>351</v>
      </c>
      <c r="C85" s="146">
        <v>0.15903337837837828</v>
      </c>
      <c r="D85" s="146">
        <v>0.25298655593299035</v>
      </c>
      <c r="E85" s="146">
        <v>0.23224389866710615</v>
      </c>
      <c r="F85" s="146">
        <v>0.17853261761729111</v>
      </c>
      <c r="G85" s="147">
        <v>1.2724589938133573</v>
      </c>
      <c r="H85" s="147">
        <v>1.2939647291542515</v>
      </c>
      <c r="I85" s="146">
        <v>9.8322377541095574E-2</v>
      </c>
      <c r="J85" s="146">
        <v>0.52086489824807281</v>
      </c>
      <c r="K85" s="146">
        <v>5.3524000000000002E-2</v>
      </c>
      <c r="L85" s="146">
        <v>5.8413380196434328E-2</v>
      </c>
      <c r="M85" s="146">
        <v>9.4923923441195657E-2</v>
      </c>
      <c r="N85" s="147">
        <v>0.920355645703261</v>
      </c>
      <c r="O85" s="147">
        <v>10.72155166283089</v>
      </c>
      <c r="P85" s="147">
        <v>28.433138742544646</v>
      </c>
      <c r="Q85" s="147">
        <v>39.481990904188763</v>
      </c>
      <c r="R85" s="147">
        <v>11.028707841031288</v>
      </c>
      <c r="S85" s="147">
        <v>88.724572948822384</v>
      </c>
      <c r="T85" s="146">
        <v>0.11204452658660199</v>
      </c>
      <c r="U85" s="146">
        <v>8.6746410149798295E-2</v>
      </c>
      <c r="V85" s="146">
        <v>5.9162106791780016E-2</v>
      </c>
      <c r="W85" s="146">
        <v>0.36380231425923271</v>
      </c>
      <c r="X85" s="146">
        <v>0.24441835382299518</v>
      </c>
      <c r="Y85" s="146">
        <v>0.27220590606666156</v>
      </c>
      <c r="Z85" s="146">
        <v>0.27220590606666151</v>
      </c>
      <c r="AA85" s="148">
        <v>0.26295961897308368</v>
      </c>
    </row>
    <row r="86" spans="1:27" ht="13.2">
      <c r="A86" s="145" t="s">
        <v>712</v>
      </c>
      <c r="B86" s="74">
        <v>29</v>
      </c>
      <c r="C86" s="146">
        <v>7.8733200000000003E-2</v>
      </c>
      <c r="D86" s="146">
        <v>0.12104448776971048</v>
      </c>
      <c r="E86" s="146">
        <v>0.22180836333570431</v>
      </c>
      <c r="F86" s="146">
        <v>0.19962963225553462</v>
      </c>
      <c r="G86" s="147">
        <v>1.0774711199709137</v>
      </c>
      <c r="H86" s="147">
        <v>1.126371725263511</v>
      </c>
      <c r="I86" s="146">
        <v>9.0613099362121502E-2</v>
      </c>
      <c r="J86" s="146">
        <v>0.38102205031992209</v>
      </c>
      <c r="K86" s="146">
        <v>5.0854999999999997E-2</v>
      </c>
      <c r="L86" s="146">
        <v>0.16794349418739729</v>
      </c>
      <c r="M86" s="146">
        <v>8.1800793633772059E-2</v>
      </c>
      <c r="N86" s="147">
        <v>2.1668462373578015</v>
      </c>
      <c r="O86" s="147">
        <v>0.94134699426736168</v>
      </c>
      <c r="P86" s="147">
        <v>5.9315455318515609</v>
      </c>
      <c r="Q86" s="147">
        <v>7.7262015562222341</v>
      </c>
      <c r="R86" s="147">
        <v>1.7639737558457758</v>
      </c>
      <c r="S86" s="147">
        <v>14.541699757518971</v>
      </c>
      <c r="T86" s="146">
        <v>0.19023869959969508</v>
      </c>
      <c r="U86" s="146">
        <v>6.2015491060735908E-2</v>
      </c>
      <c r="V86" s="146">
        <v>4.2105106814159125E-2</v>
      </c>
      <c r="W86" s="146">
        <v>0.15698783414294129</v>
      </c>
      <c r="X86" s="146">
        <v>0.22194709191501236</v>
      </c>
      <c r="Y86" s="146">
        <v>0.12471207785733139</v>
      </c>
      <c r="Z86" s="146">
        <v>0.1247120778573314</v>
      </c>
      <c r="AA86" s="148">
        <v>0.12145781664117886</v>
      </c>
    </row>
    <row r="87" spans="1:27" ht="13.2">
      <c r="A87" s="145" t="s">
        <v>713</v>
      </c>
      <c r="B87" s="74">
        <v>13</v>
      </c>
      <c r="C87" s="146">
        <v>9.2977142857142869E-2</v>
      </c>
      <c r="D87" s="146">
        <v>0.16792801039724245</v>
      </c>
      <c r="E87" s="146">
        <v>6.5483784250289209E-2</v>
      </c>
      <c r="F87" s="146">
        <v>0.24652434855276151</v>
      </c>
      <c r="G87" s="147">
        <v>0.74731171905548888</v>
      </c>
      <c r="H87" s="147">
        <v>1.087361359035153</v>
      </c>
      <c r="I87" s="146">
        <v>8.8818622515617035E-2</v>
      </c>
      <c r="J87" s="146">
        <v>0.60305869412683921</v>
      </c>
      <c r="K87" s="146">
        <v>5.3524000000000002E-2</v>
      </c>
      <c r="L87" s="146">
        <v>0.39084318118198752</v>
      </c>
      <c r="M87" s="146">
        <v>6.9794087365599694E-2</v>
      </c>
      <c r="N87" s="147">
        <v>0.48441213485617451</v>
      </c>
      <c r="O87" s="147">
        <v>3.5147101609842721</v>
      </c>
      <c r="P87" s="147">
        <v>9.0095138936051899</v>
      </c>
      <c r="Q87" s="147">
        <v>23.512660928635778</v>
      </c>
      <c r="R87" s="147">
        <v>2.5322480033466408</v>
      </c>
      <c r="S87" s="147">
        <v>67.853832930042557</v>
      </c>
      <c r="T87" s="146">
        <v>6.2680578629146194E-2</v>
      </c>
      <c r="U87" s="146">
        <v>0.15310947618240378</v>
      </c>
      <c r="V87" s="146">
        <v>-2.9960671300220164E-3</v>
      </c>
      <c r="W87" s="146">
        <v>0.5510450483030811</v>
      </c>
      <c r="X87" s="146">
        <v>9.7395977513905455E-2</v>
      </c>
      <c r="Y87" s="146">
        <v>0.1104528008925427</v>
      </c>
      <c r="Z87" s="146">
        <v>0.11045280089254272</v>
      </c>
      <c r="AA87" s="148">
        <v>0.14947762311195489</v>
      </c>
    </row>
    <row r="88" spans="1:27" ht="13.2">
      <c r="A88" s="145" t="s">
        <v>714</v>
      </c>
      <c r="B88" s="74">
        <v>66</v>
      </c>
      <c r="C88" s="146">
        <v>9.6164489795918393E-2</v>
      </c>
      <c r="D88" s="146">
        <v>0.19578373512751376</v>
      </c>
      <c r="E88" s="146">
        <v>0.28182161892742891</v>
      </c>
      <c r="F88" s="146">
        <v>0.16906478200018579</v>
      </c>
      <c r="G88" s="147">
        <v>1.0456479852653771</v>
      </c>
      <c r="H88" s="147">
        <v>1.0805072059156025</v>
      </c>
      <c r="I88" s="146">
        <v>8.8503331472117711E-2</v>
      </c>
      <c r="J88" s="146">
        <v>0.46622145090064521</v>
      </c>
      <c r="K88" s="146">
        <v>5.0854999999999997E-2</v>
      </c>
      <c r="L88" s="146">
        <v>0.10245104955940504</v>
      </c>
      <c r="M88" s="146">
        <v>8.3343683367302981E-2</v>
      </c>
      <c r="N88" s="147">
        <v>1.4464269754607526</v>
      </c>
      <c r="O88" s="147">
        <v>3.6067814997742809</v>
      </c>
      <c r="P88" s="147">
        <v>13.979069158223247</v>
      </c>
      <c r="Q88" s="147">
        <v>17.645248189217565</v>
      </c>
      <c r="R88" s="147">
        <v>5.1449679404665405</v>
      </c>
      <c r="S88" s="147">
        <v>70.491276901112826</v>
      </c>
      <c r="T88" s="146">
        <v>0.23092380701323104</v>
      </c>
      <c r="U88" s="146">
        <v>2.7789568604778662E-2</v>
      </c>
      <c r="V88" s="146">
        <v>3.9799623411255383E-2</v>
      </c>
      <c r="W88" s="146">
        <v>0.36669384113949066</v>
      </c>
      <c r="X88" s="146">
        <v>0.24550541459231559</v>
      </c>
      <c r="Y88" s="146">
        <v>0.46084832909856577</v>
      </c>
      <c r="Z88" s="146">
        <v>0.46084832909856577</v>
      </c>
      <c r="AA88" s="148">
        <v>0.2071352516666671</v>
      </c>
    </row>
    <row r="89" spans="1:27" ht="13.2">
      <c r="A89" s="145" t="s">
        <v>715</v>
      </c>
      <c r="B89" s="74">
        <v>42</v>
      </c>
      <c r="C89" s="146">
        <v>0.13169956521739129</v>
      </c>
      <c r="D89" s="146">
        <v>0.20861578998360361</v>
      </c>
      <c r="E89" s="146">
        <v>0.11796482606061286</v>
      </c>
      <c r="F89" s="146">
        <v>0.21774220884735582</v>
      </c>
      <c r="G89" s="147">
        <v>0.4141115560097563</v>
      </c>
      <c r="H89" s="147">
        <v>0.78450471128722188</v>
      </c>
      <c r="I89" s="146">
        <v>7.488721671921221E-2</v>
      </c>
      <c r="J89" s="146">
        <v>0.50416714350221437</v>
      </c>
      <c r="K89" s="146">
        <v>5.3524000000000002E-2</v>
      </c>
      <c r="L89" s="146">
        <v>0.55538379015988704</v>
      </c>
      <c r="M89" s="146">
        <v>5.5590841951559611E-2</v>
      </c>
      <c r="N89" s="147">
        <v>0.60200337910623192</v>
      </c>
      <c r="O89" s="147">
        <v>2.3574881101650598</v>
      </c>
      <c r="P89" s="147">
        <v>6.178012041794295</v>
      </c>
      <c r="Q89" s="147">
        <v>11.212869716340027</v>
      </c>
      <c r="R89" s="147">
        <v>1.2986532244972615</v>
      </c>
      <c r="S89" s="147">
        <v>77.102401245701245</v>
      </c>
      <c r="T89" s="146">
        <v>-3.2235361652479422E-2</v>
      </c>
      <c r="U89" s="146">
        <v>0.16715169820304818</v>
      </c>
      <c r="V89" s="146">
        <v>2.4292121675182632E-2</v>
      </c>
      <c r="W89" s="146">
        <v>0.20122305244722491</v>
      </c>
      <c r="X89" s="146">
        <v>-3.4470942023052953E-3</v>
      </c>
      <c r="Y89" s="146">
        <v>1.6337690728598522E-3</v>
      </c>
      <c r="Z89" s="146">
        <v>1.6337690728598364E-3</v>
      </c>
      <c r="AA89" s="148">
        <v>0.20983808679246463</v>
      </c>
    </row>
    <row r="90" spans="1:27" ht="13.2">
      <c r="A90" s="145" t="s">
        <v>716</v>
      </c>
      <c r="B90" s="74">
        <v>16</v>
      </c>
      <c r="C90" s="146">
        <v>0.34968888888888894</v>
      </c>
      <c r="D90" s="146">
        <v>0.40818350646510609</v>
      </c>
      <c r="E90" s="146">
        <v>0.80360559936791442</v>
      </c>
      <c r="F90" s="146">
        <v>0.21139682210925856</v>
      </c>
      <c r="G90" s="147">
        <v>0.98708022501489956</v>
      </c>
      <c r="H90" s="147">
        <v>1.2232908278447494</v>
      </c>
      <c r="I90" s="146">
        <v>9.5071378080858471E-2</v>
      </c>
      <c r="J90" s="146">
        <v>0.4800026780389306</v>
      </c>
      <c r="K90" s="146">
        <v>5.0854999999999997E-2</v>
      </c>
      <c r="L90" s="146">
        <v>0.25873063108247973</v>
      </c>
      <c r="M90" s="146">
        <v>8.0341810114891568E-2</v>
      </c>
      <c r="N90" s="147">
        <v>2.1763696274457001</v>
      </c>
      <c r="O90" s="147">
        <v>4.7953049451194598</v>
      </c>
      <c r="P90" s="147">
        <v>10.84266449583115</v>
      </c>
      <c r="Q90" s="147">
        <v>11.674129778938338</v>
      </c>
      <c r="R90" s="147" t="s">
        <v>88</v>
      </c>
      <c r="S90" s="147">
        <v>17.746085416091766</v>
      </c>
      <c r="T90" s="146">
        <v>0.15300181101471985</v>
      </c>
      <c r="U90" s="146">
        <v>2.7084958732519204E-2</v>
      </c>
      <c r="V90" s="146">
        <v>0.33428394436606595</v>
      </c>
      <c r="W90" s="146">
        <v>1.17639869037906</v>
      </c>
      <c r="X90" s="146" t="s">
        <v>88</v>
      </c>
      <c r="Y90" s="146">
        <v>0.87984059610405407</v>
      </c>
      <c r="Z90" s="146">
        <v>0.87984059610405407</v>
      </c>
      <c r="AA90" s="148">
        <v>0.41002251990580058</v>
      </c>
    </row>
    <row r="91" spans="1:27" ht="13.2">
      <c r="A91" s="145" t="s">
        <v>717</v>
      </c>
      <c r="B91" s="74">
        <v>36</v>
      </c>
      <c r="C91" s="146">
        <v>0.15364933333333336</v>
      </c>
      <c r="D91" s="146">
        <v>7.9502194488907899E-2</v>
      </c>
      <c r="E91" s="146">
        <v>0.15477553498576985</v>
      </c>
      <c r="F91" s="146">
        <v>0.21188841521511076</v>
      </c>
      <c r="G91" s="147">
        <v>1.046594408036378</v>
      </c>
      <c r="H91" s="147">
        <v>1.2585314504520015</v>
      </c>
      <c r="I91" s="146">
        <v>9.669244672079208E-2</v>
      </c>
      <c r="J91" s="146">
        <v>0.53119137456433019</v>
      </c>
      <c r="K91" s="146">
        <v>5.3524000000000002E-2</v>
      </c>
      <c r="L91" s="146">
        <v>0.25139522991909635</v>
      </c>
      <c r="M91" s="146">
        <v>8.2476185560620863E-2</v>
      </c>
      <c r="N91" s="147">
        <v>2.0684414873920227</v>
      </c>
      <c r="O91" s="147">
        <v>1.6787844253487405</v>
      </c>
      <c r="P91" s="147">
        <v>12.006297422349427</v>
      </c>
      <c r="Q91" s="147">
        <v>20.886700335224798</v>
      </c>
      <c r="R91" s="147">
        <v>5.3825793702748861</v>
      </c>
      <c r="S91" s="147">
        <v>23.427810144534483</v>
      </c>
      <c r="T91" s="146">
        <v>6.4488264054789968E-2</v>
      </c>
      <c r="U91" s="146">
        <v>8.7030763554774335E-2</v>
      </c>
      <c r="V91" s="146">
        <v>5.6148840136634182E-2</v>
      </c>
      <c r="W91" s="146">
        <v>0.93436053036614863</v>
      </c>
      <c r="X91" s="146">
        <v>0.28267376872631939</v>
      </c>
      <c r="Y91" s="146">
        <v>0.40505461481978339</v>
      </c>
      <c r="Z91" s="146">
        <v>0.40505461481978333</v>
      </c>
      <c r="AA91" s="148">
        <v>7.999971892269056E-2</v>
      </c>
    </row>
    <row r="92" spans="1:27" ht="13.2">
      <c r="A92" s="145" t="s">
        <v>718</v>
      </c>
      <c r="B92" s="74">
        <v>4</v>
      </c>
      <c r="C92" s="146">
        <v>2.4899999999999999E-2</v>
      </c>
      <c r="D92" s="146">
        <v>0.35113467269131693</v>
      </c>
      <c r="E92" s="146">
        <v>0.14261953361631199</v>
      </c>
      <c r="F92" s="146">
        <v>0.22982533024478807</v>
      </c>
      <c r="G92" s="147">
        <v>0.85599780593154451</v>
      </c>
      <c r="H92" s="147">
        <v>1.0172723923008653</v>
      </c>
      <c r="I92" s="146">
        <v>8.5594530045839806E-2</v>
      </c>
      <c r="J92" s="146">
        <v>0.2227735820416239</v>
      </c>
      <c r="K92" s="146">
        <v>4.5043E-2</v>
      </c>
      <c r="L92" s="146">
        <v>0.21142467310039645</v>
      </c>
      <c r="M92" s="146">
        <v>7.464013567456193E-2</v>
      </c>
      <c r="N92" s="147">
        <v>0.49324628388749064</v>
      </c>
      <c r="O92" s="147">
        <v>6.6295596972904312</v>
      </c>
      <c r="P92" s="147">
        <v>14.3196804838998</v>
      </c>
      <c r="Q92" s="147">
        <v>18.966125677741278</v>
      </c>
      <c r="R92" s="147">
        <v>6.9113810829422233</v>
      </c>
      <c r="S92" s="147">
        <v>22.28825335650561</v>
      </c>
      <c r="T92" s="146">
        <v>2.2557471822586217E-2</v>
      </c>
      <c r="U92" s="146">
        <v>0.1570320179340837</v>
      </c>
      <c r="V92" s="146">
        <v>5.5988647445286678E-2</v>
      </c>
      <c r="W92" s="146">
        <v>0.22178443078565843</v>
      </c>
      <c r="X92" s="146">
        <v>0.31677945078582531</v>
      </c>
      <c r="Y92" s="146">
        <v>0.43519528152260112</v>
      </c>
      <c r="Z92" s="146">
        <v>0.43519528152260112</v>
      </c>
      <c r="AA92" s="148">
        <v>0.34954738832459115</v>
      </c>
    </row>
    <row r="93" spans="1:27" ht="13.2">
      <c r="A93" s="145" t="s">
        <v>719</v>
      </c>
      <c r="B93" s="74">
        <v>22</v>
      </c>
      <c r="C93" s="146">
        <v>6.1907222222222238E-2</v>
      </c>
      <c r="D93" s="146">
        <v>8.4934052293898013E-2</v>
      </c>
      <c r="E93" s="146">
        <v>0.12748742307030905</v>
      </c>
      <c r="F93" s="146">
        <v>0.25564934061767058</v>
      </c>
      <c r="G93" s="147">
        <v>1.0291549427451241</v>
      </c>
      <c r="H93" s="147">
        <v>1.1484074577647394</v>
      </c>
      <c r="I93" s="146">
        <v>9.1626743057178023E-2</v>
      </c>
      <c r="J93" s="146">
        <v>0.28328548955431604</v>
      </c>
      <c r="K93" s="146">
        <v>5.0854999999999997E-2</v>
      </c>
      <c r="L93" s="146">
        <v>0.16632304812803944</v>
      </c>
      <c r="M93" s="146">
        <v>8.2730872821277085E-2</v>
      </c>
      <c r="N93" s="147">
        <v>1.8424099749470806</v>
      </c>
      <c r="O93" s="147">
        <v>1.8055802361025481</v>
      </c>
      <c r="P93" s="147">
        <v>10.57224029827716</v>
      </c>
      <c r="Q93" s="147">
        <v>20.589002549993637</v>
      </c>
      <c r="R93" s="147">
        <v>3.5846942504030093</v>
      </c>
      <c r="S93" s="147">
        <v>36.07946277619434</v>
      </c>
      <c r="T93" s="146">
        <v>6.7480207496526626E-2</v>
      </c>
      <c r="U93" s="146">
        <v>0.14934250443095923</v>
      </c>
      <c r="V93" s="146">
        <v>9.0980370277753131E-2</v>
      </c>
      <c r="W93" s="146">
        <v>1.2178075170479361</v>
      </c>
      <c r="X93" s="146">
        <v>0.12974692001389668</v>
      </c>
      <c r="Y93" s="146">
        <v>0.17362718846549949</v>
      </c>
      <c r="Z93" s="146">
        <v>0.17362718846549952</v>
      </c>
      <c r="AA93" s="148">
        <v>8.6910837308432798E-2</v>
      </c>
    </row>
    <row r="94" spans="1:27" ht="13.2">
      <c r="A94" s="145" t="s">
        <v>720</v>
      </c>
      <c r="B94" s="74">
        <v>14</v>
      </c>
      <c r="C94" s="146">
        <v>4.3404999999999999E-2</v>
      </c>
      <c r="D94" s="146">
        <v>0.2180508078273298</v>
      </c>
      <c r="E94" s="146">
        <v>6.4731399544339846E-2</v>
      </c>
      <c r="F94" s="146">
        <v>0.1601620397950673</v>
      </c>
      <c r="G94" s="147">
        <v>0.35679519291097572</v>
      </c>
      <c r="H94" s="147">
        <v>0.58043230816873881</v>
      </c>
      <c r="I94" s="146">
        <v>6.5499886175761982E-2</v>
      </c>
      <c r="J94" s="146">
        <v>0.14927275095736059</v>
      </c>
      <c r="K94" s="146">
        <v>4.5043E-2</v>
      </c>
      <c r="L94" s="146">
        <v>0.45897703320023459</v>
      </c>
      <c r="M94" s="146">
        <v>5.0942219623686315E-2</v>
      </c>
      <c r="N94" s="147">
        <v>0.34799061084345168</v>
      </c>
      <c r="O94" s="147">
        <v>4.128817283340104</v>
      </c>
      <c r="P94" s="147">
        <v>11.69639755876778</v>
      </c>
      <c r="Q94" s="147">
        <v>19.078266611364857</v>
      </c>
      <c r="R94" s="147">
        <v>1.6473566371259394</v>
      </c>
      <c r="S94" s="147">
        <v>17.483750732416834</v>
      </c>
      <c r="T94" s="146">
        <v>0.13370151554071408</v>
      </c>
      <c r="U94" s="146">
        <v>0.38606604885824003</v>
      </c>
      <c r="V94" s="146">
        <v>0.25906870978152774</v>
      </c>
      <c r="W94" s="146">
        <v>1.5052569708950143</v>
      </c>
      <c r="X94" s="146">
        <v>0.11153676746474966</v>
      </c>
      <c r="Y94" s="146">
        <v>0.58882821831655419</v>
      </c>
      <c r="Z94" s="146">
        <v>0.58882821831655419</v>
      </c>
      <c r="AA94" s="148">
        <v>0.21642128320038204</v>
      </c>
    </row>
    <row r="95" spans="1:27" ht="13.2">
      <c r="A95" s="145" t="s">
        <v>721</v>
      </c>
      <c r="B95" s="74">
        <v>13</v>
      </c>
      <c r="C95" s="146">
        <v>0.1084909090909091</v>
      </c>
      <c r="D95" s="146">
        <v>0.30791615796208249</v>
      </c>
      <c r="E95" s="146">
        <v>6.7989566122651446E-2</v>
      </c>
      <c r="F95" s="146">
        <v>0.1491899144854105</v>
      </c>
      <c r="G95" s="147">
        <v>0.52231147198629224</v>
      </c>
      <c r="H95" s="147">
        <v>0.71396343407949392</v>
      </c>
      <c r="I95" s="146">
        <v>7.1642317967656716E-2</v>
      </c>
      <c r="J95" s="146">
        <v>0.28198719816416001</v>
      </c>
      <c r="K95" s="146">
        <v>5.0854999999999997E-2</v>
      </c>
      <c r="L95" s="146">
        <v>0.33727313092901634</v>
      </c>
      <c r="M95" s="146">
        <v>6.0343307884739357E-2</v>
      </c>
      <c r="N95" s="147">
        <v>0.24924739614341856</v>
      </c>
      <c r="O95" s="147">
        <v>7.895573764246353</v>
      </c>
      <c r="P95" s="147">
        <v>16.861059231983642</v>
      </c>
      <c r="Q95" s="147">
        <v>25.637409477526273</v>
      </c>
      <c r="R95" s="147">
        <v>2.3031518241417506</v>
      </c>
      <c r="S95" s="147">
        <v>34.884505444212166</v>
      </c>
      <c r="T95" s="146">
        <v>0.11350573999309437</v>
      </c>
      <c r="U95" s="146">
        <v>0.53908430918105532</v>
      </c>
      <c r="V95" s="146">
        <v>0.40175099691053662</v>
      </c>
      <c r="W95" s="146">
        <v>1.4950509635847589</v>
      </c>
      <c r="X95" s="146">
        <v>0.15979158800682636</v>
      </c>
      <c r="Y95" s="146">
        <v>0.60585496218840451</v>
      </c>
      <c r="Z95" s="146">
        <v>0.39244972646773968</v>
      </c>
      <c r="AA95" s="148">
        <v>0.30680997617385836</v>
      </c>
    </row>
    <row r="96" spans="1:27" ht="13.2">
      <c r="A96" s="145" t="s">
        <v>985</v>
      </c>
      <c r="B96" s="74">
        <v>6481</v>
      </c>
      <c r="C96" s="146">
        <v>0.1203779994242945</v>
      </c>
      <c r="D96" s="146">
        <v>0.11452567554355129</v>
      </c>
      <c r="E96" s="146">
        <v>8.4062309144149125E-2</v>
      </c>
      <c r="F96" s="146">
        <v>0.19231854986601951</v>
      </c>
      <c r="G96" s="147">
        <v>0.79038567175458452</v>
      </c>
      <c r="H96" s="147">
        <v>1.0002231348562109</v>
      </c>
      <c r="I96" s="146">
        <v>8.4810264203385707E-2</v>
      </c>
      <c r="J96" s="146">
        <v>0.42031449597641213</v>
      </c>
      <c r="K96" s="146">
        <v>5.0854999999999997E-2</v>
      </c>
      <c r="L96" s="146">
        <v>0.31703408820818413</v>
      </c>
      <c r="M96" s="146">
        <v>7.0014595837840532E-2</v>
      </c>
      <c r="N96" s="147">
        <v>0.78698566346128662</v>
      </c>
      <c r="O96" s="147">
        <v>3.2302321427131906</v>
      </c>
      <c r="P96" s="147">
        <v>16.807342298997796</v>
      </c>
      <c r="Q96" s="147">
        <v>26.139286895624839</v>
      </c>
      <c r="R96" s="147">
        <v>3.7797652879763302</v>
      </c>
      <c r="S96" s="147">
        <v>52.283737168618813</v>
      </c>
      <c r="T96" s="146">
        <v>-0.26218444662072682</v>
      </c>
      <c r="U96" s="146">
        <v>5.8007325301734317E-2</v>
      </c>
      <c r="V96" s="146">
        <v>3.3435793574174019E-2</v>
      </c>
      <c r="W96" s="146">
        <v>0.46884514232673402</v>
      </c>
      <c r="X96" s="146">
        <v>0.15979158800682636</v>
      </c>
      <c r="Y96" s="146">
        <v>0.39244972646773968</v>
      </c>
      <c r="Z96" s="146">
        <v>0.39244972646773968</v>
      </c>
      <c r="AA96" s="148">
        <v>0.11629806601986115</v>
      </c>
    </row>
    <row r="97" spans="1:27" ht="13.2">
      <c r="A97" s="145" t="s">
        <v>986</v>
      </c>
      <c r="B97" s="74">
        <v>5214</v>
      </c>
      <c r="C97" s="146">
        <v>0.12709816521785855</v>
      </c>
      <c r="D97" s="146">
        <v>0.12032430790128817</v>
      </c>
      <c r="E97" s="146">
        <v>0.1466884216172786</v>
      </c>
      <c r="F97" s="146">
        <v>0.19406585106619861</v>
      </c>
      <c r="G97" s="147">
        <v>0.97226780544680302</v>
      </c>
      <c r="H97" s="147">
        <v>1.0975226422471853</v>
      </c>
      <c r="I97" s="146">
        <v>8.9286041543370526E-2</v>
      </c>
      <c r="J97" s="146">
        <v>0.47003459500949929</v>
      </c>
      <c r="K97" s="146">
        <v>5.0854999999999997E-2</v>
      </c>
      <c r="L97" s="146">
        <v>0.18433859162959904</v>
      </c>
      <c r="M97" s="146">
        <v>7.985808270107618E-2</v>
      </c>
      <c r="N97" s="147">
        <v>1.2846280224071296</v>
      </c>
      <c r="O97" s="147">
        <v>2.7276225992096554</v>
      </c>
      <c r="P97" s="147">
        <v>14.145902302173438</v>
      </c>
      <c r="Q97" s="147">
        <v>22.061341722186697</v>
      </c>
      <c r="R97" s="147">
        <v>4.4732992749666858</v>
      </c>
      <c r="S97" s="147">
        <v>52.865836376804289</v>
      </c>
      <c r="T97" s="146">
        <v>8.6736780510272324E-2</v>
      </c>
      <c r="U97" s="146">
        <v>6.2462255788532275E-2</v>
      </c>
      <c r="V97" s="146">
        <v>3.7074751131841818E-2</v>
      </c>
      <c r="W97" s="146">
        <v>0.44373494936660024</v>
      </c>
      <c r="X97" s="146">
        <v>0.16592552471920183</v>
      </c>
      <c r="Y97" s="146">
        <v>0.4126837264965974</v>
      </c>
      <c r="Z97" s="146">
        <v>0.41268372649659746</v>
      </c>
      <c r="AA97" s="148">
        <v>0.12230591201543203</v>
      </c>
    </row>
  </sheetData>
  <phoneticPr fontId="4"/>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workbookViewId="0">
      <selection sqref="A1:AA1048576"/>
    </sheetView>
  </sheetViews>
  <sheetFormatPr defaultColWidth="11" defaultRowHeight="11.4"/>
  <cols>
    <col min="1" max="1" width="23.125" customWidth="1"/>
    <col min="2" max="23" width="10.625" style="90" customWidth="1"/>
  </cols>
  <sheetData>
    <row r="1" spans="1:27" s="170" customFormat="1" ht="68.400000000000006">
      <c r="A1" s="474" t="s">
        <v>86</v>
      </c>
      <c r="B1" s="475" t="s">
        <v>158</v>
      </c>
      <c r="C1" s="476" t="s">
        <v>146</v>
      </c>
      <c r="D1" s="476" t="s">
        <v>587</v>
      </c>
      <c r="E1" s="476" t="s">
        <v>163</v>
      </c>
      <c r="F1" s="475" t="s">
        <v>147</v>
      </c>
      <c r="G1" s="475" t="s">
        <v>193</v>
      </c>
      <c r="H1" s="475" t="s">
        <v>148</v>
      </c>
      <c r="I1" s="475" t="s">
        <v>149</v>
      </c>
      <c r="J1" s="475" t="s">
        <v>150</v>
      </c>
      <c r="K1" s="475" t="s">
        <v>151</v>
      </c>
      <c r="L1" s="475" t="s">
        <v>152</v>
      </c>
      <c r="M1" s="475" t="s">
        <v>135</v>
      </c>
      <c r="N1" s="477" t="s">
        <v>89</v>
      </c>
      <c r="O1" s="475" t="s">
        <v>153</v>
      </c>
      <c r="P1" s="475" t="s">
        <v>154</v>
      </c>
      <c r="Q1" s="475" t="s">
        <v>155</v>
      </c>
      <c r="R1" s="475" t="s">
        <v>156</v>
      </c>
      <c r="S1" s="475" t="s">
        <v>157</v>
      </c>
      <c r="T1" s="475" t="s">
        <v>468</v>
      </c>
      <c r="U1" s="475" t="s">
        <v>469</v>
      </c>
      <c r="V1" s="475" t="s">
        <v>470</v>
      </c>
      <c r="W1" s="475" t="s">
        <v>471</v>
      </c>
      <c r="X1" s="474" t="s">
        <v>455</v>
      </c>
      <c r="Y1" s="474" t="s">
        <v>472</v>
      </c>
      <c r="Z1" s="474" t="s">
        <v>473</v>
      </c>
      <c r="AA1" s="475" t="s">
        <v>595</v>
      </c>
    </row>
    <row r="2" spans="1:27" s="136" customFormat="1" ht="13.2">
      <c r="A2" s="145" t="s">
        <v>87</v>
      </c>
      <c r="B2" s="74">
        <v>391</v>
      </c>
      <c r="C2" s="146">
        <v>6.0678733031674176E-2</v>
      </c>
      <c r="D2" s="146">
        <v>7.8932890152171753E-2</v>
      </c>
      <c r="E2" s="146">
        <v>0.22318415384806231</v>
      </c>
      <c r="F2" s="146">
        <v>0.2467186246978417</v>
      </c>
      <c r="G2" s="147">
        <v>1.2309227086142349</v>
      </c>
      <c r="H2" s="147">
        <v>1.3525261181448878</v>
      </c>
      <c r="I2" s="146">
        <v>0.12549692417308733</v>
      </c>
      <c r="J2" s="146">
        <v>0.38891117906224903</v>
      </c>
      <c r="K2" s="146">
        <v>6.4354999999999996E-2</v>
      </c>
      <c r="L2" s="146">
        <v>0.23971065900192132</v>
      </c>
      <c r="M2" s="146">
        <v>0.10693454331762167</v>
      </c>
      <c r="N2" s="147">
        <v>3.2269278158581112</v>
      </c>
      <c r="O2" s="147">
        <v>1.5597581830598455</v>
      </c>
      <c r="P2" s="147">
        <v>11.941457605101096</v>
      </c>
      <c r="Q2" s="147">
        <v>18.4681983544186</v>
      </c>
      <c r="R2" s="147">
        <v>2.5969840766685475</v>
      </c>
      <c r="S2" s="147">
        <v>53.676863651275951</v>
      </c>
      <c r="T2" s="146">
        <v>-2.5138144517558057E-2</v>
      </c>
      <c r="U2" s="146">
        <v>1.7243189100700853E-2</v>
      </c>
      <c r="V2" s="146">
        <v>1.7319182249018413E-3</v>
      </c>
      <c r="W2" s="146">
        <v>0.25114078027496439</v>
      </c>
      <c r="X2" s="146">
        <v>7.5356549690505106E-2</v>
      </c>
      <c r="Y2" s="146">
        <v>0.76013580051126151</v>
      </c>
      <c r="Z2" s="146">
        <v>0.76013580051126151</v>
      </c>
      <c r="AA2" s="148">
        <v>8.0659837064077047E-2</v>
      </c>
    </row>
    <row r="3" spans="1:27" s="136" customFormat="1" ht="13.2">
      <c r="A3" s="145" t="s">
        <v>638</v>
      </c>
      <c r="B3" s="74">
        <v>289</v>
      </c>
      <c r="C3" s="146">
        <v>9.3095680473372799E-2</v>
      </c>
      <c r="D3" s="146">
        <v>7.9923617622355531E-2</v>
      </c>
      <c r="E3" s="146">
        <v>0.13938187028979593</v>
      </c>
      <c r="F3" s="146">
        <v>0.16177288034464549</v>
      </c>
      <c r="G3" s="147">
        <v>0.90338325999219771</v>
      </c>
      <c r="H3" s="147">
        <v>0.98430307414573681</v>
      </c>
      <c r="I3" s="146">
        <v>0.10189382705274173</v>
      </c>
      <c r="J3" s="146">
        <v>0.35101018860014011</v>
      </c>
      <c r="K3" s="146">
        <v>6.4354999999999996E-2</v>
      </c>
      <c r="L3" s="146">
        <v>0.17197348630021475</v>
      </c>
      <c r="M3" s="146">
        <v>9.2635890133273627E-2</v>
      </c>
      <c r="N3" s="147">
        <v>1.8322619807727754</v>
      </c>
      <c r="O3" s="147">
        <v>2.2616278665454344</v>
      </c>
      <c r="P3" s="147">
        <v>17.907632080275899</v>
      </c>
      <c r="Q3" s="147">
        <v>27.409853803101718</v>
      </c>
      <c r="R3" s="147">
        <v>4.4675789858150141</v>
      </c>
      <c r="S3" s="147">
        <v>77.145601859135155</v>
      </c>
      <c r="T3" s="146">
        <v>0.38805333617951349</v>
      </c>
      <c r="U3" s="146">
        <v>3.5404721692020871E-2</v>
      </c>
      <c r="V3" s="146">
        <v>2.1536227284770452E-2</v>
      </c>
      <c r="W3" s="146">
        <v>0.40167246380722416</v>
      </c>
      <c r="X3" s="146">
        <v>0.14143383047792679</v>
      </c>
      <c r="Y3" s="146">
        <v>0.44958156371112112</v>
      </c>
      <c r="Z3" s="146">
        <v>0.44958156371112112</v>
      </c>
      <c r="AA3" s="148">
        <v>8.3597009186761287E-2</v>
      </c>
    </row>
    <row r="4" spans="1:27" s="136" customFormat="1" ht="13.2">
      <c r="A4" s="145" t="s">
        <v>639</v>
      </c>
      <c r="B4" s="74">
        <v>155</v>
      </c>
      <c r="C4" s="146">
        <v>2.4834959999999982E-2</v>
      </c>
      <c r="D4" s="146">
        <v>7.2832786186452711E-2</v>
      </c>
      <c r="E4" s="146">
        <v>7.6090439467841317E-2</v>
      </c>
      <c r="F4" s="146">
        <v>0.18079322862025005</v>
      </c>
      <c r="G4" s="147">
        <v>0.8104034085122015</v>
      </c>
      <c r="H4" s="147">
        <v>1.2872127648104188</v>
      </c>
      <c r="I4" s="146">
        <v>0.12131033822434785</v>
      </c>
      <c r="J4" s="146">
        <v>0.30061794269989933</v>
      </c>
      <c r="K4" s="146">
        <v>6.4354999999999996E-2</v>
      </c>
      <c r="L4" s="146">
        <v>0.50981681841511861</v>
      </c>
      <c r="M4" s="146">
        <v>8.3966243925460468E-2</v>
      </c>
      <c r="N4" s="147">
        <v>1.1974037614368915</v>
      </c>
      <c r="O4" s="147">
        <v>1.416060675493406</v>
      </c>
      <c r="P4" s="147">
        <v>8.4210655337795899</v>
      </c>
      <c r="Q4" s="147">
        <v>18.088756940528778</v>
      </c>
      <c r="R4" s="147">
        <v>2.4000358145682927</v>
      </c>
      <c r="S4" s="147">
        <v>96.63158394397243</v>
      </c>
      <c r="T4" s="146">
        <v>-2.8523145438302588E-2</v>
      </c>
      <c r="U4" s="146">
        <v>9.8728590436067062E-2</v>
      </c>
      <c r="V4" s="146">
        <v>3.4606502475835493E-2</v>
      </c>
      <c r="W4" s="146">
        <v>0.30360301190271538</v>
      </c>
      <c r="X4" s="146">
        <v>0.19646294458461788</v>
      </c>
      <c r="Y4" s="146">
        <v>0.25209574595687112</v>
      </c>
      <c r="Z4" s="146">
        <v>0.25209574595687112</v>
      </c>
      <c r="AA4" s="148">
        <v>7.2336876698605931E-2</v>
      </c>
    </row>
    <row r="5" spans="1:27" s="136" customFormat="1" ht="13.2">
      <c r="A5" s="145" t="s">
        <v>640</v>
      </c>
      <c r="B5" s="74">
        <v>1152</v>
      </c>
      <c r="C5" s="146">
        <v>2.9902592592592637E-2</v>
      </c>
      <c r="D5" s="146">
        <v>0.14639551002807655</v>
      </c>
      <c r="E5" s="146">
        <v>0.21314799858212879</v>
      </c>
      <c r="F5" s="146">
        <v>0.25306546003931057</v>
      </c>
      <c r="G5" s="147">
        <v>0.77946573342923364</v>
      </c>
      <c r="H5" s="147">
        <v>0.83277329999542371</v>
      </c>
      <c r="I5" s="146">
        <v>9.2180768529706664E-2</v>
      </c>
      <c r="J5" s="146">
        <v>0.32723668608398659</v>
      </c>
      <c r="K5" s="146">
        <v>6.4354999999999996E-2</v>
      </c>
      <c r="L5" s="146">
        <v>0.14561415127969835</v>
      </c>
      <c r="M5" s="146">
        <v>8.5756205989288903E-2</v>
      </c>
      <c r="N5" s="147">
        <v>1.6689116104178512</v>
      </c>
      <c r="O5" s="147">
        <v>2.4393038474523547</v>
      </c>
      <c r="P5" s="147">
        <v>13.192840233095483</v>
      </c>
      <c r="Q5" s="147">
        <v>16.125324871999982</v>
      </c>
      <c r="R5" s="147">
        <v>3.6292338849372476</v>
      </c>
      <c r="S5" s="147">
        <v>42.488215468913218</v>
      </c>
      <c r="T5" s="146">
        <v>0.22428068163286721</v>
      </c>
      <c r="U5" s="146">
        <v>5.1634120766826788E-2</v>
      </c>
      <c r="V5" s="146">
        <v>3.4267562712317449E-2</v>
      </c>
      <c r="W5" s="146">
        <v>0.52147230642361753</v>
      </c>
      <c r="X5" s="146">
        <v>0.17062717492423174</v>
      </c>
      <c r="Y5" s="146">
        <v>0.42378359803405474</v>
      </c>
      <c r="Z5" s="146">
        <v>0.42378359803405474</v>
      </c>
      <c r="AA5" s="148">
        <v>0.14804138042034035</v>
      </c>
    </row>
    <row r="6" spans="1:27" s="136" customFormat="1" ht="13.2">
      <c r="A6" s="145" t="s">
        <v>641</v>
      </c>
      <c r="B6" s="74">
        <v>165</v>
      </c>
      <c r="C6" s="146">
        <v>8.1321568627450963E-2</v>
      </c>
      <c r="D6" s="146">
        <v>7.5594608796640025E-2</v>
      </c>
      <c r="E6" s="146">
        <v>8.6167570629544471E-2</v>
      </c>
      <c r="F6" s="146">
        <v>0.21881134556526199</v>
      </c>
      <c r="G6" s="147">
        <v>1.1030216126379664</v>
      </c>
      <c r="H6" s="147">
        <v>1.3606863499868866</v>
      </c>
      <c r="I6" s="146">
        <v>0.12601999503415945</v>
      </c>
      <c r="J6" s="146">
        <v>0.36463723432108103</v>
      </c>
      <c r="K6" s="146">
        <v>6.4354999999999996E-2</v>
      </c>
      <c r="L6" s="146">
        <v>0.35609740761964181</v>
      </c>
      <c r="M6" s="146">
        <v>9.8258754719041108E-2</v>
      </c>
      <c r="N6" s="147">
        <v>1.2339366809197059</v>
      </c>
      <c r="O6" s="147">
        <v>1.2010454020784693</v>
      </c>
      <c r="P6" s="147">
        <v>9.8422842102529149</v>
      </c>
      <c r="Q6" s="147">
        <v>15.278938923875353</v>
      </c>
      <c r="R6" s="147">
        <v>1.6673634307963552</v>
      </c>
      <c r="S6" s="147">
        <v>42.264064058692348</v>
      </c>
      <c r="T6" s="146">
        <v>2.127909970655693E-2</v>
      </c>
      <c r="U6" s="146">
        <v>6.066018448661873E-2</v>
      </c>
      <c r="V6" s="146">
        <v>3.4611750465439184E-2</v>
      </c>
      <c r="W6" s="146">
        <v>0.70382133445662232</v>
      </c>
      <c r="X6" s="146">
        <v>0.14502972145556861</v>
      </c>
      <c r="Y6" s="146">
        <v>0.26552011184291879</v>
      </c>
      <c r="Z6" s="146">
        <v>0.26552011184291879</v>
      </c>
      <c r="AA6" s="148">
        <v>7.7383712559417742E-2</v>
      </c>
    </row>
    <row r="7" spans="1:27" s="136" customFormat="1" ht="13.2">
      <c r="A7" s="145" t="s">
        <v>642</v>
      </c>
      <c r="B7" s="74">
        <v>761</v>
      </c>
      <c r="C7" s="146">
        <v>6.8719931740614457E-2</v>
      </c>
      <c r="D7" s="146">
        <v>5.0112864897864803E-2</v>
      </c>
      <c r="E7" s="146">
        <v>6.9513426919346144E-2</v>
      </c>
      <c r="F7" s="146">
        <v>0.24077430357322971</v>
      </c>
      <c r="G7" s="147">
        <v>1.2090551528976192</v>
      </c>
      <c r="H7" s="147">
        <v>1.3055576462563971</v>
      </c>
      <c r="I7" s="146">
        <v>0.12248624512503506</v>
      </c>
      <c r="J7" s="146">
        <v>0.30389336137361084</v>
      </c>
      <c r="K7" s="146">
        <v>6.4354999999999996E-2</v>
      </c>
      <c r="L7" s="146">
        <v>0.23444226966537232</v>
      </c>
      <c r="M7" s="146">
        <v>0.10503766091012318</v>
      </c>
      <c r="N7" s="147">
        <v>1.7302940449169677</v>
      </c>
      <c r="O7" s="147">
        <v>0.82655482438861705</v>
      </c>
      <c r="P7" s="147">
        <v>8.5539997462023063</v>
      </c>
      <c r="Q7" s="147">
        <v>15.807321844185415</v>
      </c>
      <c r="R7" s="147">
        <v>1.4984185462279607</v>
      </c>
      <c r="S7" s="147">
        <v>130.48897980538896</v>
      </c>
      <c r="T7" s="146">
        <v>0.11764661032295141</v>
      </c>
      <c r="U7" s="146">
        <v>5.3688520658493784E-2</v>
      </c>
      <c r="V7" s="146">
        <v>3.8473888094413412E-2</v>
      </c>
      <c r="W7" s="146">
        <v>1.1613589310967349</v>
      </c>
      <c r="X7" s="146">
        <v>7.5788200409424772E-2</v>
      </c>
      <c r="Y7" s="146">
        <v>0.41658239132927571</v>
      </c>
      <c r="Z7" s="146">
        <v>0.41658239132927566</v>
      </c>
      <c r="AA7" s="148">
        <v>4.8274277955413544E-2</v>
      </c>
    </row>
    <row r="8" spans="1:27" s="136" customFormat="1" ht="13.2">
      <c r="A8" s="145" t="s">
        <v>643</v>
      </c>
      <c r="B8" s="74">
        <v>607</v>
      </c>
      <c r="C8" s="146">
        <v>0.12026280219780221</v>
      </c>
      <c r="D8" s="146">
        <v>2.8364375669561663E-3</v>
      </c>
      <c r="E8" s="146">
        <v>3.8710600933369535E-4</v>
      </c>
      <c r="F8" s="146">
        <v>0.18590464159135886</v>
      </c>
      <c r="G8" s="147">
        <v>0.42062215883943516</v>
      </c>
      <c r="H8" s="147">
        <v>0.8766122259384862</v>
      </c>
      <c r="I8" s="146">
        <v>9.4990843682656978E-2</v>
      </c>
      <c r="J8" s="146">
        <v>0.2128077921549118</v>
      </c>
      <c r="K8" s="146">
        <v>5.8542999999999998E-2</v>
      </c>
      <c r="L8" s="146">
        <v>0.74422547902114233</v>
      </c>
      <c r="M8" s="146">
        <v>5.6833710288961517E-2</v>
      </c>
      <c r="N8" s="147">
        <v>0.15911567619584571</v>
      </c>
      <c r="O8" s="147">
        <v>6.7699193362529719</v>
      </c>
      <c r="P8" s="147">
        <v>189.89899252176042</v>
      </c>
      <c r="Q8" s="147" t="s">
        <v>88</v>
      </c>
      <c r="R8" s="147">
        <v>0.8423495689751942</v>
      </c>
      <c r="S8" s="147">
        <v>14.729077831666997</v>
      </c>
      <c r="T8" s="146" t="s">
        <v>88</v>
      </c>
      <c r="U8" s="146">
        <v>3.3254363502624444E-2</v>
      </c>
      <c r="V8" s="146">
        <v>5.0798671170112115E-2</v>
      </c>
      <c r="W8" s="146">
        <v>19.575019416478437</v>
      </c>
      <c r="X8" s="146">
        <v>0.12654306384811939</v>
      </c>
      <c r="Y8" s="146">
        <v>0.30695421615137441</v>
      </c>
      <c r="Z8" s="146">
        <v>0.30695421615137441</v>
      </c>
      <c r="AA8" s="148">
        <v>3.1046482550396875E-3</v>
      </c>
    </row>
    <row r="9" spans="1:27" s="136" customFormat="1" ht="13.2">
      <c r="A9" s="145" t="s">
        <v>644</v>
      </c>
      <c r="B9" s="74">
        <v>881</v>
      </c>
      <c r="C9" s="146">
        <v>8.4004418282548426E-2</v>
      </c>
      <c r="D9" s="146">
        <v>-1.0767472807027957E-4</v>
      </c>
      <c r="E9" s="146">
        <v>-1.474165996108738E-4</v>
      </c>
      <c r="F9" s="146">
        <v>0.19178309540764643</v>
      </c>
      <c r="G9" s="147">
        <v>0.28391223862464154</v>
      </c>
      <c r="H9" s="147">
        <v>0.52308360515971253</v>
      </c>
      <c r="I9" s="146">
        <v>7.2329659090737575E-2</v>
      </c>
      <c r="J9" s="146">
        <v>0.18295557375623153</v>
      </c>
      <c r="K9" s="146">
        <v>5.8542999999999998E-2</v>
      </c>
      <c r="L9" s="146">
        <v>0.71756531239429955</v>
      </c>
      <c r="M9" s="146">
        <v>5.1800297269076687E-2</v>
      </c>
      <c r="N9" s="147">
        <v>0.17196644382490733</v>
      </c>
      <c r="O9" s="147">
        <v>5.8371202375026776</v>
      </c>
      <c r="P9" s="147" t="s">
        <v>88</v>
      </c>
      <c r="Q9" s="147" t="s">
        <v>88</v>
      </c>
      <c r="R9" s="147">
        <v>0.74498597620054252</v>
      </c>
      <c r="S9" s="147">
        <v>28.980754193617027</v>
      </c>
      <c r="T9" s="146" t="s">
        <v>88</v>
      </c>
      <c r="U9" s="146">
        <v>2.9584981394133691E-2</v>
      </c>
      <c r="V9" s="146">
        <v>-4.266256265612315E-2</v>
      </c>
      <c r="W9" s="146" t="s">
        <v>88</v>
      </c>
      <c r="X9" s="146">
        <v>9.8266834992314991E-2</v>
      </c>
      <c r="Y9" s="146">
        <v>0.29089509088479176</v>
      </c>
      <c r="Z9" s="146">
        <v>0.29089509088479182</v>
      </c>
      <c r="AA9" s="148">
        <v>-1.0386505223670638E-3</v>
      </c>
    </row>
    <row r="10" spans="1:27" s="136" customFormat="1" ht="13.2">
      <c r="A10" s="145" t="s">
        <v>645</v>
      </c>
      <c r="B10" s="74">
        <v>220</v>
      </c>
      <c r="C10" s="146">
        <v>8.2478474576271138E-2</v>
      </c>
      <c r="D10" s="146">
        <v>0.21689011757613919</v>
      </c>
      <c r="E10" s="146">
        <v>0.16067497723977517</v>
      </c>
      <c r="F10" s="146">
        <v>0.21945068244758539</v>
      </c>
      <c r="G10" s="147">
        <v>0.6865821100681192</v>
      </c>
      <c r="H10" s="147">
        <v>0.74556336192485018</v>
      </c>
      <c r="I10" s="146">
        <v>8.6590611499382908E-2</v>
      </c>
      <c r="J10" s="146">
        <v>0.27489398256287167</v>
      </c>
      <c r="K10" s="146">
        <v>6.4354999999999996E-2</v>
      </c>
      <c r="L10" s="146">
        <v>0.15736771820899165</v>
      </c>
      <c r="M10" s="146">
        <v>8.052718649999141E-2</v>
      </c>
      <c r="N10" s="147">
        <v>0.88209059613817642</v>
      </c>
      <c r="O10" s="147">
        <v>3.6455194860978142</v>
      </c>
      <c r="P10" s="147">
        <v>13.890019429473544</v>
      </c>
      <c r="Q10" s="147">
        <v>16.682460386274567</v>
      </c>
      <c r="R10" s="147">
        <v>3.1761893485945167</v>
      </c>
      <c r="S10" s="147">
        <v>49.806144684265199</v>
      </c>
      <c r="T10" s="146">
        <v>0.10799586197824754</v>
      </c>
      <c r="U10" s="146">
        <v>5.1080512951848511E-2</v>
      </c>
      <c r="V10" s="146">
        <v>2.9178936196543638E-2</v>
      </c>
      <c r="W10" s="146">
        <v>0.39674912424489117</v>
      </c>
      <c r="X10" s="146">
        <v>0.16528003825197396</v>
      </c>
      <c r="Y10" s="146">
        <v>0.44614569767063011</v>
      </c>
      <c r="Z10" s="146">
        <v>0.44614569767063017</v>
      </c>
      <c r="AA10" s="148">
        <v>0.21737063325584269</v>
      </c>
    </row>
    <row r="11" spans="1:27" s="136" customFormat="1" ht="13.2">
      <c r="A11" s="145" t="s">
        <v>646</v>
      </c>
      <c r="B11" s="74">
        <v>100</v>
      </c>
      <c r="C11" s="146">
        <v>0.13106444444444448</v>
      </c>
      <c r="D11" s="146">
        <v>0.16712851609847534</v>
      </c>
      <c r="E11" s="146">
        <v>0.26082973402089549</v>
      </c>
      <c r="F11" s="146">
        <v>0.20408115504017893</v>
      </c>
      <c r="G11" s="147">
        <v>0.65633360985128586</v>
      </c>
      <c r="H11" s="147">
        <v>0.70711615968510422</v>
      </c>
      <c r="I11" s="146">
        <v>8.412614583581518E-2</v>
      </c>
      <c r="J11" s="146">
        <v>0.32238073188669158</v>
      </c>
      <c r="K11" s="146">
        <v>6.4354999999999996E-2</v>
      </c>
      <c r="L11" s="146">
        <v>0.14148944903633834</v>
      </c>
      <c r="M11" s="146">
        <v>7.9023211160328455E-2</v>
      </c>
      <c r="N11" s="147">
        <v>1.7627547191775153</v>
      </c>
      <c r="O11" s="147">
        <v>3.5378584257458034</v>
      </c>
      <c r="P11" s="147">
        <v>17.269454444972254</v>
      </c>
      <c r="Q11" s="147">
        <v>21.066831643634469</v>
      </c>
      <c r="R11" s="147">
        <v>6.2212477334543177</v>
      </c>
      <c r="S11" s="147">
        <v>34.11006197729769</v>
      </c>
      <c r="T11" s="146">
        <v>-4.6222997524781595E-2</v>
      </c>
      <c r="U11" s="146">
        <v>4.6679170313504E-2</v>
      </c>
      <c r="V11" s="146">
        <v>2.269315879940046E-2</v>
      </c>
      <c r="W11" s="146">
        <v>0.28353809683457815</v>
      </c>
      <c r="X11" s="146">
        <v>0.25763420811932436</v>
      </c>
      <c r="Y11" s="146">
        <v>0.631087930406666</v>
      </c>
      <c r="Z11" s="146">
        <v>0.631087930406666</v>
      </c>
      <c r="AA11" s="148">
        <v>0.16780765336144984</v>
      </c>
    </row>
    <row r="12" spans="1:27" s="136" customFormat="1" ht="13.2">
      <c r="A12" s="145" t="s">
        <v>647</v>
      </c>
      <c r="B12" s="74">
        <v>130</v>
      </c>
      <c r="C12" s="146">
        <v>4.0306759259259237E-2</v>
      </c>
      <c r="D12" s="146">
        <v>9.9129608106528627E-2</v>
      </c>
      <c r="E12" s="146">
        <v>8.8152853321582625E-2</v>
      </c>
      <c r="F12" s="146">
        <v>0.25292769638038864</v>
      </c>
      <c r="G12" s="147">
        <v>0.66373823913789465</v>
      </c>
      <c r="H12" s="147">
        <v>0.98196857098756629</v>
      </c>
      <c r="I12" s="146">
        <v>0.101744185400303</v>
      </c>
      <c r="J12" s="146">
        <v>0.31539632930060435</v>
      </c>
      <c r="K12" s="146">
        <v>6.4354999999999996E-2</v>
      </c>
      <c r="L12" s="146">
        <v>0.46662626831965837</v>
      </c>
      <c r="M12" s="146">
        <v>7.669388081982717E-2</v>
      </c>
      <c r="N12" s="147">
        <v>1.048262275637724</v>
      </c>
      <c r="O12" s="147">
        <v>1.1859945658791722</v>
      </c>
      <c r="P12" s="147">
        <v>7.8705781500574972</v>
      </c>
      <c r="Q12" s="147">
        <v>11.666819517509959</v>
      </c>
      <c r="R12" s="147">
        <v>0.7470920120100536</v>
      </c>
      <c r="S12" s="147">
        <v>45.336231476624697</v>
      </c>
      <c r="T12" s="146">
        <v>0.12358975266083903</v>
      </c>
      <c r="U12" s="146">
        <v>3.768812298249833E-2</v>
      </c>
      <c r="V12" s="146">
        <v>-2.7459630890185483E-3</v>
      </c>
      <c r="W12" s="146">
        <v>1.5367973063044447</v>
      </c>
      <c r="X12" s="146">
        <v>-3.5567526500278465E-3</v>
      </c>
      <c r="Y12" s="146">
        <v>4.7085165407288682E-3</v>
      </c>
      <c r="Z12" s="146">
        <v>4.708516540728902E-3</v>
      </c>
      <c r="AA12" s="148">
        <v>9.8763142965122661E-2</v>
      </c>
    </row>
    <row r="13" spans="1:27" s="136" customFormat="1" ht="13.2">
      <c r="A13" s="145" t="s">
        <v>648</v>
      </c>
      <c r="B13" s="74">
        <v>590</v>
      </c>
      <c r="C13" s="146">
        <v>0.10416122249388747</v>
      </c>
      <c r="D13" s="146">
        <v>1.1775589724179561E-2</v>
      </c>
      <c r="E13" s="146">
        <v>1.8058244106970507E-3</v>
      </c>
      <c r="F13" s="146">
        <v>0.18959734608836731</v>
      </c>
      <c r="G13" s="147">
        <v>0.39976610514833727</v>
      </c>
      <c r="H13" s="147">
        <v>0.92867816558663407</v>
      </c>
      <c r="I13" s="146">
        <v>9.8328270414103247E-2</v>
      </c>
      <c r="J13" s="146">
        <v>0.31951733900502821</v>
      </c>
      <c r="K13" s="146">
        <v>6.4354999999999996E-2</v>
      </c>
      <c r="L13" s="146">
        <v>0.71231609094302373</v>
      </c>
      <c r="M13" s="146">
        <v>6.2521596201514928E-2</v>
      </c>
      <c r="N13" s="147">
        <v>0.18374812093580103</v>
      </c>
      <c r="O13" s="147">
        <v>6.8227983793976978</v>
      </c>
      <c r="P13" s="147">
        <v>189.17464263492164</v>
      </c>
      <c r="Q13" s="147" t="s">
        <v>88</v>
      </c>
      <c r="R13" s="147">
        <v>1.2584232975164993</v>
      </c>
      <c r="S13" s="147">
        <v>115.17713682796493</v>
      </c>
      <c r="T13" s="146" t="s">
        <v>88</v>
      </c>
      <c r="U13" s="146">
        <v>3.2147267807055617E-2</v>
      </c>
      <c r="V13" s="146">
        <v>1.7840380622725385E-2</v>
      </c>
      <c r="W13" s="146">
        <v>8.4602071210860217</v>
      </c>
      <c r="X13" s="146">
        <v>7.6645177486536833E-2</v>
      </c>
      <c r="Y13" s="146">
        <v>0.59630235260648246</v>
      </c>
      <c r="Z13" s="146">
        <v>0.59630235260648246</v>
      </c>
      <c r="AA13" s="148">
        <v>1.134704485330971E-2</v>
      </c>
    </row>
    <row r="14" spans="1:27" s="136" customFormat="1" ht="13.2">
      <c r="A14" s="145" t="s">
        <v>649</v>
      </c>
      <c r="B14" s="74">
        <v>457</v>
      </c>
      <c r="C14" s="146">
        <v>6.034177966101692E-2</v>
      </c>
      <c r="D14" s="146">
        <v>0.10639298425330167</v>
      </c>
      <c r="E14" s="146">
        <v>0.16730290380377011</v>
      </c>
      <c r="F14" s="146">
        <v>0.2283837221122689</v>
      </c>
      <c r="G14" s="147">
        <v>0.94049139107378077</v>
      </c>
      <c r="H14" s="147">
        <v>1.0314797894224854</v>
      </c>
      <c r="I14" s="146">
        <v>0.10491785450198132</v>
      </c>
      <c r="J14" s="146">
        <v>0.28001303760534818</v>
      </c>
      <c r="K14" s="146">
        <v>6.4354999999999996E-2</v>
      </c>
      <c r="L14" s="146">
        <v>0.17800859680469794</v>
      </c>
      <c r="M14" s="146">
        <v>9.479672349945735E-2</v>
      </c>
      <c r="N14" s="147">
        <v>1.8434295701551491</v>
      </c>
      <c r="O14" s="147">
        <v>1.7142682425921862</v>
      </c>
      <c r="P14" s="147">
        <v>11.505961873812181</v>
      </c>
      <c r="Q14" s="147">
        <v>15.690307278203443</v>
      </c>
      <c r="R14" s="147">
        <v>2.8207400308199984</v>
      </c>
      <c r="S14" s="147">
        <v>28.790076883849167</v>
      </c>
      <c r="T14" s="146">
        <v>0.17489299179969489</v>
      </c>
      <c r="U14" s="146">
        <v>4.3511059957789408E-2</v>
      </c>
      <c r="V14" s="146">
        <v>5.1551982456434185E-2</v>
      </c>
      <c r="W14" s="146">
        <v>0.67999326816282279</v>
      </c>
      <c r="X14" s="146">
        <v>0.13388147527037281</v>
      </c>
      <c r="Y14" s="146">
        <v>0.38887233845093194</v>
      </c>
      <c r="Z14" s="146">
        <v>0.38887233845093194</v>
      </c>
      <c r="AA14" s="148">
        <v>0.10786546811677492</v>
      </c>
    </row>
    <row r="15" spans="1:27" s="136" customFormat="1" ht="13.2">
      <c r="A15" s="145" t="s">
        <v>650</v>
      </c>
      <c r="B15" s="74">
        <v>980</v>
      </c>
      <c r="C15" s="146">
        <v>7.4751886503067494E-2</v>
      </c>
      <c r="D15" s="146">
        <v>9.154535040510714E-2</v>
      </c>
      <c r="E15" s="146">
        <v>0.21051840184826337</v>
      </c>
      <c r="F15" s="146">
        <v>0.2471200523511016</v>
      </c>
      <c r="G15" s="147">
        <v>0.96407247528666362</v>
      </c>
      <c r="H15" s="147">
        <v>1.0420886881980238</v>
      </c>
      <c r="I15" s="146">
        <v>0.10559788491349333</v>
      </c>
      <c r="J15" s="146">
        <v>0.33306409769419992</v>
      </c>
      <c r="K15" s="146">
        <v>6.4354999999999996E-2</v>
      </c>
      <c r="L15" s="146">
        <v>0.16018506974822777</v>
      </c>
      <c r="M15" s="146">
        <v>9.6381225103571791E-2</v>
      </c>
      <c r="N15" s="147">
        <v>2.7153342880514031</v>
      </c>
      <c r="O15" s="147">
        <v>2.0557335896830167</v>
      </c>
      <c r="P15" s="147">
        <v>15.444300197282384</v>
      </c>
      <c r="Q15" s="147">
        <v>21.523989925145592</v>
      </c>
      <c r="R15" s="147">
        <v>4.4253804849140392</v>
      </c>
      <c r="S15" s="147">
        <v>215.34905421682564</v>
      </c>
      <c r="T15" s="146">
        <v>0.10538724930811741</v>
      </c>
      <c r="U15" s="146">
        <v>2.7100047299620268E-2</v>
      </c>
      <c r="V15" s="146">
        <v>1.4473205088458603E-2</v>
      </c>
      <c r="W15" s="146">
        <v>0.30416219191382748</v>
      </c>
      <c r="X15" s="146">
        <v>0.13588911707732615</v>
      </c>
      <c r="Y15" s="146">
        <v>0.54379558964753627</v>
      </c>
      <c r="Z15" s="146">
        <v>0.54379558964753627</v>
      </c>
      <c r="AA15" s="148">
        <v>9.307970415006403E-2</v>
      </c>
    </row>
    <row r="16" spans="1:27" s="136" customFormat="1" ht="13.2">
      <c r="A16" s="145" t="s">
        <v>651</v>
      </c>
      <c r="B16" s="74">
        <v>48</v>
      </c>
      <c r="C16" s="146">
        <v>4.1942682926829275E-2</v>
      </c>
      <c r="D16" s="146">
        <v>0.18608743617896145</v>
      </c>
      <c r="E16" s="146">
        <v>0.12004314941711697</v>
      </c>
      <c r="F16" s="146">
        <v>0.25003543339470008</v>
      </c>
      <c r="G16" s="147">
        <v>0.60757745917594519</v>
      </c>
      <c r="H16" s="147">
        <v>1.021143501777062</v>
      </c>
      <c r="I16" s="146">
        <v>0.10425529846390968</v>
      </c>
      <c r="J16" s="146">
        <v>0.30910674067589422</v>
      </c>
      <c r="K16" s="146">
        <v>6.4354999999999996E-2</v>
      </c>
      <c r="L16" s="146">
        <v>0.49229680226199307</v>
      </c>
      <c r="M16" s="146">
        <v>7.659068730916456E-2</v>
      </c>
      <c r="N16" s="147">
        <v>0.75937230431464287</v>
      </c>
      <c r="O16" s="147">
        <v>2.5412604191516603</v>
      </c>
      <c r="P16" s="147">
        <v>7.8754763695141126</v>
      </c>
      <c r="Q16" s="147">
        <v>13.842133335680826</v>
      </c>
      <c r="R16" s="147">
        <v>1.867922154373058</v>
      </c>
      <c r="S16" s="147">
        <v>34.875965970574853</v>
      </c>
      <c r="T16" s="146">
        <v>7.530629820232445E-3</v>
      </c>
      <c r="U16" s="146">
        <v>0.14155246221551376</v>
      </c>
      <c r="V16" s="146">
        <v>1.4127987573296625E-2</v>
      </c>
      <c r="W16" s="146">
        <v>0.1802528247348732</v>
      </c>
      <c r="X16" s="146">
        <v>0.15882582093501951</v>
      </c>
      <c r="Y16" s="146">
        <v>0.2472674887044122</v>
      </c>
      <c r="Z16" s="146">
        <v>0.24726748870441217</v>
      </c>
      <c r="AA16" s="148">
        <v>0.18267772317044453</v>
      </c>
    </row>
    <row r="17" spans="1:27" s="136" customFormat="1" ht="13.2">
      <c r="A17" s="145" t="s">
        <v>607</v>
      </c>
      <c r="B17" s="74">
        <v>888</v>
      </c>
      <c r="C17" s="146">
        <v>8.5872087087087254E-2</v>
      </c>
      <c r="D17" s="146">
        <v>4.6542235917766628E-2</v>
      </c>
      <c r="E17" s="146">
        <v>4.6390050897023791E-2</v>
      </c>
      <c r="F17" s="146">
        <v>0.19898679373546321</v>
      </c>
      <c r="G17" s="147">
        <v>0.90192728654346588</v>
      </c>
      <c r="H17" s="147">
        <v>1.0727320656318426</v>
      </c>
      <c r="I17" s="146">
        <v>0.10756212540700112</v>
      </c>
      <c r="J17" s="146">
        <v>0.28877338728448732</v>
      </c>
      <c r="K17" s="146">
        <v>6.4354999999999996E-2</v>
      </c>
      <c r="L17" s="146">
        <v>0.30060028166786384</v>
      </c>
      <c r="M17" s="146">
        <v>8.967586413830847E-2</v>
      </c>
      <c r="N17" s="147">
        <v>1.1423311994679759</v>
      </c>
      <c r="O17" s="147">
        <v>1.3267680881060941</v>
      </c>
      <c r="P17" s="147">
        <v>12.70958051084601</v>
      </c>
      <c r="Q17" s="147">
        <v>26.906774069294411</v>
      </c>
      <c r="R17" s="147">
        <v>1.4647625666630506</v>
      </c>
      <c r="S17" s="147">
        <v>113.95451115517623</v>
      </c>
      <c r="T17" s="146">
        <v>0.13109121704272</v>
      </c>
      <c r="U17" s="146">
        <v>9.3408741940223458E-2</v>
      </c>
      <c r="V17" s="146">
        <v>6.648192201506159E-2</v>
      </c>
      <c r="W17" s="146">
        <v>1.945903280402447</v>
      </c>
      <c r="X17" s="146">
        <v>3.8401073053239365E-2</v>
      </c>
      <c r="Y17" s="146">
        <v>1.4179036744594131</v>
      </c>
      <c r="Z17" s="146">
        <v>1.4179036744594131</v>
      </c>
      <c r="AA17" s="148">
        <v>4.7045768741900668E-2</v>
      </c>
    </row>
    <row r="18" spans="1:27" s="136" customFormat="1" ht="13.2">
      <c r="A18" s="145" t="s">
        <v>652</v>
      </c>
      <c r="B18" s="74">
        <v>64</v>
      </c>
      <c r="C18" s="146">
        <v>8.1043454545454557E-2</v>
      </c>
      <c r="D18" s="146">
        <v>6.6238601235345196E-2</v>
      </c>
      <c r="E18" s="146">
        <v>5.4454418663555146E-2</v>
      </c>
      <c r="F18" s="146">
        <v>0.22367776062870598</v>
      </c>
      <c r="G18" s="147">
        <v>0.84636700760429417</v>
      </c>
      <c r="H18" s="147">
        <v>1.0926752561445323</v>
      </c>
      <c r="I18" s="146">
        <v>0.10884048391886453</v>
      </c>
      <c r="J18" s="146">
        <v>0.2236285736387566</v>
      </c>
      <c r="K18" s="146">
        <v>5.8542999999999998E-2</v>
      </c>
      <c r="L18" s="146">
        <v>0.35776016912734659</v>
      </c>
      <c r="M18" s="146">
        <v>8.5542937238606079E-2</v>
      </c>
      <c r="N18" s="147">
        <v>1.0817263319048778</v>
      </c>
      <c r="O18" s="147">
        <v>1.0157982256985354</v>
      </c>
      <c r="P18" s="147">
        <v>7.9802615466451137</v>
      </c>
      <c r="Q18" s="147">
        <v>14.423533988163413</v>
      </c>
      <c r="R18" s="147">
        <v>1.1205497743065969</v>
      </c>
      <c r="S18" s="147">
        <v>82.991453933495293</v>
      </c>
      <c r="T18" s="146">
        <v>0.19327838179916981</v>
      </c>
      <c r="U18" s="146">
        <v>7.2577921183223607E-2</v>
      </c>
      <c r="V18" s="146">
        <v>2.999193005123553E-2</v>
      </c>
      <c r="W18" s="146">
        <v>0.4901686958441055</v>
      </c>
      <c r="X18" s="146">
        <v>2.9144222762520315E-2</v>
      </c>
      <c r="Y18" s="146">
        <v>1.7073693515687172</v>
      </c>
      <c r="Z18" s="146">
        <v>1.7073693515687172</v>
      </c>
      <c r="AA18" s="148">
        <v>6.5288297229942185E-2</v>
      </c>
    </row>
    <row r="19" spans="1:27" s="136" customFormat="1" ht="13.2">
      <c r="A19" s="145" t="s">
        <v>608</v>
      </c>
      <c r="B19" s="74">
        <v>949</v>
      </c>
      <c r="C19" s="146">
        <v>9.4848671874999985E-2</v>
      </c>
      <c r="D19" s="146">
        <v>0.11947289608979784</v>
      </c>
      <c r="E19" s="146">
        <v>0.12380681994346789</v>
      </c>
      <c r="F19" s="146">
        <v>0.2088836095470917</v>
      </c>
      <c r="G19" s="147">
        <v>0.94095302064487318</v>
      </c>
      <c r="H19" s="147">
        <v>1.0268135146120057</v>
      </c>
      <c r="I19" s="146">
        <v>0.10461874628662957</v>
      </c>
      <c r="J19" s="146">
        <v>0.31217963918359742</v>
      </c>
      <c r="K19" s="146">
        <v>6.4354999999999996E-2</v>
      </c>
      <c r="L19" s="146">
        <v>0.17874753360855905</v>
      </c>
      <c r="M19" s="146">
        <v>9.4509066010627835E-2</v>
      </c>
      <c r="N19" s="147">
        <v>1.2093762157449228</v>
      </c>
      <c r="O19" s="147">
        <v>2.2521789021943563</v>
      </c>
      <c r="P19" s="147">
        <v>12.46623304629337</v>
      </c>
      <c r="Q19" s="147">
        <v>18.488180723537518</v>
      </c>
      <c r="R19" s="147">
        <v>2.4503177323688616</v>
      </c>
      <c r="S19" s="147">
        <v>46.349690338048298</v>
      </c>
      <c r="T19" s="146">
        <v>0.18241924623939812</v>
      </c>
      <c r="U19" s="146">
        <v>8.8331116330068724E-2</v>
      </c>
      <c r="V19" s="146">
        <v>6.7377140830119864E-2</v>
      </c>
      <c r="W19" s="146">
        <v>0.78861872084478857</v>
      </c>
      <c r="X19" s="146">
        <v>0.12070412277404138</v>
      </c>
      <c r="Y19" s="146">
        <v>0.51719762430773797</v>
      </c>
      <c r="Z19" s="146">
        <v>0.51719762430773797</v>
      </c>
      <c r="AA19" s="148">
        <v>0.11942987979894938</v>
      </c>
    </row>
    <row r="20" spans="1:27" s="136" customFormat="1" ht="13.2">
      <c r="A20" s="145" t="s">
        <v>653</v>
      </c>
      <c r="B20" s="74">
        <v>215</v>
      </c>
      <c r="C20" s="146">
        <v>0.14781403669724769</v>
      </c>
      <c r="D20" s="146">
        <v>0.24031355444243957</v>
      </c>
      <c r="E20" s="146">
        <v>0.32220933558353698</v>
      </c>
      <c r="F20" s="146">
        <v>0.22559346242492312</v>
      </c>
      <c r="G20" s="147">
        <v>1.0773641639143707</v>
      </c>
      <c r="H20" s="147">
        <v>1.0062570197628316</v>
      </c>
      <c r="I20" s="146">
        <v>0.10330107496679751</v>
      </c>
      <c r="J20" s="146">
        <v>0.50421472982286308</v>
      </c>
      <c r="K20" s="146">
        <v>6.7024E-2</v>
      </c>
      <c r="L20" s="146">
        <v>0.16520601635212573</v>
      </c>
      <c r="M20" s="146">
        <v>9.4504259058901294E-2</v>
      </c>
      <c r="N20" s="147">
        <v>1.4921479319729078</v>
      </c>
      <c r="O20" s="147">
        <v>1.3071148054536077</v>
      </c>
      <c r="P20" s="147">
        <v>4.0711931172113456</v>
      </c>
      <c r="Q20" s="147">
        <v>5.1735912674569757</v>
      </c>
      <c r="R20" s="147">
        <v>1.5046538096423798</v>
      </c>
      <c r="S20" s="147">
        <v>25.295557069036455</v>
      </c>
      <c r="T20" s="146">
        <v>-3.0186938808872184E-2</v>
      </c>
      <c r="U20" s="146">
        <v>9.0487992187492899E-2</v>
      </c>
      <c r="V20" s="146">
        <v>5.1223276068080477E-2</v>
      </c>
      <c r="W20" s="146">
        <v>0.24945089536313977</v>
      </c>
      <c r="X20" s="146">
        <v>0.21362534829389421</v>
      </c>
      <c r="Y20" s="146">
        <v>0.76433441749502429</v>
      </c>
      <c r="Z20" s="146">
        <v>0.76433441749502429</v>
      </c>
      <c r="AA20" s="148">
        <v>0.24079230474275254</v>
      </c>
    </row>
    <row r="21" spans="1:27" s="136" customFormat="1" ht="13.2">
      <c r="A21" s="145" t="s">
        <v>480</v>
      </c>
      <c r="B21" s="74">
        <v>1164</v>
      </c>
      <c r="C21" s="146">
        <v>0.10303601552393266</v>
      </c>
      <c r="D21" s="146">
        <v>7.5579066178782517E-2</v>
      </c>
      <c r="E21" s="146">
        <v>0.21094949668920462</v>
      </c>
      <c r="F21" s="146">
        <v>0.23628691375717017</v>
      </c>
      <c r="G21" s="147">
        <v>1.0014532086275136</v>
      </c>
      <c r="H21" s="147">
        <v>1.041484274226574</v>
      </c>
      <c r="I21" s="146">
        <v>0.10555914197792339</v>
      </c>
      <c r="J21" s="146">
        <v>0.32895362923180771</v>
      </c>
      <c r="K21" s="146">
        <v>6.4354999999999996E-2</v>
      </c>
      <c r="L21" s="146">
        <v>0.12391040167313519</v>
      </c>
      <c r="M21" s="146">
        <v>9.8434439107444399E-2</v>
      </c>
      <c r="N21" s="147">
        <v>3.2861205177683654</v>
      </c>
      <c r="O21" s="147">
        <v>1.5245898873969417</v>
      </c>
      <c r="P21" s="147">
        <v>14.677564171647024</v>
      </c>
      <c r="Q21" s="147">
        <v>19.463101367592564</v>
      </c>
      <c r="R21" s="147">
        <v>3.9981872658666031</v>
      </c>
      <c r="S21" s="147">
        <v>64.471243455611628</v>
      </c>
      <c r="T21" s="146">
        <v>0.15358638268892338</v>
      </c>
      <c r="U21" s="146">
        <v>1.5317632718716554E-2</v>
      </c>
      <c r="V21" s="146">
        <v>1.1342015868972452E-2</v>
      </c>
      <c r="W21" s="146">
        <v>0.27663520093905836</v>
      </c>
      <c r="X21" s="146">
        <v>0.16017730806734784</v>
      </c>
      <c r="Y21" s="146">
        <v>0.53071092220335536</v>
      </c>
      <c r="Z21" s="146">
        <v>0.53071092220335536</v>
      </c>
      <c r="AA21" s="148">
        <v>7.6819538899117593E-2</v>
      </c>
    </row>
    <row r="22" spans="1:27" s="136" customFormat="1" ht="13.2">
      <c r="A22" s="145" t="s">
        <v>654</v>
      </c>
      <c r="B22" s="74">
        <v>338</v>
      </c>
      <c r="C22" s="146">
        <v>5.7764980544747248E-3</v>
      </c>
      <c r="D22" s="146">
        <v>0.11390914392035238</v>
      </c>
      <c r="E22" s="146">
        <v>0.15747684459567851</v>
      </c>
      <c r="F22" s="146">
        <v>0.15096534785349103</v>
      </c>
      <c r="G22" s="147">
        <v>1.2534021480264688</v>
      </c>
      <c r="H22" s="147">
        <v>1.2665979213694365</v>
      </c>
      <c r="I22" s="146">
        <v>0.11998892675978089</v>
      </c>
      <c r="J22" s="146">
        <v>0.32935741174104016</v>
      </c>
      <c r="K22" s="146">
        <v>6.4354999999999996E-2</v>
      </c>
      <c r="L22" s="146">
        <v>7.0298242348147744E-2</v>
      </c>
      <c r="M22" s="146">
        <v>0.11493247170822773</v>
      </c>
      <c r="N22" s="147">
        <v>1.6364958004251184</v>
      </c>
      <c r="O22" s="147">
        <v>3.0481583211129673</v>
      </c>
      <c r="P22" s="147">
        <v>18.661505715430856</v>
      </c>
      <c r="Q22" s="147">
        <v>26.442662992327314</v>
      </c>
      <c r="R22" s="147">
        <v>6.7989481055691341</v>
      </c>
      <c r="S22" s="147">
        <v>54.682422056511946</v>
      </c>
      <c r="T22" s="146">
        <v>2.0955925405337854E-2</v>
      </c>
      <c r="U22" s="146">
        <v>5.6849932065830701E-2</v>
      </c>
      <c r="V22" s="146">
        <v>3.4593624971602135E-2</v>
      </c>
      <c r="W22" s="146">
        <v>0.38943365679267344</v>
      </c>
      <c r="X22" s="146">
        <v>0.28447577234191745</v>
      </c>
      <c r="Y22" s="146">
        <v>0.24867757226688195</v>
      </c>
      <c r="Z22" s="146">
        <v>0.24867757226688192</v>
      </c>
      <c r="AA22" s="148">
        <v>0.11013239847595385</v>
      </c>
    </row>
    <row r="23" spans="1:27" s="136" customFormat="1" ht="13.2">
      <c r="A23" s="145" t="s">
        <v>655</v>
      </c>
      <c r="B23" s="74">
        <v>793</v>
      </c>
      <c r="C23" s="146">
        <v>9.5756915422885502E-2</v>
      </c>
      <c r="D23" s="146">
        <v>8.8542380012681221E-2</v>
      </c>
      <c r="E23" s="146">
        <v>9.3351255387956383E-2</v>
      </c>
      <c r="F23" s="146">
        <v>0.22613207716323391</v>
      </c>
      <c r="G23" s="147">
        <v>0.87652332175565661</v>
      </c>
      <c r="H23" s="147">
        <v>1.0171432230729893</v>
      </c>
      <c r="I23" s="146">
        <v>0.10399888059897862</v>
      </c>
      <c r="J23" s="146">
        <v>0.28480262979757037</v>
      </c>
      <c r="K23" s="146">
        <v>6.4354999999999996E-2</v>
      </c>
      <c r="L23" s="146">
        <v>0.28272755951113976</v>
      </c>
      <c r="M23" s="146">
        <v>8.8183506181898033E-2</v>
      </c>
      <c r="N23" s="147">
        <v>1.2315279663731877</v>
      </c>
      <c r="O23" s="147">
        <v>1.356071618713427</v>
      </c>
      <c r="P23" s="147">
        <v>9.9618965523122558</v>
      </c>
      <c r="Q23" s="147">
        <v>14.794651131796325</v>
      </c>
      <c r="R23" s="147">
        <v>1.6048717436646578</v>
      </c>
      <c r="S23" s="147">
        <v>70.31254894973388</v>
      </c>
      <c r="T23" s="146">
        <v>0.16378923364761214</v>
      </c>
      <c r="U23" s="146">
        <v>5.2092175075610876E-2</v>
      </c>
      <c r="V23" s="146">
        <v>2.785872969085414E-2</v>
      </c>
      <c r="W23" s="146">
        <v>0.77565098039541513</v>
      </c>
      <c r="X23" s="146">
        <v>0.1014701174588533</v>
      </c>
      <c r="Y23" s="146">
        <v>0.40104287686976903</v>
      </c>
      <c r="Z23" s="146">
        <v>0.40104287686976903</v>
      </c>
      <c r="AA23" s="148">
        <v>8.957676764777435E-2</v>
      </c>
    </row>
    <row r="24" spans="1:27" s="136" customFormat="1" ht="13.2">
      <c r="A24" s="145" t="s">
        <v>656</v>
      </c>
      <c r="B24" s="74">
        <v>326</v>
      </c>
      <c r="C24" s="146">
        <v>8.0914939759036131E-2</v>
      </c>
      <c r="D24" s="146">
        <v>0.15638955743055627</v>
      </c>
      <c r="E24" s="146">
        <v>0.11943531860178906</v>
      </c>
      <c r="F24" s="146">
        <v>0.17383650907577258</v>
      </c>
      <c r="G24" s="147">
        <v>0.74470552214311891</v>
      </c>
      <c r="H24" s="147">
        <v>0.95356749790141215</v>
      </c>
      <c r="I24" s="146">
        <v>9.9923676615480517E-2</v>
      </c>
      <c r="J24" s="146">
        <v>0.27139035177107113</v>
      </c>
      <c r="K24" s="146">
        <v>6.4354999999999996E-2</v>
      </c>
      <c r="L24" s="146">
        <v>0.34006148234701122</v>
      </c>
      <c r="M24" s="146">
        <v>8.2286944644959642E-2</v>
      </c>
      <c r="N24" s="147">
        <v>0.8544472236675219</v>
      </c>
      <c r="O24" s="147">
        <v>1.8308485319739551</v>
      </c>
      <c r="P24" s="147">
        <v>8.9318342403153679</v>
      </c>
      <c r="Q24" s="147">
        <v>11.141035054865844</v>
      </c>
      <c r="R24" s="147">
        <v>1.2240143580285003</v>
      </c>
      <c r="S24" s="147">
        <v>18.17107919610741</v>
      </c>
      <c r="T24" s="146">
        <v>-9.4527901245703011E-2</v>
      </c>
      <c r="U24" s="146">
        <v>4.8969042848116186E-2</v>
      </c>
      <c r="V24" s="146">
        <v>3.6123723176753733E-2</v>
      </c>
      <c r="W24" s="146">
        <v>0.37089583397223808</v>
      </c>
      <c r="X24" s="146">
        <v>0.13097599742002441</v>
      </c>
      <c r="Y24" s="146">
        <v>0.20065345310626245</v>
      </c>
      <c r="Z24" s="146">
        <v>0.20065345310626248</v>
      </c>
      <c r="AA24" s="148">
        <v>0.16233635937033869</v>
      </c>
    </row>
    <row r="25" spans="1:27" s="136" customFormat="1" ht="13.2">
      <c r="A25" s="145" t="s">
        <v>657</v>
      </c>
      <c r="B25" s="74">
        <v>1259</v>
      </c>
      <c r="C25" s="146">
        <v>0.20205506249999997</v>
      </c>
      <c r="D25" s="146">
        <v>-4.3496541654489632E-3</v>
      </c>
      <c r="E25" s="146">
        <v>6.9302625462042446E-3</v>
      </c>
      <c r="F25" s="146">
        <v>0.16290318362799433</v>
      </c>
      <c r="G25" s="147">
        <v>1.1499580759492718</v>
      </c>
      <c r="H25" s="147">
        <v>1.173586127245847</v>
      </c>
      <c r="I25" s="146">
        <v>0.1140268707564588</v>
      </c>
      <c r="J25" s="146">
        <v>0.53278356840303231</v>
      </c>
      <c r="K25" s="146">
        <v>6.7024E-2</v>
      </c>
      <c r="L25" s="146">
        <v>0.12539388617853772</v>
      </c>
      <c r="M25" s="146">
        <v>0.10600500409450417</v>
      </c>
      <c r="N25" s="147">
        <v>0.42240185316210721</v>
      </c>
      <c r="O25" s="147">
        <v>6.9645349708093045</v>
      </c>
      <c r="P25" s="147">
        <v>15.315541154043325</v>
      </c>
      <c r="Q25" s="147" t="s">
        <v>88</v>
      </c>
      <c r="R25" s="147">
        <v>5.1098850921129335</v>
      </c>
      <c r="S25" s="147">
        <v>127.83565374797985</v>
      </c>
      <c r="T25" s="146">
        <v>0.17156984512745305</v>
      </c>
      <c r="U25" s="146">
        <v>5.6708801142149073E-2</v>
      </c>
      <c r="V25" s="146">
        <v>9.6236010010854439E-2</v>
      </c>
      <c r="W25" s="146" t="s">
        <v>88</v>
      </c>
      <c r="X25" s="146">
        <v>-8.826768540176394E-2</v>
      </c>
      <c r="Y25" s="146">
        <v>4.660050948575847E-3</v>
      </c>
      <c r="Z25" s="146">
        <v>4.6600509485758002E-3</v>
      </c>
      <c r="AA25" s="148">
        <v>1.6293477284612591E-2</v>
      </c>
    </row>
    <row r="26" spans="1:27" s="136" customFormat="1" ht="13.2">
      <c r="A26" s="145" t="s">
        <v>658</v>
      </c>
      <c r="B26" s="74">
        <v>1299</v>
      </c>
      <c r="C26" s="146">
        <v>0.1801146291560104</v>
      </c>
      <c r="D26" s="146">
        <v>0.18171077589188153</v>
      </c>
      <c r="E26" s="146">
        <v>0.12868088125172028</v>
      </c>
      <c r="F26" s="146">
        <v>0.16609341613188638</v>
      </c>
      <c r="G26" s="147">
        <v>0.88577513704468502</v>
      </c>
      <c r="H26" s="147">
        <v>0.94631769643881436</v>
      </c>
      <c r="I26" s="146">
        <v>9.9458964341728004E-2</v>
      </c>
      <c r="J26" s="146">
        <v>0.41512557065255234</v>
      </c>
      <c r="K26" s="146">
        <v>6.4354999999999996E-2</v>
      </c>
      <c r="L26" s="146">
        <v>0.13356717205915378</v>
      </c>
      <c r="M26" s="146">
        <v>9.2593791967926137E-2</v>
      </c>
      <c r="N26" s="147">
        <v>0.71335755782872068</v>
      </c>
      <c r="O26" s="147">
        <v>4.0501862957271149</v>
      </c>
      <c r="P26" s="147">
        <v>14.60113338333945</v>
      </c>
      <c r="Q26" s="147">
        <v>21.710340042553312</v>
      </c>
      <c r="R26" s="147">
        <v>3.8805328784136379</v>
      </c>
      <c r="S26" s="147">
        <v>41.50646703224001</v>
      </c>
      <c r="T26" s="146">
        <v>0.15494978149385633</v>
      </c>
      <c r="U26" s="146">
        <v>5.0126176906218664E-2</v>
      </c>
      <c r="V26" s="146">
        <v>5.7092303524868271E-2</v>
      </c>
      <c r="W26" s="146">
        <v>0.44219808615144007</v>
      </c>
      <c r="X26" s="146">
        <v>0.13204955368081206</v>
      </c>
      <c r="Y26" s="146">
        <v>0.63542627245784722</v>
      </c>
      <c r="Z26" s="146">
        <v>0.63542627245784722</v>
      </c>
      <c r="AA26" s="148">
        <v>0.19790654724473067</v>
      </c>
    </row>
    <row r="27" spans="1:27" s="136" customFormat="1" ht="13.2">
      <c r="A27" s="145" t="s">
        <v>659</v>
      </c>
      <c r="B27" s="74">
        <v>260</v>
      </c>
      <c r="C27" s="146">
        <v>0.1049271523178808</v>
      </c>
      <c r="D27" s="146">
        <v>0.11068501831140407</v>
      </c>
      <c r="E27" s="146">
        <v>9.2684764092091018E-2</v>
      </c>
      <c r="F27" s="146">
        <v>0.20115514479499427</v>
      </c>
      <c r="G27" s="147">
        <v>0.76004819384725297</v>
      </c>
      <c r="H27" s="147">
        <v>0.83104389516931298</v>
      </c>
      <c r="I27" s="146">
        <v>9.2069913680352972E-2</v>
      </c>
      <c r="J27" s="146">
        <v>0.34525639080967963</v>
      </c>
      <c r="K27" s="146">
        <v>6.4354999999999996E-2</v>
      </c>
      <c r="L27" s="146">
        <v>0.2238175015251615</v>
      </c>
      <c r="M27" s="146">
        <v>8.2219795036773818E-2</v>
      </c>
      <c r="N27" s="147">
        <v>0.97000135269600141</v>
      </c>
      <c r="O27" s="147">
        <v>2.2863341200289162</v>
      </c>
      <c r="P27" s="147">
        <v>10.92084133436804</v>
      </c>
      <c r="Q27" s="147">
        <v>18.170084325962243</v>
      </c>
      <c r="R27" s="147">
        <v>1.9459812751217269</v>
      </c>
      <c r="S27" s="147">
        <v>125.42376482692571</v>
      </c>
      <c r="T27" s="146">
        <v>3.4761840543722597E-2</v>
      </c>
      <c r="U27" s="146">
        <v>5.7202129044108055E-2</v>
      </c>
      <c r="V27" s="146">
        <v>3.0121776656189952E-2</v>
      </c>
      <c r="W27" s="146">
        <v>0.57594986577843887</v>
      </c>
      <c r="X27" s="146">
        <v>5.1181871388765295E-2</v>
      </c>
      <c r="Y27" s="146">
        <v>0.57708041641627217</v>
      </c>
      <c r="Z27" s="146">
        <v>0.57708041641627217</v>
      </c>
      <c r="AA27" s="148">
        <v>0.1089354913518312</v>
      </c>
    </row>
    <row r="28" spans="1:27" s="136" customFormat="1" ht="13.2">
      <c r="A28" s="145" t="s">
        <v>660</v>
      </c>
      <c r="B28" s="74">
        <v>1072</v>
      </c>
      <c r="C28" s="146">
        <v>0.10648472622478389</v>
      </c>
      <c r="D28" s="146">
        <v>7.1256670372997724E-2</v>
      </c>
      <c r="E28" s="146">
        <v>0.10900312865728104</v>
      </c>
      <c r="F28" s="146">
        <v>0.1877640569768875</v>
      </c>
      <c r="G28" s="147">
        <v>1.1038380140290207</v>
      </c>
      <c r="H28" s="147">
        <v>1.1304437779998266</v>
      </c>
      <c r="I28" s="146">
        <v>0.11126144616978889</v>
      </c>
      <c r="J28" s="146">
        <v>0.35113385118094459</v>
      </c>
      <c r="K28" s="146">
        <v>6.4354999999999996E-2</v>
      </c>
      <c r="L28" s="146">
        <v>0.14982261726599763</v>
      </c>
      <c r="M28" s="146">
        <v>0.10179248713393688</v>
      </c>
      <c r="N28" s="147">
        <v>1.665499126878828</v>
      </c>
      <c r="O28" s="147">
        <v>1.9374739155908269</v>
      </c>
      <c r="P28" s="147">
        <v>15.546386961505645</v>
      </c>
      <c r="Q28" s="147">
        <v>24.88578876473839</v>
      </c>
      <c r="R28" s="147">
        <v>2.8201040669778954</v>
      </c>
      <c r="S28" s="147">
        <v>97.348730318681888</v>
      </c>
      <c r="T28" s="146">
        <v>0.21724570207617197</v>
      </c>
      <c r="U28" s="146">
        <v>6.8861988795424212E-2</v>
      </c>
      <c r="V28" s="146">
        <v>6.0263839932513816E-2</v>
      </c>
      <c r="W28" s="146">
        <v>1.6223760120244111</v>
      </c>
      <c r="X28" s="146">
        <v>0.10855337528235157</v>
      </c>
      <c r="Y28" s="146">
        <v>0.39383156604280189</v>
      </c>
      <c r="Z28" s="146">
        <v>0.39383156604280189</v>
      </c>
      <c r="AA28" s="148">
        <v>7.3928527069327316E-2</v>
      </c>
    </row>
    <row r="29" spans="1:27" s="136" customFormat="1" ht="13.2">
      <c r="A29" s="145" t="s">
        <v>661</v>
      </c>
      <c r="B29" s="74">
        <v>127</v>
      </c>
      <c r="C29" s="146">
        <v>3.0448865979381453E-2</v>
      </c>
      <c r="D29" s="146">
        <v>4.6753507335938027E-2</v>
      </c>
      <c r="E29" s="146">
        <v>6.2281608986361356E-2</v>
      </c>
      <c r="F29" s="146">
        <v>0.14511188845949377</v>
      </c>
      <c r="G29" s="147">
        <v>1.1252477543580413</v>
      </c>
      <c r="H29" s="147">
        <v>1.2272209019035967</v>
      </c>
      <c r="I29" s="146">
        <v>0.11746485981202055</v>
      </c>
      <c r="J29" s="146">
        <v>0.33860993934953365</v>
      </c>
      <c r="K29" s="146">
        <v>6.4354999999999996E-2</v>
      </c>
      <c r="L29" s="146">
        <v>0.23240429857556588</v>
      </c>
      <c r="M29" s="146">
        <v>0.10133494502462219</v>
      </c>
      <c r="N29" s="147">
        <v>1.4795010697699906</v>
      </c>
      <c r="O29" s="147">
        <v>0.93723070954136578</v>
      </c>
      <c r="P29" s="147">
        <v>11.435556560776208</v>
      </c>
      <c r="Q29" s="147">
        <v>19.485953759181257</v>
      </c>
      <c r="R29" s="147">
        <v>1.7221991828297822</v>
      </c>
      <c r="S29" s="147">
        <v>40.79347758155906</v>
      </c>
      <c r="T29" s="146">
        <v>6.6260613553560985E-2</v>
      </c>
      <c r="U29" s="146">
        <v>4.1996586219820477E-2</v>
      </c>
      <c r="V29" s="146">
        <v>2.6957624809844094E-2</v>
      </c>
      <c r="W29" s="146">
        <v>0.87121609949845313</v>
      </c>
      <c r="X29" s="146">
        <v>7.3103505235123017E-2</v>
      </c>
      <c r="Y29" s="146">
        <v>0.322409892738655</v>
      </c>
      <c r="Z29" s="146">
        <v>0.32240989273865495</v>
      </c>
      <c r="AA29" s="148">
        <v>4.7475838673722494E-2</v>
      </c>
    </row>
    <row r="30" spans="1:27" s="136" customFormat="1" ht="13.2">
      <c r="A30" s="145" t="s">
        <v>609</v>
      </c>
      <c r="B30" s="74">
        <v>1486</v>
      </c>
      <c r="C30" s="146">
        <v>5.83861029411765E-2</v>
      </c>
      <c r="D30" s="146">
        <v>5.2816362664381264E-2</v>
      </c>
      <c r="E30" s="146">
        <v>6.4420130081040847E-2</v>
      </c>
      <c r="F30" s="146">
        <v>0.18363373037764957</v>
      </c>
      <c r="G30" s="147">
        <v>1.2783308812571208</v>
      </c>
      <c r="H30" s="147">
        <v>1.2819639249630843</v>
      </c>
      <c r="I30" s="146">
        <v>0.12097388759013371</v>
      </c>
      <c r="J30" s="146">
        <v>0.32533098524566439</v>
      </c>
      <c r="K30" s="146">
        <v>6.4354999999999996E-2</v>
      </c>
      <c r="L30" s="146">
        <v>0.15707809396113109</v>
      </c>
      <c r="M30" s="146">
        <v>0.10952076242670084</v>
      </c>
      <c r="N30" s="147">
        <v>1.3596420054060334</v>
      </c>
      <c r="O30" s="147">
        <v>1.5902472235868699</v>
      </c>
      <c r="P30" s="147">
        <v>14.162266281966438</v>
      </c>
      <c r="Q30" s="147">
        <v>28.293547866055906</v>
      </c>
      <c r="R30" s="147">
        <v>2.2713680154060296</v>
      </c>
      <c r="S30" s="147">
        <v>102.00098657127531</v>
      </c>
      <c r="T30" s="146">
        <v>0.18920480550752594</v>
      </c>
      <c r="U30" s="146">
        <v>6.311217680124008E-2</v>
      </c>
      <c r="V30" s="146">
        <v>3.5719374448328137E-2</v>
      </c>
      <c r="W30" s="146">
        <v>0.96580469979159589</v>
      </c>
      <c r="X30" s="146">
        <v>6.6824042377909676E-2</v>
      </c>
      <c r="Y30" s="146">
        <v>0.61911601972231711</v>
      </c>
      <c r="Z30" s="146">
        <v>0.61911601972231711</v>
      </c>
      <c r="AA30" s="148">
        <v>5.3403823327133511E-2</v>
      </c>
    </row>
    <row r="31" spans="1:27" s="136" customFormat="1" ht="13.2">
      <c r="A31" s="145" t="s">
        <v>662</v>
      </c>
      <c r="B31" s="74">
        <v>1283</v>
      </c>
      <c r="C31" s="146">
        <v>5.4148981900452371E-2</v>
      </c>
      <c r="D31" s="146">
        <v>4.7326347557070499E-2</v>
      </c>
      <c r="E31" s="146">
        <v>7.8903486940801348E-2</v>
      </c>
      <c r="F31" s="146">
        <v>0.22601656498353057</v>
      </c>
      <c r="G31" s="147">
        <v>0.70585051431489143</v>
      </c>
      <c r="H31" s="147">
        <v>0.96845924162344266</v>
      </c>
      <c r="I31" s="146">
        <v>0.10087823738806267</v>
      </c>
      <c r="J31" s="146">
        <v>0.30575734356419387</v>
      </c>
      <c r="K31" s="146">
        <v>6.4354999999999996E-2</v>
      </c>
      <c r="L31" s="146">
        <v>0.4834532657436405</v>
      </c>
      <c r="M31" s="146">
        <v>7.5343239836306364E-2</v>
      </c>
      <c r="N31" s="147">
        <v>1.9571336701425941</v>
      </c>
      <c r="O31" s="147">
        <v>0.6319690641888086</v>
      </c>
      <c r="P31" s="147">
        <v>9.1285830618807413</v>
      </c>
      <c r="Q31" s="147">
        <v>12.771361202731047</v>
      </c>
      <c r="R31" s="147">
        <v>1.0286615211721977</v>
      </c>
      <c r="S31" s="147">
        <v>39.881581174387051</v>
      </c>
      <c r="T31" s="146">
        <v>0.15166813159500808</v>
      </c>
      <c r="U31" s="146">
        <v>3.2107914936214538E-2</v>
      </c>
      <c r="V31" s="146">
        <v>2.3003554359122564E-2</v>
      </c>
      <c r="W31" s="146">
        <v>1.2629972936342393</v>
      </c>
      <c r="X31" s="146">
        <v>9.1118185820206934E-2</v>
      </c>
      <c r="Y31" s="146">
        <v>0.66312843438387503</v>
      </c>
      <c r="Z31" s="146">
        <v>0.66312843438387503</v>
      </c>
      <c r="AA31" s="148">
        <v>4.786317293842815E-2</v>
      </c>
    </row>
    <row r="32" spans="1:27" s="136" customFormat="1" ht="13.2">
      <c r="A32" s="145" t="s">
        <v>481</v>
      </c>
      <c r="B32" s="74">
        <v>741</v>
      </c>
      <c r="C32" s="146">
        <v>9.607665178571427E-2</v>
      </c>
      <c r="D32" s="146">
        <v>7.301455929955164E-2</v>
      </c>
      <c r="E32" s="146">
        <v>7.4713947054463978E-2</v>
      </c>
      <c r="F32" s="146">
        <v>0.22104866126785255</v>
      </c>
      <c r="G32" s="147">
        <v>1.0326456976819209</v>
      </c>
      <c r="H32" s="147">
        <v>1.1080717666251709</v>
      </c>
      <c r="I32" s="146">
        <v>0.10982740024067346</v>
      </c>
      <c r="J32" s="146">
        <v>0.41350767359783575</v>
      </c>
      <c r="K32" s="146">
        <v>6.4354999999999996E-2</v>
      </c>
      <c r="L32" s="146">
        <v>0.18212968708614155</v>
      </c>
      <c r="M32" s="146">
        <v>9.8577780151436881E-2</v>
      </c>
      <c r="N32" s="147">
        <v>1.0903964728990401</v>
      </c>
      <c r="O32" s="147">
        <v>2.9125408254770817</v>
      </c>
      <c r="P32" s="147">
        <v>15.776376409406531</v>
      </c>
      <c r="Q32" s="147">
        <v>36.435754194976965</v>
      </c>
      <c r="R32" s="147">
        <v>2.4782437577445759</v>
      </c>
      <c r="S32" s="147">
        <v>156.16716168811138</v>
      </c>
      <c r="T32" s="146">
        <v>3.998354131040744E-2</v>
      </c>
      <c r="U32" s="146">
        <v>3.7191470751384598E-2</v>
      </c>
      <c r="V32" s="146">
        <v>-2.5549451493464218E-2</v>
      </c>
      <c r="W32" s="146">
        <v>-0.34121714598614661</v>
      </c>
      <c r="X32" s="146">
        <v>2.2666950555256658E-2</v>
      </c>
      <c r="Y32" s="146">
        <v>0.89236563217856835</v>
      </c>
      <c r="Z32" s="146">
        <v>0.89236563217856835</v>
      </c>
      <c r="AA32" s="148">
        <v>7.4795523395495847E-2</v>
      </c>
    </row>
    <row r="33" spans="1:27" s="136" customFormat="1" ht="13.2">
      <c r="A33" s="145" t="s">
        <v>663</v>
      </c>
      <c r="B33" s="74">
        <v>383</v>
      </c>
      <c r="C33" s="146">
        <v>8.2141268292682937E-2</v>
      </c>
      <c r="D33" s="146">
        <v>0.1059427762504348</v>
      </c>
      <c r="E33" s="146">
        <v>0.10776035869992424</v>
      </c>
      <c r="F33" s="146">
        <v>0.22828572809639683</v>
      </c>
      <c r="G33" s="147">
        <v>0.82790885643594536</v>
      </c>
      <c r="H33" s="147">
        <v>1.0018793316240373</v>
      </c>
      <c r="I33" s="146">
        <v>0.1030204651571008</v>
      </c>
      <c r="J33" s="146">
        <v>0.33888162240655162</v>
      </c>
      <c r="K33" s="146">
        <v>6.4354999999999996E-2</v>
      </c>
      <c r="L33" s="146">
        <v>0.25930429579804809</v>
      </c>
      <c r="M33" s="146">
        <v>8.8769061864354501E-2</v>
      </c>
      <c r="N33" s="147">
        <v>1.1590208058340059</v>
      </c>
      <c r="O33" s="147">
        <v>2.7759010980617136</v>
      </c>
      <c r="P33" s="147">
        <v>14.044705041117068</v>
      </c>
      <c r="Q33" s="147">
        <v>24.861013118730188</v>
      </c>
      <c r="R33" s="147">
        <v>3.0192593691541787</v>
      </c>
      <c r="S33" s="147">
        <v>39.262852946191018</v>
      </c>
      <c r="T33" s="146">
        <v>0.14714493884822613</v>
      </c>
      <c r="U33" s="146">
        <v>8.6490349945850795E-2</v>
      </c>
      <c r="V33" s="146">
        <v>7.4507316645837568E-2</v>
      </c>
      <c r="W33" s="146">
        <v>1.3468736213993477</v>
      </c>
      <c r="X33" s="146">
        <v>8.0683416835074878E-2</v>
      </c>
      <c r="Y33" s="146">
        <v>0.63167403228275554</v>
      </c>
      <c r="Z33" s="146">
        <v>0.63167403228275554</v>
      </c>
      <c r="AA33" s="148">
        <v>0.10712905533260315</v>
      </c>
    </row>
    <row r="34" spans="1:27" s="136" customFormat="1" ht="13.2">
      <c r="A34" s="145" t="s">
        <v>664</v>
      </c>
      <c r="B34" s="74">
        <v>430</v>
      </c>
      <c r="C34" s="146">
        <v>0.11069166112956813</v>
      </c>
      <c r="D34" s="146">
        <v>8.155918853538352E-2</v>
      </c>
      <c r="E34" s="146">
        <v>0.10564638698267616</v>
      </c>
      <c r="F34" s="146">
        <v>0.21465598191652302</v>
      </c>
      <c r="G34" s="147">
        <v>0.57398339009652122</v>
      </c>
      <c r="H34" s="147">
        <v>0.77392078568097211</v>
      </c>
      <c r="I34" s="146">
        <v>8.8408322362150321E-2</v>
      </c>
      <c r="J34" s="146">
        <v>0.34054792350706281</v>
      </c>
      <c r="K34" s="146">
        <v>6.4354999999999996E-2</v>
      </c>
      <c r="L34" s="146">
        <v>0.36687002403495417</v>
      </c>
      <c r="M34" s="146">
        <v>7.3605847564565702E-2</v>
      </c>
      <c r="N34" s="147">
        <v>1.4546832049254665</v>
      </c>
      <c r="O34" s="147">
        <v>1.083445156327121</v>
      </c>
      <c r="P34" s="147">
        <v>9.7489631349602064</v>
      </c>
      <c r="Q34" s="147">
        <v>12.674165730446662</v>
      </c>
      <c r="R34" s="147">
        <v>1.8261410113292809</v>
      </c>
      <c r="S34" s="147">
        <v>26.811988355670827</v>
      </c>
      <c r="T34" s="146">
        <v>0.16202092453582581</v>
      </c>
      <c r="U34" s="146">
        <v>4.1915409513242907E-2</v>
      </c>
      <c r="V34" s="146">
        <v>2.7119979747894672E-2</v>
      </c>
      <c r="W34" s="146">
        <v>0.59827152032280362</v>
      </c>
      <c r="X34" s="146">
        <v>0.14471013504560334</v>
      </c>
      <c r="Y34" s="146">
        <v>0.33023374015623402</v>
      </c>
      <c r="Z34" s="146">
        <v>0.33023374015623408</v>
      </c>
      <c r="AA34" s="148">
        <v>8.378458499710377E-2</v>
      </c>
    </row>
    <row r="35" spans="1:27" s="136" customFormat="1" ht="13.2">
      <c r="A35" s="145" t="s">
        <v>665</v>
      </c>
      <c r="B35" s="74">
        <v>1113</v>
      </c>
      <c r="C35" s="146">
        <v>0.13966122830440608</v>
      </c>
      <c r="D35" s="146">
        <v>0.12396400036662453</v>
      </c>
      <c r="E35" s="146">
        <v>8.7618971433014274E-3</v>
      </c>
      <c r="F35" s="146">
        <v>0.17370598155327069</v>
      </c>
      <c r="G35" s="147">
        <v>0.27766670615431621</v>
      </c>
      <c r="H35" s="147">
        <v>0.92639479611572007</v>
      </c>
      <c r="I35" s="146">
        <v>9.8181906431017651E-2</v>
      </c>
      <c r="J35" s="146">
        <v>0.3520861107982175</v>
      </c>
      <c r="K35" s="146">
        <v>6.4354999999999996E-2</v>
      </c>
      <c r="L35" s="146">
        <v>0.77526315776516652</v>
      </c>
      <c r="M35" s="146">
        <v>5.9324482410728234E-2</v>
      </c>
      <c r="N35" s="147">
        <v>8.1767860695585379E-2</v>
      </c>
      <c r="O35" s="147">
        <v>15.087157197700607</v>
      </c>
      <c r="P35" s="147">
        <v>51.978839270625663</v>
      </c>
      <c r="Q35" s="147">
        <v>71.076196072668978</v>
      </c>
      <c r="R35" s="147">
        <v>2.2543147403608255</v>
      </c>
      <c r="S35" s="147">
        <v>50.717970657858544</v>
      </c>
      <c r="T35" s="146" t="s">
        <v>88</v>
      </c>
      <c r="U35" s="146">
        <v>3.8707869587599628E-2</v>
      </c>
      <c r="V35" s="146">
        <v>-8.0052639171500239E-2</v>
      </c>
      <c r="W35" s="146">
        <v>-0.77395439540613709</v>
      </c>
      <c r="X35" s="146">
        <v>0.18599670816271613</v>
      </c>
      <c r="Y35" s="146">
        <v>0.23955106144200211</v>
      </c>
      <c r="Z35" s="146">
        <v>0.23955106144200211</v>
      </c>
      <c r="AA35" s="148">
        <v>0.12518863431233251</v>
      </c>
    </row>
    <row r="36" spans="1:27" s="136" customFormat="1" ht="13.2">
      <c r="A36" s="145" t="s">
        <v>666</v>
      </c>
      <c r="B36" s="74">
        <v>1395</v>
      </c>
      <c r="C36" s="146">
        <v>9.150664953751296E-2</v>
      </c>
      <c r="D36" s="146">
        <v>7.6018219230139447E-2</v>
      </c>
      <c r="E36" s="146">
        <v>0.11622768831214836</v>
      </c>
      <c r="F36" s="146">
        <v>0.23203358657357873</v>
      </c>
      <c r="G36" s="147">
        <v>0.60394133542186046</v>
      </c>
      <c r="H36" s="147">
        <v>0.70510518689032142</v>
      </c>
      <c r="I36" s="146">
        <v>8.3997242479669609E-2</v>
      </c>
      <c r="J36" s="146">
        <v>0.28628816821287301</v>
      </c>
      <c r="K36" s="146">
        <v>6.4354999999999996E-2</v>
      </c>
      <c r="L36" s="146">
        <v>0.24367084990706836</v>
      </c>
      <c r="M36" s="146">
        <v>7.5240460573978984E-2</v>
      </c>
      <c r="N36" s="147">
        <v>1.8018530156761792</v>
      </c>
      <c r="O36" s="147">
        <v>1.4097637305734059</v>
      </c>
      <c r="P36" s="147">
        <v>12.638629712056016</v>
      </c>
      <c r="Q36" s="147">
        <v>18.182590730645643</v>
      </c>
      <c r="R36" s="147">
        <v>2.3207121070069805</v>
      </c>
      <c r="S36" s="147">
        <v>49.424628991223997</v>
      </c>
      <c r="T36" s="146">
        <v>0.10209470422865594</v>
      </c>
      <c r="U36" s="146">
        <v>4.4032327026134896E-2</v>
      </c>
      <c r="V36" s="146">
        <v>2.2819064923232654E-2</v>
      </c>
      <c r="W36" s="146">
        <v>0.59209442076174001</v>
      </c>
      <c r="X36" s="146">
        <v>0.10404779362976543</v>
      </c>
      <c r="Y36" s="146">
        <v>0.63643386421540349</v>
      </c>
      <c r="Z36" s="146">
        <v>0.63643386421540349</v>
      </c>
      <c r="AA36" s="148">
        <v>7.6432179760160784E-2</v>
      </c>
    </row>
    <row r="37" spans="1:27" s="136" customFormat="1" ht="13.2">
      <c r="A37" s="145" t="s">
        <v>667</v>
      </c>
      <c r="B37" s="74">
        <v>173</v>
      </c>
      <c r="C37" s="146">
        <v>7.7620737704918036E-2</v>
      </c>
      <c r="D37" s="146">
        <v>2.4705012768152901E-2</v>
      </c>
      <c r="E37" s="146">
        <v>0.10682869077036927</v>
      </c>
      <c r="F37" s="146">
        <v>0.24528806061661854</v>
      </c>
      <c r="G37" s="147">
        <v>0.49621392699558364</v>
      </c>
      <c r="H37" s="147">
        <v>0.66918428111740702</v>
      </c>
      <c r="I37" s="146">
        <v>8.1694712419625795E-2</v>
      </c>
      <c r="J37" s="146">
        <v>0.30822330506089052</v>
      </c>
      <c r="K37" s="146">
        <v>6.4354999999999996E-2</v>
      </c>
      <c r="L37" s="146">
        <v>0.3657986184010768</v>
      </c>
      <c r="M37" s="146">
        <v>6.9391295946975323E-2</v>
      </c>
      <c r="N37" s="147">
        <v>5.2660011730306531</v>
      </c>
      <c r="O37" s="147">
        <v>0.37040946105270617</v>
      </c>
      <c r="P37" s="147">
        <v>9.705473761566207</v>
      </c>
      <c r="Q37" s="147">
        <v>14.908328811292225</v>
      </c>
      <c r="R37" s="147">
        <v>2.1484244627673386</v>
      </c>
      <c r="S37" s="147">
        <v>49.788416639124684</v>
      </c>
      <c r="T37" s="146">
        <v>5.8735090381477895E-2</v>
      </c>
      <c r="U37" s="146">
        <v>1.4196921545210834E-2</v>
      </c>
      <c r="V37" s="146">
        <v>9.0395737255760979E-3</v>
      </c>
      <c r="W37" s="146">
        <v>0.48474528312897786</v>
      </c>
      <c r="X37" s="146">
        <v>8.9141667937208485E-2</v>
      </c>
      <c r="Y37" s="146">
        <v>0.56945565182432534</v>
      </c>
      <c r="Z37" s="146">
        <v>0.56945565182432534</v>
      </c>
      <c r="AA37" s="148">
        <v>2.4650661855536982E-2</v>
      </c>
    </row>
    <row r="38" spans="1:27" s="136" customFormat="1" ht="13.2">
      <c r="A38" s="145" t="s">
        <v>668</v>
      </c>
      <c r="B38" s="74">
        <v>383</v>
      </c>
      <c r="C38" s="146">
        <v>5.1528208955223906E-2</v>
      </c>
      <c r="D38" s="146">
        <v>7.2368210587611739E-2</v>
      </c>
      <c r="E38" s="146">
        <v>0.13128509792883244</v>
      </c>
      <c r="F38" s="146">
        <v>0.18188020982467473</v>
      </c>
      <c r="G38" s="147">
        <v>0.93432143008864454</v>
      </c>
      <c r="H38" s="147">
        <v>0.94909498548676186</v>
      </c>
      <c r="I38" s="146">
        <v>9.9636988569701435E-2</v>
      </c>
      <c r="J38" s="146">
        <v>0.29724029020693765</v>
      </c>
      <c r="K38" s="146">
        <v>6.4354999999999996E-2</v>
      </c>
      <c r="L38" s="146">
        <v>0.21842611560401573</v>
      </c>
      <c r="M38" s="146">
        <v>8.8371295887669135E-2</v>
      </c>
      <c r="N38" s="147">
        <v>2.088919277463388</v>
      </c>
      <c r="O38" s="147">
        <v>1.0263903171402884</v>
      </c>
      <c r="P38" s="147">
        <v>9.7423343969953553</v>
      </c>
      <c r="Q38" s="147">
        <v>13.621346679027324</v>
      </c>
      <c r="R38" s="147">
        <v>2.0500313773089878</v>
      </c>
      <c r="S38" s="147">
        <v>37.844392452209235</v>
      </c>
      <c r="T38" s="146">
        <v>4.9111422471124697E-2</v>
      </c>
      <c r="U38" s="146">
        <v>3.5884467044278917E-2</v>
      </c>
      <c r="V38" s="146">
        <v>3.0953297052442059E-2</v>
      </c>
      <c r="W38" s="146">
        <v>0.53441064412846373</v>
      </c>
      <c r="X38" s="146">
        <v>0.11207479182881593</v>
      </c>
      <c r="Y38" s="146">
        <v>0.70048041958910567</v>
      </c>
      <c r="Z38" s="146">
        <v>0.70048041958910567</v>
      </c>
      <c r="AA38" s="148">
        <v>7.3326344593334827E-2</v>
      </c>
    </row>
    <row r="39" spans="1:27" s="136" customFormat="1" ht="13.2">
      <c r="A39" s="145" t="s">
        <v>669</v>
      </c>
      <c r="B39" s="74">
        <v>253</v>
      </c>
      <c r="C39" s="146">
        <v>0.13562630434782605</v>
      </c>
      <c r="D39" s="146">
        <v>0.29235498362320711</v>
      </c>
      <c r="E39" s="146">
        <v>7.1734086908301936E-2</v>
      </c>
      <c r="F39" s="146">
        <v>0.15996917387477594</v>
      </c>
      <c r="G39" s="147">
        <v>0.60906204827929356</v>
      </c>
      <c r="H39" s="147">
        <v>0.86538504824737195</v>
      </c>
      <c r="I39" s="146">
        <v>9.4271181592656544E-2</v>
      </c>
      <c r="J39" s="146">
        <v>0.3337365434374277</v>
      </c>
      <c r="K39" s="146">
        <v>6.4354999999999996E-2</v>
      </c>
      <c r="L39" s="146">
        <v>0.39204417303862843</v>
      </c>
      <c r="M39" s="146">
        <v>7.6154480221895957E-2</v>
      </c>
      <c r="N39" s="147">
        <v>0.2748775497385651</v>
      </c>
      <c r="O39" s="147">
        <v>7.4006674058734232</v>
      </c>
      <c r="P39" s="147">
        <v>13.94521369318382</v>
      </c>
      <c r="Q39" s="147">
        <v>22.786692369740852</v>
      </c>
      <c r="R39" s="147">
        <v>2.0118013936278083</v>
      </c>
      <c r="S39" s="147">
        <v>49.912197435728991</v>
      </c>
      <c r="T39" s="146">
        <v>9.7204348765701026E-2</v>
      </c>
      <c r="U39" s="146">
        <v>0.41558883937595648</v>
      </c>
      <c r="V39" s="146">
        <v>0.36675488468864398</v>
      </c>
      <c r="W39" s="146">
        <v>1.5213911510431768</v>
      </c>
      <c r="X39" s="146">
        <v>0.10750114708648674</v>
      </c>
      <c r="Y39" s="146">
        <v>0.66386814302251251</v>
      </c>
      <c r="Z39" s="146">
        <v>0.66386814302251251</v>
      </c>
      <c r="AA39" s="148">
        <v>0.29146341841001971</v>
      </c>
    </row>
    <row r="40" spans="1:27" s="136" customFormat="1" ht="13.2">
      <c r="A40" s="145" t="s">
        <v>670</v>
      </c>
      <c r="B40" s="74">
        <v>849</v>
      </c>
      <c r="C40" s="146">
        <v>0.15227076604554854</v>
      </c>
      <c r="D40" s="146">
        <v>0.12429654755321932</v>
      </c>
      <c r="E40" s="146">
        <v>0.11043987670936666</v>
      </c>
      <c r="F40" s="146">
        <v>0.20586319075844875</v>
      </c>
      <c r="G40" s="147">
        <v>1.0434097110903426</v>
      </c>
      <c r="H40" s="147">
        <v>1.0980822833163133</v>
      </c>
      <c r="I40" s="146">
        <v>0.10918707436057569</v>
      </c>
      <c r="J40" s="146">
        <v>0.42342967151692185</v>
      </c>
      <c r="K40" s="146">
        <v>6.4354999999999996E-2</v>
      </c>
      <c r="L40" s="146">
        <v>0.11702454945172519</v>
      </c>
      <c r="M40" s="146">
        <v>0.10203374276993574</v>
      </c>
      <c r="N40" s="147">
        <v>0.93443822467200599</v>
      </c>
      <c r="O40" s="147">
        <v>4.4129152045299982</v>
      </c>
      <c r="P40" s="147">
        <v>20.066047522071443</v>
      </c>
      <c r="Q40" s="147">
        <v>33.885138474146686</v>
      </c>
      <c r="R40" s="147">
        <v>3.577065328687604</v>
      </c>
      <c r="S40" s="147">
        <v>94.725775076678076</v>
      </c>
      <c r="T40" s="146">
        <v>0.2568771678494069</v>
      </c>
      <c r="U40" s="146">
        <v>5.4258400035237422E-2</v>
      </c>
      <c r="V40" s="146">
        <v>3.4683575243890409E-2</v>
      </c>
      <c r="W40" s="146">
        <v>0.67329218346159925</v>
      </c>
      <c r="X40" s="146">
        <v>7.5782160420110739E-2</v>
      </c>
      <c r="Y40" s="146">
        <v>0.50703233350245869</v>
      </c>
      <c r="Z40" s="146">
        <v>0.50703233350245869</v>
      </c>
      <c r="AA40" s="148">
        <v>0.12860324255827582</v>
      </c>
    </row>
    <row r="41" spans="1:27" s="136" customFormat="1" ht="13.2">
      <c r="A41" s="145" t="s">
        <v>671</v>
      </c>
      <c r="B41" s="74">
        <v>463</v>
      </c>
      <c r="C41" s="146">
        <v>0.12621486891385769</v>
      </c>
      <c r="D41" s="146">
        <v>3.949890391586041E-2</v>
      </c>
      <c r="E41" s="146">
        <v>0.28931239582267737</v>
      </c>
      <c r="F41" s="146">
        <v>0.23065813714388514</v>
      </c>
      <c r="G41" s="147">
        <v>0.82121098792821845</v>
      </c>
      <c r="H41" s="147">
        <v>0.9102046390281967</v>
      </c>
      <c r="I41" s="146">
        <v>9.7144117361707416E-2</v>
      </c>
      <c r="J41" s="146">
        <v>0.3780579367531488</v>
      </c>
      <c r="K41" s="146">
        <v>6.4354999999999996E-2</v>
      </c>
      <c r="L41" s="146">
        <v>0.23001142999201971</v>
      </c>
      <c r="M41" s="146">
        <v>8.5854281561033988E-2</v>
      </c>
      <c r="N41" s="147">
        <v>8.6589822233698222</v>
      </c>
      <c r="O41" s="147">
        <v>0.60840308550508482</v>
      </c>
      <c r="P41" s="147">
        <v>11.05672759844143</v>
      </c>
      <c r="Q41" s="147">
        <v>15.221991037238858</v>
      </c>
      <c r="R41" s="147">
        <v>2.6222805850361985</v>
      </c>
      <c r="S41" s="147">
        <v>57.50089542846316</v>
      </c>
      <c r="T41" s="146">
        <v>-2.729586537091901E-2</v>
      </c>
      <c r="U41" s="146">
        <v>8.7350112156806253E-3</v>
      </c>
      <c r="V41" s="146">
        <v>1.6595145817757888E-2</v>
      </c>
      <c r="W41" s="146">
        <v>0.57451390541094449</v>
      </c>
      <c r="X41" s="146">
        <v>0.12150320012763628</v>
      </c>
      <c r="Y41" s="146">
        <v>0.36882228936540518</v>
      </c>
      <c r="Z41" s="146">
        <v>0.36882228936540518</v>
      </c>
      <c r="AA41" s="148">
        <v>3.9065887894485091E-2</v>
      </c>
    </row>
    <row r="42" spans="1:27" s="136" customFormat="1" ht="13.2">
      <c r="A42" s="145" t="s">
        <v>672</v>
      </c>
      <c r="B42" s="74">
        <v>443</v>
      </c>
      <c r="C42" s="146">
        <v>0.16608049792531115</v>
      </c>
      <c r="D42" s="146">
        <v>0.13603420361779639</v>
      </c>
      <c r="E42" s="146">
        <v>0.12755597641996133</v>
      </c>
      <c r="F42" s="146">
        <v>0.1406302678057966</v>
      </c>
      <c r="G42" s="147">
        <v>1.1706770255280201</v>
      </c>
      <c r="H42" s="147">
        <v>1.2336178357798575</v>
      </c>
      <c r="I42" s="146">
        <v>0.11787490327348887</v>
      </c>
      <c r="J42" s="146">
        <v>0.44932940143243832</v>
      </c>
      <c r="K42" s="146">
        <v>6.4354999999999996E-2</v>
      </c>
      <c r="L42" s="146">
        <v>0.12088709657117488</v>
      </c>
      <c r="M42" s="146">
        <v>0.10943522027790771</v>
      </c>
      <c r="N42" s="147">
        <v>0.98068088541117615</v>
      </c>
      <c r="O42" s="147">
        <v>5.2454773109882957</v>
      </c>
      <c r="P42" s="147">
        <v>21.657557844698776</v>
      </c>
      <c r="Q42" s="147">
        <v>36.68273692947799</v>
      </c>
      <c r="R42" s="147">
        <v>3.937298830626732</v>
      </c>
      <c r="S42" s="147">
        <v>128.07264346669305</v>
      </c>
      <c r="T42" s="146">
        <v>0.23898000848150244</v>
      </c>
      <c r="U42" s="146">
        <v>7.1519539748230332E-2</v>
      </c>
      <c r="V42" s="146">
        <v>6.1350006469499237E-2</v>
      </c>
      <c r="W42" s="146">
        <v>0.71590477768051486</v>
      </c>
      <c r="X42" s="146">
        <v>6.025565979669429E-2</v>
      </c>
      <c r="Y42" s="146">
        <v>0.24427342031412552</v>
      </c>
      <c r="Z42" s="146">
        <v>0.24427342031412547</v>
      </c>
      <c r="AA42" s="148">
        <v>0.13842721531237037</v>
      </c>
    </row>
    <row r="43" spans="1:27" s="136" customFormat="1" ht="13.2">
      <c r="A43" s="145" t="s">
        <v>673</v>
      </c>
      <c r="B43" s="74">
        <v>173</v>
      </c>
      <c r="C43" s="146">
        <v>7.8341888111888094E-2</v>
      </c>
      <c r="D43" s="146">
        <v>0.13284171703093914</v>
      </c>
      <c r="E43" s="146">
        <v>0.14415922427185887</v>
      </c>
      <c r="F43" s="146">
        <v>0.24284596243598933</v>
      </c>
      <c r="G43" s="147">
        <v>1.0113882281398225</v>
      </c>
      <c r="H43" s="147">
        <v>1.0947074490303299</v>
      </c>
      <c r="I43" s="146">
        <v>0.10897074748284415</v>
      </c>
      <c r="J43" s="146">
        <v>0.28965125158318672</v>
      </c>
      <c r="K43" s="146">
        <v>6.4354999999999996E-2</v>
      </c>
      <c r="L43" s="146">
        <v>0.23108292327990762</v>
      </c>
      <c r="M43" s="146">
        <v>9.4895386455382147E-2</v>
      </c>
      <c r="N43" s="147">
        <v>1.3895015946994185</v>
      </c>
      <c r="O43" s="147">
        <v>1.1836835844750713</v>
      </c>
      <c r="P43" s="147">
        <v>8.0294493119680102</v>
      </c>
      <c r="Q43" s="147">
        <v>9.1651713540934665</v>
      </c>
      <c r="R43" s="147">
        <v>1.5788152644485347</v>
      </c>
      <c r="S43" s="147">
        <v>20.550712047888329</v>
      </c>
      <c r="T43" s="146">
        <v>0.6093441380975978</v>
      </c>
      <c r="U43" s="146">
        <v>6.9435145953745678E-3</v>
      </c>
      <c r="V43" s="146">
        <v>5.146380776774236E-3</v>
      </c>
      <c r="W43" s="146">
        <v>0.20287091937350421</v>
      </c>
      <c r="X43" s="146">
        <v>0.16610003799748499</v>
      </c>
      <c r="Y43" s="146">
        <v>0.18138712820097372</v>
      </c>
      <c r="Z43" s="146">
        <v>0.18138712820097369</v>
      </c>
      <c r="AA43" s="148">
        <v>0.12789569443934784</v>
      </c>
    </row>
    <row r="44" spans="1:27" s="136" customFormat="1" ht="13.2">
      <c r="A44" s="145" t="s">
        <v>674</v>
      </c>
      <c r="B44" s="74">
        <v>232</v>
      </c>
      <c r="C44" s="146">
        <v>0.11022302631578944</v>
      </c>
      <c r="D44" s="146">
        <v>0.10856496717371635</v>
      </c>
      <c r="E44" s="146">
        <v>0.123234764374531</v>
      </c>
      <c r="F44" s="146">
        <v>0.20089465914726268</v>
      </c>
      <c r="G44" s="147">
        <v>0.5802219144187124</v>
      </c>
      <c r="H44" s="147">
        <v>0.76494921443065156</v>
      </c>
      <c r="I44" s="146">
        <v>8.7833244645004777E-2</v>
      </c>
      <c r="J44" s="146">
        <v>0.29529431178708571</v>
      </c>
      <c r="K44" s="146">
        <v>6.4354999999999996E-2</v>
      </c>
      <c r="L44" s="146">
        <v>0.32208491721063143</v>
      </c>
      <c r="M44" s="146">
        <v>7.5022983570984234E-2</v>
      </c>
      <c r="N44" s="147">
        <v>1.3816578903093093</v>
      </c>
      <c r="O44" s="147">
        <v>2.3100825241398093</v>
      </c>
      <c r="P44" s="147">
        <v>12.437422816930154</v>
      </c>
      <c r="Q44" s="147">
        <v>20.576674304329799</v>
      </c>
      <c r="R44" s="147">
        <v>4.0772283903041577</v>
      </c>
      <c r="S44" s="147">
        <v>41.979480731891258</v>
      </c>
      <c r="T44" s="146">
        <v>6.9638858534704973E-2</v>
      </c>
      <c r="U44" s="146">
        <v>7.1738627678908068E-2</v>
      </c>
      <c r="V44" s="146">
        <v>2.4492221939418652E-2</v>
      </c>
      <c r="W44" s="146">
        <v>0.40774981615374523</v>
      </c>
      <c r="X44" s="146">
        <v>0.1194972327229353</v>
      </c>
      <c r="Y44" s="146">
        <v>0.45894118236119014</v>
      </c>
      <c r="Z44" s="146">
        <v>0.45894118236119019</v>
      </c>
      <c r="AA44" s="148">
        <v>0.10768274675714398</v>
      </c>
    </row>
    <row r="45" spans="1:27" s="136" customFormat="1" ht="13.2">
      <c r="A45" s="145" t="s">
        <v>675</v>
      </c>
      <c r="B45" s="74">
        <v>650</v>
      </c>
      <c r="C45" s="146">
        <v>3.4793381147540971E-2</v>
      </c>
      <c r="D45" s="146">
        <v>0.14018791934418809</v>
      </c>
      <c r="E45" s="146">
        <v>8.2653906394952265E-2</v>
      </c>
      <c r="F45" s="146">
        <v>0.20563328333825087</v>
      </c>
      <c r="G45" s="147">
        <v>0.78536962610461047</v>
      </c>
      <c r="H45" s="147">
        <v>0.97912748286771045</v>
      </c>
      <c r="I45" s="146">
        <v>0.10156207165182024</v>
      </c>
      <c r="J45" s="146">
        <v>0.33832876960999625</v>
      </c>
      <c r="K45" s="146">
        <v>6.4354999999999996E-2</v>
      </c>
      <c r="L45" s="146">
        <v>0.31642144634643116</v>
      </c>
      <c r="M45" s="146">
        <v>8.4632968113555029E-2</v>
      </c>
      <c r="N45" s="147">
        <v>0.75800943092181317</v>
      </c>
      <c r="O45" s="147">
        <v>3.5637067515271919</v>
      </c>
      <c r="P45" s="147">
        <v>15.089381235478525</v>
      </c>
      <c r="Q45" s="147">
        <v>28.372077561065481</v>
      </c>
      <c r="R45" s="147">
        <v>3.9615827071660843</v>
      </c>
      <c r="S45" s="147">
        <v>60.185329176533294</v>
      </c>
      <c r="T45" s="146">
        <v>-1.9780753051029231E-2</v>
      </c>
      <c r="U45" s="146">
        <v>6.3055972025909776E-2</v>
      </c>
      <c r="V45" s="146">
        <v>8.4609040687330939E-3</v>
      </c>
      <c r="W45" s="146">
        <v>0.16016478095524109</v>
      </c>
      <c r="X45" s="146">
        <v>0.10909196658632195</v>
      </c>
      <c r="Y45" s="146">
        <v>0.27136929836694895</v>
      </c>
      <c r="Z45" s="146">
        <v>0.2713692983669489</v>
      </c>
      <c r="AA45" s="148">
        <v>0.12340733671522258</v>
      </c>
    </row>
    <row r="46" spans="1:27" s="136" customFormat="1" ht="13.2">
      <c r="A46" s="145" t="s">
        <v>676</v>
      </c>
      <c r="B46" s="74">
        <v>549</v>
      </c>
      <c r="C46" s="146">
        <v>6.0971030640668535E-2</v>
      </c>
      <c r="D46" s="146">
        <v>0.1497559861434353</v>
      </c>
      <c r="E46" s="146">
        <v>0.20302883575078812</v>
      </c>
      <c r="F46" s="146">
        <v>0.23010479538202611</v>
      </c>
      <c r="G46" s="147">
        <v>0.84672840067894928</v>
      </c>
      <c r="H46" s="147">
        <v>0.8982548951677175</v>
      </c>
      <c r="I46" s="146">
        <v>9.6378138780250699E-2</v>
      </c>
      <c r="J46" s="146">
        <v>0.35414092089807037</v>
      </c>
      <c r="K46" s="146">
        <v>6.4354999999999996E-2</v>
      </c>
      <c r="L46" s="146">
        <v>0.12115016737086057</v>
      </c>
      <c r="M46" s="146">
        <v>9.0524426221127413E-2</v>
      </c>
      <c r="N46" s="147">
        <v>1.5570513358426705</v>
      </c>
      <c r="O46" s="147">
        <v>3.1961942776420869</v>
      </c>
      <c r="P46" s="147">
        <v>16.975685491479659</v>
      </c>
      <c r="Q46" s="147">
        <v>21.055092462300728</v>
      </c>
      <c r="R46" s="147">
        <v>5.1396333793026683</v>
      </c>
      <c r="S46" s="147">
        <v>102.10298129696187</v>
      </c>
      <c r="T46" s="146">
        <v>5.6170264702622763E-2</v>
      </c>
      <c r="U46" s="146">
        <v>3.3638120678444697E-2</v>
      </c>
      <c r="V46" s="146">
        <v>1.6120548878256664E-2</v>
      </c>
      <c r="W46" s="146">
        <v>0.15524193686286272</v>
      </c>
      <c r="X46" s="146">
        <v>0.18826062412636099</v>
      </c>
      <c r="Y46" s="146">
        <v>0.83286249196804796</v>
      </c>
      <c r="Z46" s="146">
        <v>0.83286249196804796</v>
      </c>
      <c r="AA46" s="148">
        <v>0.15094620466716002</v>
      </c>
    </row>
    <row r="47" spans="1:27" s="136" customFormat="1" ht="13.2">
      <c r="A47" s="145" t="s">
        <v>677</v>
      </c>
      <c r="B47" s="74">
        <v>81</v>
      </c>
      <c r="C47" s="146">
        <v>2.0683617021276589E-2</v>
      </c>
      <c r="D47" s="146">
        <v>0.10927793514353082</v>
      </c>
      <c r="E47" s="146">
        <v>0.2187503321074406</v>
      </c>
      <c r="F47" s="146">
        <v>0.25722215886696137</v>
      </c>
      <c r="G47" s="147">
        <v>1.0228619556904517</v>
      </c>
      <c r="H47" s="147">
        <v>1.210329895898512</v>
      </c>
      <c r="I47" s="146">
        <v>0.11638214632709462</v>
      </c>
      <c r="J47" s="146">
        <v>0.33631953220947924</v>
      </c>
      <c r="K47" s="146">
        <v>6.4354999999999996E-2</v>
      </c>
      <c r="L47" s="146">
        <v>0.25719480780938708</v>
      </c>
      <c r="M47" s="146">
        <v>9.881012579254235E-2</v>
      </c>
      <c r="N47" s="147">
        <v>2.3003858434396283</v>
      </c>
      <c r="O47" s="147">
        <v>1.9345203801039386</v>
      </c>
      <c r="P47" s="147">
        <v>11.380600486423958</v>
      </c>
      <c r="Q47" s="147">
        <v>16.9698411934083</v>
      </c>
      <c r="R47" s="147">
        <v>3.3749990528836573</v>
      </c>
      <c r="S47" s="147">
        <v>143.50472685181344</v>
      </c>
      <c r="T47" s="146">
        <v>0.14317420782326637</v>
      </c>
      <c r="U47" s="146">
        <v>1.9734900420309839E-2</v>
      </c>
      <c r="V47" s="146">
        <v>-1.3947351432358696E-2</v>
      </c>
      <c r="W47" s="146">
        <v>1.4962129840578925E-3</v>
      </c>
      <c r="X47" s="146">
        <v>8.9820800042825943E-2</v>
      </c>
      <c r="Y47" s="146">
        <v>0.55284058091686328</v>
      </c>
      <c r="Z47" s="146">
        <v>0.55284058091686328</v>
      </c>
      <c r="AA47" s="148">
        <v>0.11380792726772192</v>
      </c>
    </row>
    <row r="48" spans="1:27" s="136" customFormat="1" ht="13.2">
      <c r="A48" s="145" t="s">
        <v>678</v>
      </c>
      <c r="B48" s="74">
        <v>202</v>
      </c>
      <c r="C48" s="146">
        <v>8.4602603550295918E-2</v>
      </c>
      <c r="D48" s="146">
        <v>0.11829078864545531</v>
      </c>
      <c r="E48" s="146">
        <v>0.18156705572027637</v>
      </c>
      <c r="F48" s="146">
        <v>0.20990187857546344</v>
      </c>
      <c r="G48" s="147">
        <v>0.62939429078398101</v>
      </c>
      <c r="H48" s="147">
        <v>0.68507622266360235</v>
      </c>
      <c r="I48" s="146">
        <v>8.2713385872736911E-2</v>
      </c>
      <c r="J48" s="146">
        <v>0.24786892322452811</v>
      </c>
      <c r="K48" s="146">
        <v>5.8542999999999998E-2</v>
      </c>
      <c r="L48" s="146">
        <v>0.26006451089662941</v>
      </c>
      <c r="M48" s="146">
        <v>7.2572567265888899E-2</v>
      </c>
      <c r="N48" s="147">
        <v>1.8091101184233103</v>
      </c>
      <c r="O48" s="147">
        <v>1.169134129847309</v>
      </c>
      <c r="P48" s="147">
        <v>8.1421543031470058</v>
      </c>
      <c r="Q48" s="147">
        <v>8.5980381763760345</v>
      </c>
      <c r="R48" s="147">
        <v>1.7824284117595683</v>
      </c>
      <c r="S48" s="147">
        <v>22.772643938729349</v>
      </c>
      <c r="T48" s="146">
        <v>-1.5909868291309536E-2</v>
      </c>
      <c r="U48" s="146">
        <v>7.5983583944394997E-3</v>
      </c>
      <c r="V48" s="146">
        <v>4.228833772045729E-3</v>
      </c>
      <c r="W48" s="146">
        <v>2.0168608230211112E-2</v>
      </c>
      <c r="X48" s="146">
        <v>0.15203983853675432</v>
      </c>
      <c r="Y48" s="146">
        <v>0.42454539942629133</v>
      </c>
      <c r="Z48" s="146">
        <v>0.42454539942629133</v>
      </c>
      <c r="AA48" s="148">
        <v>0.11840530188875235</v>
      </c>
    </row>
    <row r="49" spans="1:27" s="136" customFormat="1" ht="13.2">
      <c r="A49" s="145" t="s">
        <v>679</v>
      </c>
      <c r="B49" s="74">
        <v>137</v>
      </c>
      <c r="C49" s="146">
        <v>8.2657570093457963E-2</v>
      </c>
      <c r="D49" s="146">
        <v>0.1081994611376226</v>
      </c>
      <c r="E49" s="146">
        <v>9.641658012037313E-2</v>
      </c>
      <c r="F49" s="146">
        <v>0.1430098540208482</v>
      </c>
      <c r="G49" s="147">
        <v>0.7749958133235606</v>
      </c>
      <c r="H49" s="147">
        <v>0.88662318345492785</v>
      </c>
      <c r="I49" s="146">
        <v>9.5632546059460879E-2</v>
      </c>
      <c r="J49" s="146">
        <v>0.25290884975248118</v>
      </c>
      <c r="K49" s="146">
        <v>6.4354999999999996E-2</v>
      </c>
      <c r="L49" s="146">
        <v>0.50932175441628846</v>
      </c>
      <c r="M49" s="146">
        <v>7.1402973365437467E-2</v>
      </c>
      <c r="N49" s="147">
        <v>1.0309138465092285</v>
      </c>
      <c r="O49" s="147">
        <v>1.062582877725027</v>
      </c>
      <c r="P49" s="147">
        <v>7.2156792634234419</v>
      </c>
      <c r="Q49" s="147">
        <v>8.8058900860566123</v>
      </c>
      <c r="R49" s="147">
        <v>1.1248722994828504</v>
      </c>
      <c r="S49" s="147">
        <v>45.466420035837508</v>
      </c>
      <c r="T49" s="146">
        <v>-0.96189182737838608</v>
      </c>
      <c r="U49" s="146">
        <v>6.8793425377158676E-3</v>
      </c>
      <c r="V49" s="146">
        <v>4.7986822649044936E-3</v>
      </c>
      <c r="W49" s="146">
        <v>-7.8830681023021487E-2</v>
      </c>
      <c r="X49" s="146">
        <v>7.4159728954237933E-2</v>
      </c>
      <c r="Y49" s="146">
        <v>0.6190700745883686</v>
      </c>
      <c r="Z49" s="146">
        <v>0.6190700745883686</v>
      </c>
      <c r="AA49" s="148">
        <v>0.10832802165624869</v>
      </c>
    </row>
    <row r="50" spans="1:27" s="136" customFormat="1" ht="13.2">
      <c r="A50" s="145" t="s">
        <v>680</v>
      </c>
      <c r="B50" s="74">
        <v>228</v>
      </c>
      <c r="C50" s="146">
        <v>9.064165803108809E-2</v>
      </c>
      <c r="D50" s="146">
        <v>9.7581466004191875E-2</v>
      </c>
      <c r="E50" s="146">
        <v>0.13311212828485519</v>
      </c>
      <c r="F50" s="146">
        <v>0.18702298039483276</v>
      </c>
      <c r="G50" s="147">
        <v>0.66476894823629862</v>
      </c>
      <c r="H50" s="147">
        <v>0.71082250665406355</v>
      </c>
      <c r="I50" s="146">
        <v>8.4363722676525477E-2</v>
      </c>
      <c r="J50" s="146">
        <v>0.26743776755542181</v>
      </c>
      <c r="K50" s="146">
        <v>6.4354999999999996E-2</v>
      </c>
      <c r="L50" s="146">
        <v>0.18249067562498456</v>
      </c>
      <c r="M50" s="146">
        <v>7.7738689099656422E-2</v>
      </c>
      <c r="N50" s="147">
        <v>1.6491131323911137</v>
      </c>
      <c r="O50" s="147">
        <v>1.1297486196935074</v>
      </c>
      <c r="P50" s="147">
        <v>9.2472286919352698</v>
      </c>
      <c r="Q50" s="147">
        <v>10.817649285030537</v>
      </c>
      <c r="R50" s="147">
        <v>1.5899488639029258</v>
      </c>
      <c r="S50" s="147">
        <v>19.552938187213638</v>
      </c>
      <c r="T50" s="146">
        <v>-0.284760298271382</v>
      </c>
      <c r="U50" s="146">
        <v>6.965993910183879E-3</v>
      </c>
      <c r="V50" s="146">
        <v>-3.1311810875102662E-3</v>
      </c>
      <c r="W50" s="146">
        <v>0.19017906155847919</v>
      </c>
      <c r="X50" s="146">
        <v>0.12312293515838725</v>
      </c>
      <c r="Y50" s="146">
        <v>0.31767302616536414</v>
      </c>
      <c r="Z50" s="146">
        <v>0.31767302616536419</v>
      </c>
      <c r="AA50" s="148">
        <v>9.7921920811046656E-2</v>
      </c>
    </row>
    <row r="51" spans="1:27" s="136" customFormat="1" ht="13.2">
      <c r="A51" s="145" t="s">
        <v>681</v>
      </c>
      <c r="B51" s="74">
        <v>1374</v>
      </c>
      <c r="C51" s="146">
        <v>0.1147342226487523</v>
      </c>
      <c r="D51" s="146">
        <v>0.17622005224472428</v>
      </c>
      <c r="E51" s="146">
        <v>5.5770237112366609E-2</v>
      </c>
      <c r="F51" s="146">
        <v>0.17295984619363824</v>
      </c>
      <c r="G51" s="147">
        <v>0.5397928644612402</v>
      </c>
      <c r="H51" s="147">
        <v>0.75382191954892552</v>
      </c>
      <c r="I51" s="146">
        <v>8.7119985043086129E-2</v>
      </c>
      <c r="J51" s="146">
        <v>0.29524731282444178</v>
      </c>
      <c r="K51" s="146">
        <v>6.4354999999999996E-2</v>
      </c>
      <c r="L51" s="146">
        <v>0.42424609492116577</v>
      </c>
      <c r="M51" s="146">
        <v>7.0549072134151514E-2</v>
      </c>
      <c r="N51" s="147">
        <v>0.3486627307782067</v>
      </c>
      <c r="O51" s="147">
        <v>4.6552157668738854</v>
      </c>
      <c r="P51" s="147">
        <v>16.80944133555133</v>
      </c>
      <c r="Q51" s="147">
        <v>20.170578625395255</v>
      </c>
      <c r="R51" s="147">
        <v>1.3814510990522955</v>
      </c>
      <c r="S51" s="147">
        <v>56.350072695147666</v>
      </c>
      <c r="T51" s="146" t="s">
        <v>88</v>
      </c>
      <c r="U51" s="146">
        <v>3.6008275754089686E-2</v>
      </c>
      <c r="V51" s="146">
        <v>7.6788117841486148E-2</v>
      </c>
      <c r="W51" s="146">
        <v>0.52420609676460284</v>
      </c>
      <c r="X51" s="146">
        <v>0.10448446992594382</v>
      </c>
      <c r="Y51" s="146">
        <v>0.56047596516159448</v>
      </c>
      <c r="Z51" s="146">
        <v>0.56047596516159448</v>
      </c>
      <c r="AA51" s="148">
        <v>0.17504604457389847</v>
      </c>
    </row>
    <row r="52" spans="1:27" s="136" customFormat="1" ht="13.2">
      <c r="A52" s="145" t="s">
        <v>682</v>
      </c>
      <c r="B52" s="74">
        <v>1492</v>
      </c>
      <c r="C52" s="146">
        <v>6.0736806953339481E-2</v>
      </c>
      <c r="D52" s="146">
        <v>9.9188091807699705E-2</v>
      </c>
      <c r="E52" s="146">
        <v>0.12714981972762668</v>
      </c>
      <c r="F52" s="146">
        <v>0.2130156548090914</v>
      </c>
      <c r="G52" s="147">
        <v>1.03836102698098</v>
      </c>
      <c r="H52" s="147">
        <v>1.0707088534325075</v>
      </c>
      <c r="I52" s="146">
        <v>0.10743243750502374</v>
      </c>
      <c r="J52" s="146">
        <v>0.29756519697738842</v>
      </c>
      <c r="K52" s="146">
        <v>6.4354999999999996E-2</v>
      </c>
      <c r="L52" s="146">
        <v>0.13307684167690639</v>
      </c>
      <c r="M52" s="146">
        <v>9.9531382825323964E-2</v>
      </c>
      <c r="N52" s="147">
        <v>1.4758444913873285</v>
      </c>
      <c r="O52" s="147">
        <v>2.1520511804771951</v>
      </c>
      <c r="P52" s="147">
        <v>14.74009147266254</v>
      </c>
      <c r="Q52" s="147">
        <v>20.50788813757822</v>
      </c>
      <c r="R52" s="147">
        <v>2.9318971669892511</v>
      </c>
      <c r="S52" s="147">
        <v>59.821455161114308</v>
      </c>
      <c r="T52" s="146">
        <v>0.28320474661866302</v>
      </c>
      <c r="U52" s="146">
        <v>4.1859504460015566E-2</v>
      </c>
      <c r="V52" s="146">
        <v>4.2353512106588179E-2</v>
      </c>
      <c r="W52" s="146">
        <v>0.91591251057606471</v>
      </c>
      <c r="X52" s="146">
        <v>0.11997300767360276</v>
      </c>
      <c r="Y52" s="146">
        <v>0.41450280864813255</v>
      </c>
      <c r="Z52" s="146">
        <v>0.4145028086481326</v>
      </c>
      <c r="AA52" s="148">
        <v>0.10081767143303741</v>
      </c>
    </row>
    <row r="53" spans="1:27" s="136" customFormat="1" ht="13.2">
      <c r="A53" s="145" t="s">
        <v>610</v>
      </c>
      <c r="B53" s="74">
        <v>1815</v>
      </c>
      <c r="C53" s="146">
        <v>0.19804777777777771</v>
      </c>
      <c r="D53" s="146">
        <v>0.10664862064250391</v>
      </c>
      <c r="E53" s="146">
        <v>0.14836568932569902</v>
      </c>
      <c r="F53" s="146">
        <v>0.30835376594192671</v>
      </c>
      <c r="G53" s="147">
        <v>0.98882838286003549</v>
      </c>
      <c r="H53" s="147">
        <v>1.0907339755589993</v>
      </c>
      <c r="I53" s="146">
        <v>0.10871604783333186</v>
      </c>
      <c r="J53" s="146">
        <v>0.57513373902119758</v>
      </c>
      <c r="K53" s="146">
        <v>6.7024E-2</v>
      </c>
      <c r="L53" s="146">
        <v>0.21730036180967954</v>
      </c>
      <c r="M53" s="146">
        <v>9.5968660005839604E-2</v>
      </c>
      <c r="N53" s="147">
        <v>1.4403961344658271</v>
      </c>
      <c r="O53" s="147">
        <v>1.3218409435391549</v>
      </c>
      <c r="P53" s="147">
        <v>7.8168870617573072</v>
      </c>
      <c r="Q53" s="147">
        <v>11.719208861545555</v>
      </c>
      <c r="R53" s="147">
        <v>1.8383154452637767</v>
      </c>
      <c r="S53" s="147">
        <v>54.204297468339085</v>
      </c>
      <c r="T53" s="146">
        <v>0.11976332846375232</v>
      </c>
      <c r="U53" s="146">
        <v>8.0017639626807219E-2</v>
      </c>
      <c r="V53" s="146">
        <v>4.8951300244026504E-2</v>
      </c>
      <c r="W53" s="146">
        <v>0.84861810600502774</v>
      </c>
      <c r="X53" s="146">
        <v>0.10498912521603516</v>
      </c>
      <c r="Y53" s="146">
        <v>0.85950262197204597</v>
      </c>
      <c r="Z53" s="146">
        <v>0.85950262197204597</v>
      </c>
      <c r="AA53" s="148">
        <v>0.10717263648228535</v>
      </c>
    </row>
    <row r="54" spans="1:27" s="136" customFormat="1" ht="13.2">
      <c r="A54" s="145" t="s">
        <v>683</v>
      </c>
      <c r="B54" s="74">
        <v>137</v>
      </c>
      <c r="C54" s="146">
        <v>7.1007029702970306E-2</v>
      </c>
      <c r="D54" s="146">
        <v>7.0961579936263994E-2</v>
      </c>
      <c r="E54" s="146">
        <v>0.11212639112128635</v>
      </c>
      <c r="F54" s="146">
        <v>0.26676749544617562</v>
      </c>
      <c r="G54" s="147">
        <v>0.77554815342767525</v>
      </c>
      <c r="H54" s="147">
        <v>0.82887590656792465</v>
      </c>
      <c r="I54" s="146">
        <v>9.1930945611003984E-2</v>
      </c>
      <c r="J54" s="146">
        <v>0.27908766571370569</v>
      </c>
      <c r="K54" s="146">
        <v>6.4354999999999996E-2</v>
      </c>
      <c r="L54" s="146">
        <v>0.22256683686744946</v>
      </c>
      <c r="M54" s="146">
        <v>8.2166797901965696E-2</v>
      </c>
      <c r="N54" s="147">
        <v>1.9486920792014799</v>
      </c>
      <c r="O54" s="147">
        <v>1.06430544667157</v>
      </c>
      <c r="P54" s="147">
        <v>9.4331644047495082</v>
      </c>
      <c r="Q54" s="147">
        <v>14.408234304339357</v>
      </c>
      <c r="R54" s="147">
        <v>1.8408621168699566</v>
      </c>
      <c r="S54" s="147">
        <v>148.70651436275128</v>
      </c>
      <c r="T54" s="146">
        <v>0.13322722592940034</v>
      </c>
      <c r="U54" s="146">
        <v>2.4677177006253274E-2</v>
      </c>
      <c r="V54" s="146">
        <v>1.6106125519195991E-2</v>
      </c>
      <c r="W54" s="146">
        <v>0.30437740451249962</v>
      </c>
      <c r="X54" s="146">
        <v>8.2629468165346914E-2</v>
      </c>
      <c r="Y54" s="146">
        <v>0.52401832957131245</v>
      </c>
      <c r="Z54" s="146">
        <v>0.52401832957131245</v>
      </c>
      <c r="AA54" s="148">
        <v>7.1497526286580196E-2</v>
      </c>
    </row>
    <row r="55" spans="1:27" s="136" customFormat="1" ht="13.2">
      <c r="A55" s="145" t="s">
        <v>684</v>
      </c>
      <c r="B55" s="74">
        <v>36</v>
      </c>
      <c r="C55" s="146">
        <v>0.17374848484848482</v>
      </c>
      <c r="D55" s="146">
        <v>0.18330450455077887</v>
      </c>
      <c r="E55" s="146">
        <v>0.21955647007213325</v>
      </c>
      <c r="F55" s="146">
        <v>0.41146504501815456</v>
      </c>
      <c r="G55" s="147">
        <v>0.93789803915060777</v>
      </c>
      <c r="H55" s="147">
        <v>0.99082952615484288</v>
      </c>
      <c r="I55" s="146">
        <v>0.10231217262652544</v>
      </c>
      <c r="J55" s="146">
        <v>0.26835269009888657</v>
      </c>
      <c r="K55" s="146">
        <v>6.4354999999999996E-2</v>
      </c>
      <c r="L55" s="146">
        <v>0.14876666788463419</v>
      </c>
      <c r="M55" s="146">
        <v>9.424130439210901E-2</v>
      </c>
      <c r="N55" s="147">
        <v>1.6577440240335317</v>
      </c>
      <c r="O55" s="147">
        <v>1.2699079204434358</v>
      </c>
      <c r="P55" s="147">
        <v>5.3293756811720252</v>
      </c>
      <c r="Q55" s="147">
        <v>6.910376636063507</v>
      </c>
      <c r="R55" s="147">
        <v>1.9959989938763141</v>
      </c>
      <c r="S55" s="147">
        <v>14.031826818454119</v>
      </c>
      <c r="T55" s="146">
        <v>3.2549087570827244E-2</v>
      </c>
      <c r="U55" s="146">
        <v>7.5515814514412374E-2</v>
      </c>
      <c r="V55" s="146">
        <v>1.7882863221327802E-2</v>
      </c>
      <c r="W55" s="146">
        <v>0.14709729923627221</v>
      </c>
      <c r="X55" s="146">
        <v>0.21117990075672649</v>
      </c>
      <c r="Y55" s="146">
        <v>0.48938589191024884</v>
      </c>
      <c r="Z55" s="146">
        <v>0.48938589191024884</v>
      </c>
      <c r="AA55" s="148">
        <v>0.18395151105610733</v>
      </c>
    </row>
    <row r="56" spans="1:27" s="136" customFormat="1" ht="13.2">
      <c r="A56" s="145" t="s">
        <v>611</v>
      </c>
      <c r="B56" s="74">
        <v>590</v>
      </c>
      <c r="C56" s="146">
        <v>0.26669155223880592</v>
      </c>
      <c r="D56" s="146">
        <v>0.36359811391786417</v>
      </c>
      <c r="E56" s="146">
        <v>0.24158267687634816</v>
      </c>
      <c r="F56" s="146">
        <v>0.31260731207135428</v>
      </c>
      <c r="G56" s="147">
        <v>0.96400287636378468</v>
      </c>
      <c r="H56" s="147">
        <v>1.0888559417354342</v>
      </c>
      <c r="I56" s="146">
        <v>0.10859566586524134</v>
      </c>
      <c r="J56" s="146">
        <v>0.48387766980457786</v>
      </c>
      <c r="K56" s="146">
        <v>6.4354999999999996E-2</v>
      </c>
      <c r="L56" s="146">
        <v>0.21367468576413548</v>
      </c>
      <c r="M56" s="146">
        <v>9.5660793577814526E-2</v>
      </c>
      <c r="N56" s="147">
        <v>0.72177787759688772</v>
      </c>
      <c r="O56" s="147">
        <v>2.3810527342876311</v>
      </c>
      <c r="P56" s="147">
        <v>4.2234317999172477</v>
      </c>
      <c r="Q56" s="147">
        <v>6.3968445728922978</v>
      </c>
      <c r="R56" s="147">
        <v>1.542041524916099</v>
      </c>
      <c r="S56" s="147">
        <v>17.55048381530332</v>
      </c>
      <c r="T56" s="146">
        <v>1.1379439275655288E-2</v>
      </c>
      <c r="U56" s="146">
        <v>0.27791758398609806</v>
      </c>
      <c r="V56" s="146">
        <v>0.142306251128303</v>
      </c>
      <c r="W56" s="146">
        <v>0.53680367572184995</v>
      </c>
      <c r="X56" s="146">
        <v>0.21873526979182864</v>
      </c>
      <c r="Y56" s="146">
        <v>0.38354605719548029</v>
      </c>
      <c r="Z56" s="146">
        <v>0.38354605719548029</v>
      </c>
      <c r="AA56" s="148">
        <v>0.36597778616024967</v>
      </c>
    </row>
    <row r="57" spans="1:27" s="136" customFormat="1" ht="13.2">
      <c r="A57" s="145" t="s">
        <v>685</v>
      </c>
      <c r="B57" s="74">
        <v>174</v>
      </c>
      <c r="C57" s="146">
        <v>0.14224071428571422</v>
      </c>
      <c r="D57" s="146">
        <v>0.20652391715940327</v>
      </c>
      <c r="E57" s="146">
        <v>0.12634031115186059</v>
      </c>
      <c r="F57" s="146">
        <v>0.17576164835069488</v>
      </c>
      <c r="G57" s="147">
        <v>0.58306892157959112</v>
      </c>
      <c r="H57" s="147">
        <v>0.85477327531748293</v>
      </c>
      <c r="I57" s="146">
        <v>9.3590966947850657E-2</v>
      </c>
      <c r="J57" s="146">
        <v>0.29604834790023926</v>
      </c>
      <c r="K57" s="146">
        <v>6.4354999999999996E-2</v>
      </c>
      <c r="L57" s="146">
        <v>0.41344813826810312</v>
      </c>
      <c r="M57" s="146">
        <v>7.4766403252430683E-2</v>
      </c>
      <c r="N57" s="147">
        <v>0.70119353498470294</v>
      </c>
      <c r="O57" s="147">
        <v>2.4350441266320888</v>
      </c>
      <c r="P57" s="147">
        <v>8.6538309913820992</v>
      </c>
      <c r="Q57" s="147">
        <v>11.66765742791088</v>
      </c>
      <c r="R57" s="147">
        <v>1.7319473403576051</v>
      </c>
      <c r="S57" s="147">
        <v>379.6137201341005</v>
      </c>
      <c r="T57" s="146">
        <v>4.0400031397025117E-2</v>
      </c>
      <c r="U57" s="146">
        <v>0.11718132418192699</v>
      </c>
      <c r="V57" s="146">
        <v>8.0230525406116929E-2</v>
      </c>
      <c r="W57" s="146">
        <v>0.47879736709681825</v>
      </c>
      <c r="X57" s="146">
        <v>0.19802991406641679</v>
      </c>
      <c r="Y57" s="146">
        <v>0.58133831922958967</v>
      </c>
      <c r="Z57" s="146">
        <v>0.58133831922958967</v>
      </c>
      <c r="AA57" s="148">
        <v>0.20766740281227833</v>
      </c>
    </row>
    <row r="58" spans="1:27" s="136" customFormat="1" ht="13.2">
      <c r="A58" s="145" t="s">
        <v>686</v>
      </c>
      <c r="B58" s="74">
        <v>444</v>
      </c>
      <c r="C58" s="146">
        <v>7.7933924418604639E-2</v>
      </c>
      <c r="D58" s="146">
        <v>6.7211945796333536E-2</v>
      </c>
      <c r="E58" s="146">
        <v>0.14553325656056446</v>
      </c>
      <c r="F58" s="146">
        <v>0.23018694802682529</v>
      </c>
      <c r="G58" s="147">
        <v>0.81650032260313876</v>
      </c>
      <c r="H58" s="147">
        <v>0.97654622433771487</v>
      </c>
      <c r="I58" s="146">
        <v>0.10139661298004753</v>
      </c>
      <c r="J58" s="146">
        <v>0.36102582329931976</v>
      </c>
      <c r="K58" s="146">
        <v>6.4354999999999996E-2</v>
      </c>
      <c r="L58" s="146">
        <v>0.29357721636773987</v>
      </c>
      <c r="M58" s="146">
        <v>8.5738290794127647E-2</v>
      </c>
      <c r="N58" s="147">
        <v>2.4835718538686229</v>
      </c>
      <c r="O58" s="147">
        <v>0.64414147900341612</v>
      </c>
      <c r="P58" s="147">
        <v>6.4382791191869799</v>
      </c>
      <c r="Q58" s="147">
        <v>8.8875254665849575</v>
      </c>
      <c r="R58" s="147">
        <v>1.4899584515535069</v>
      </c>
      <c r="S58" s="147">
        <v>46.826721740920021</v>
      </c>
      <c r="T58" s="146">
        <v>6.444806614870531E-2</v>
      </c>
      <c r="U58" s="146">
        <v>3.9255162065945426E-2</v>
      </c>
      <c r="V58" s="146">
        <v>2.1534721834103425E-2</v>
      </c>
      <c r="W58" s="146">
        <v>0.41173452769247443</v>
      </c>
      <c r="X58" s="146">
        <v>0.16710585203452488</v>
      </c>
      <c r="Y58" s="146">
        <v>0.25278543214691152</v>
      </c>
      <c r="Z58" s="146">
        <v>0.25278543214691152</v>
      </c>
      <c r="AA58" s="148">
        <v>6.7815316278665244E-2</v>
      </c>
    </row>
    <row r="59" spans="1:27" s="136" customFormat="1" ht="13.2">
      <c r="A59" s="145" t="s">
        <v>687</v>
      </c>
      <c r="B59" s="74">
        <v>426</v>
      </c>
      <c r="C59" s="146">
        <v>5.2569709677419384E-2</v>
      </c>
      <c r="D59" s="146">
        <v>8.5660524024104331E-2</v>
      </c>
      <c r="E59" s="146">
        <v>0.11004848275450956</v>
      </c>
      <c r="F59" s="146">
        <v>0.2277855269020298</v>
      </c>
      <c r="G59" s="147">
        <v>0.62960219115439331</v>
      </c>
      <c r="H59" s="147">
        <v>0.81397715204573551</v>
      </c>
      <c r="I59" s="146">
        <v>9.0975935446131653E-2</v>
      </c>
      <c r="J59" s="146">
        <v>0.27470203395781206</v>
      </c>
      <c r="K59" s="146">
        <v>6.4354999999999996E-2</v>
      </c>
      <c r="L59" s="146">
        <v>0.33196678664683954</v>
      </c>
      <c r="M59" s="146">
        <v>7.6729374497707142E-2</v>
      </c>
      <c r="N59" s="147">
        <v>1.500826460362026</v>
      </c>
      <c r="O59" s="147">
        <v>1.3051058737303116</v>
      </c>
      <c r="P59" s="147">
        <v>9.0490399514748407</v>
      </c>
      <c r="Q59" s="147">
        <v>14.919827634507392</v>
      </c>
      <c r="R59" s="147">
        <v>1.9534952033407125</v>
      </c>
      <c r="S59" s="147">
        <v>30.816579837398784</v>
      </c>
      <c r="T59" s="146">
        <v>0.13346504743184759</v>
      </c>
      <c r="U59" s="146">
        <v>6.7920230716551067E-2</v>
      </c>
      <c r="V59" s="146">
        <v>4.4883943102285571E-2</v>
      </c>
      <c r="W59" s="146">
        <v>0.80311653704815678</v>
      </c>
      <c r="X59" s="146">
        <v>8.3795135580695804E-2</v>
      </c>
      <c r="Y59" s="146">
        <v>0.66204402398837059</v>
      </c>
      <c r="Z59" s="146">
        <v>0.66204402398837059</v>
      </c>
      <c r="AA59" s="148">
        <v>8.673728826356969E-2</v>
      </c>
    </row>
    <row r="60" spans="1:27" s="136" customFormat="1" ht="13.2">
      <c r="A60" s="145" t="s">
        <v>688</v>
      </c>
      <c r="B60" s="74">
        <v>266</v>
      </c>
      <c r="C60" s="146">
        <v>3.0151770334928205E-2</v>
      </c>
      <c r="D60" s="146">
        <v>6.5469265151261821E-2</v>
      </c>
      <c r="E60" s="146">
        <v>4.9573756287668545E-2</v>
      </c>
      <c r="F60" s="146">
        <v>0.20852980162414905</v>
      </c>
      <c r="G60" s="147">
        <v>0.67452726357603943</v>
      </c>
      <c r="H60" s="147">
        <v>0.91123562267706959</v>
      </c>
      <c r="I60" s="146">
        <v>9.7210203413600163E-2</v>
      </c>
      <c r="J60" s="146">
        <v>0.29232142502794339</v>
      </c>
      <c r="K60" s="146">
        <v>6.4354999999999996E-2</v>
      </c>
      <c r="L60" s="146">
        <v>0.39221477839053925</v>
      </c>
      <c r="M60" s="146">
        <v>7.7932890429325469E-2</v>
      </c>
      <c r="N60" s="147">
        <v>0.8661449398864447</v>
      </c>
      <c r="O60" s="147">
        <v>1.3103287441086131</v>
      </c>
      <c r="P60" s="147">
        <v>10.145296025613924</v>
      </c>
      <c r="Q60" s="147">
        <v>19.409725734324393</v>
      </c>
      <c r="R60" s="147">
        <v>1.0700113153525859</v>
      </c>
      <c r="S60" s="147">
        <v>53.229040853217008</v>
      </c>
      <c r="T60" s="146">
        <v>0.19301023843083528</v>
      </c>
      <c r="U60" s="146">
        <v>0.1035625412714256</v>
      </c>
      <c r="V60" s="146">
        <v>6.8286821802886782E-2</v>
      </c>
      <c r="W60" s="146">
        <v>1.5270401595610315</v>
      </c>
      <c r="X60" s="146">
        <v>6.4685812884941712E-2</v>
      </c>
      <c r="Y60" s="146">
        <v>0.55881830017691392</v>
      </c>
      <c r="Z60" s="146">
        <v>0.55881830017691392</v>
      </c>
      <c r="AA60" s="148">
        <v>6.5270026738935477E-2</v>
      </c>
    </row>
    <row r="61" spans="1:27" s="136" customFormat="1" ht="13.2">
      <c r="A61" s="145" t="s">
        <v>689</v>
      </c>
      <c r="B61" s="74">
        <v>488</v>
      </c>
      <c r="C61" s="146">
        <v>0.10553491271820457</v>
      </c>
      <c r="D61" s="146">
        <v>0.13542991805419816</v>
      </c>
      <c r="E61" s="146">
        <v>7.777329056638789E-2</v>
      </c>
      <c r="F61" s="146">
        <v>0.20805972007633666</v>
      </c>
      <c r="G61" s="147">
        <v>0.4470973992829686</v>
      </c>
      <c r="H61" s="147">
        <v>0.73654518278252668</v>
      </c>
      <c r="I61" s="146">
        <v>8.6012546216359967E-2</v>
      </c>
      <c r="J61" s="146">
        <v>0.25342379632553697</v>
      </c>
      <c r="K61" s="146">
        <v>6.4354999999999996E-2</v>
      </c>
      <c r="L61" s="146">
        <v>0.49590794161286095</v>
      </c>
      <c r="M61" s="146">
        <v>6.719173285833159E-2</v>
      </c>
      <c r="N61" s="147">
        <v>0.68526874049072928</v>
      </c>
      <c r="O61" s="147">
        <v>1.9842440306784832</v>
      </c>
      <c r="P61" s="147">
        <v>8.7108600321499718</v>
      </c>
      <c r="Q61" s="147">
        <v>14.11305426861972</v>
      </c>
      <c r="R61" s="147">
        <v>1.3054398461869157</v>
      </c>
      <c r="S61" s="147">
        <v>19.746454537908718</v>
      </c>
      <c r="T61" s="146">
        <v>5.1321052580214285E-2</v>
      </c>
      <c r="U61" s="146">
        <v>0.16145031366596396</v>
      </c>
      <c r="V61" s="146">
        <v>9.7845997009163799E-2</v>
      </c>
      <c r="W61" s="146">
        <v>0.93997521797198624</v>
      </c>
      <c r="X61" s="146">
        <v>0.12425005928175509</v>
      </c>
      <c r="Y61" s="146">
        <v>0.63064006144032181</v>
      </c>
      <c r="Z61" s="146">
        <v>0.63064006144032181</v>
      </c>
      <c r="AA61" s="148">
        <v>0.13547671716176612</v>
      </c>
    </row>
    <row r="62" spans="1:27" s="136" customFormat="1" ht="13.2">
      <c r="A62" s="145" t="s">
        <v>690</v>
      </c>
      <c r="B62" s="74">
        <v>853</v>
      </c>
      <c r="C62" s="146">
        <v>0.39661279569892466</v>
      </c>
      <c r="D62" s="146">
        <v>0.11716428482873283</v>
      </c>
      <c r="E62" s="146">
        <v>9.093109941714525E-2</v>
      </c>
      <c r="F62" s="146">
        <v>0.25659862660670973</v>
      </c>
      <c r="G62" s="147">
        <v>1.0402350701665934</v>
      </c>
      <c r="H62" s="147">
        <v>1.0916417105034693</v>
      </c>
      <c r="I62" s="146">
        <v>0.10877423364327239</v>
      </c>
      <c r="J62" s="146">
        <v>0.60159260726154473</v>
      </c>
      <c r="K62" s="146">
        <v>6.7024E-2</v>
      </c>
      <c r="L62" s="146">
        <v>0.15542889273887203</v>
      </c>
      <c r="M62" s="146">
        <v>9.9647338638234648E-2</v>
      </c>
      <c r="N62" s="147">
        <v>0.80766547797090815</v>
      </c>
      <c r="O62" s="147">
        <v>2.3882434445407341</v>
      </c>
      <c r="P62" s="147">
        <v>8.8129811908686762</v>
      </c>
      <c r="Q62" s="147">
        <v>18.827938179346599</v>
      </c>
      <c r="R62" s="147">
        <v>1.6763220630025488</v>
      </c>
      <c r="S62" s="147">
        <v>250.16739966900235</v>
      </c>
      <c r="T62" s="146">
        <v>0.10876920780761577</v>
      </c>
      <c r="U62" s="146">
        <v>0.1859310527286239</v>
      </c>
      <c r="V62" s="146">
        <v>0.1127933403861452</v>
      </c>
      <c r="W62" s="146">
        <v>1.560681789819639</v>
      </c>
      <c r="X62" s="146">
        <v>4.3236320854281265E-2</v>
      </c>
      <c r="Y62" s="146">
        <v>0.98308006126650438</v>
      </c>
      <c r="Z62" s="146">
        <v>0.98308006126650438</v>
      </c>
      <c r="AA62" s="148">
        <v>0.11750297486073452</v>
      </c>
    </row>
    <row r="63" spans="1:27" s="136" customFormat="1" ht="13.2">
      <c r="A63" s="145" t="s">
        <v>691</v>
      </c>
      <c r="B63" s="74">
        <v>324</v>
      </c>
      <c r="C63" s="146">
        <v>2.1356641221374026E-2</v>
      </c>
      <c r="D63" s="146">
        <v>6.7553669340988456E-2</v>
      </c>
      <c r="E63" s="146">
        <v>8.3801375442182066E-2</v>
      </c>
      <c r="F63" s="146">
        <v>0.1510460073303066</v>
      </c>
      <c r="G63" s="147">
        <v>0.88811966139305298</v>
      </c>
      <c r="H63" s="147">
        <v>0.89462486236943106</v>
      </c>
      <c r="I63" s="146">
        <v>9.6145453677880535E-2</v>
      </c>
      <c r="J63" s="146">
        <v>0.30651468123456876</v>
      </c>
      <c r="K63" s="146">
        <v>6.4354999999999996E-2</v>
      </c>
      <c r="L63" s="146">
        <v>0.1870421256352493</v>
      </c>
      <c r="M63" s="146">
        <v>8.7151506941061899E-2</v>
      </c>
      <c r="N63" s="147">
        <v>1.4638192187131276</v>
      </c>
      <c r="O63" s="147">
        <v>1.3350774004036638</v>
      </c>
      <c r="P63" s="147">
        <v>11.149755418406585</v>
      </c>
      <c r="Q63" s="147">
        <v>18.762274053118684</v>
      </c>
      <c r="R63" s="147">
        <v>1.5791572059386556</v>
      </c>
      <c r="S63" s="147">
        <v>151.60478716541692</v>
      </c>
      <c r="T63" s="146">
        <v>9.3686427567948649E-2</v>
      </c>
      <c r="U63" s="146">
        <v>3.3179924721469543E-2</v>
      </c>
      <c r="V63" s="146">
        <v>1.4372747150760389E-3</v>
      </c>
      <c r="W63" s="146">
        <v>0.12410318055865499</v>
      </c>
      <c r="X63" s="146">
        <v>7.706709737549311E-2</v>
      </c>
      <c r="Y63" s="146">
        <v>0.41359921166168145</v>
      </c>
      <c r="Z63" s="146">
        <v>0.41359921166168145</v>
      </c>
      <c r="AA63" s="148">
        <v>6.653069570962454E-2</v>
      </c>
    </row>
    <row r="64" spans="1:27" s="136" customFormat="1" ht="13.2">
      <c r="A64" s="145" t="s">
        <v>692</v>
      </c>
      <c r="B64" s="74">
        <v>659</v>
      </c>
      <c r="C64" s="146">
        <v>9.3136079664570312E-2</v>
      </c>
      <c r="D64" s="146">
        <v>0.31477473666243311</v>
      </c>
      <c r="E64" s="146">
        <v>3.4190045041101631E-2</v>
      </c>
      <c r="F64" s="146">
        <v>3.1473434098282925E-2</v>
      </c>
      <c r="G64" s="147">
        <v>0.51867672089512196</v>
      </c>
      <c r="H64" s="147">
        <v>0.80458905357549171</v>
      </c>
      <c r="I64" s="146">
        <v>9.037415833418902E-2</v>
      </c>
      <c r="J64" s="146">
        <v>0.19507213564220016</v>
      </c>
      <c r="K64" s="146">
        <v>5.8542999999999998E-2</v>
      </c>
      <c r="L64" s="146">
        <v>0.43916502423892789</v>
      </c>
      <c r="M64" s="146">
        <v>6.9885245287651998E-2</v>
      </c>
      <c r="N64" s="147">
        <v>0.11833306407750671</v>
      </c>
      <c r="O64" s="147">
        <v>11.736466940021847</v>
      </c>
      <c r="P64" s="147">
        <v>20.989918696773227</v>
      </c>
      <c r="Q64" s="147">
        <v>35.178934935581324</v>
      </c>
      <c r="R64" s="147">
        <v>1.5208705970932974</v>
      </c>
      <c r="S64" s="147">
        <v>63.34198505876185</v>
      </c>
      <c r="T64" s="146">
        <v>1.0816859107397565</v>
      </c>
      <c r="U64" s="146">
        <v>6.4694336022067256E-2</v>
      </c>
      <c r="V64" s="146">
        <v>-5.2354820184569113E-2</v>
      </c>
      <c r="W64" s="146">
        <v>-0.15371841024421157</v>
      </c>
      <c r="X64" s="146">
        <v>2.3607408573504862E-2</v>
      </c>
      <c r="Y64" s="146">
        <v>3.0371936222786355</v>
      </c>
      <c r="Z64" s="146">
        <v>3.0371936222786355</v>
      </c>
      <c r="AA64" s="148">
        <v>0.29476744207796207</v>
      </c>
    </row>
    <row r="65" spans="1:27" s="136" customFormat="1" ht="13.2">
      <c r="A65" s="145" t="s">
        <v>693</v>
      </c>
      <c r="B65" s="74">
        <v>884</v>
      </c>
      <c r="C65" s="146">
        <v>0.10489185582822078</v>
      </c>
      <c r="D65" s="146">
        <v>5.0080867769680709E-2</v>
      </c>
      <c r="E65" s="146">
        <v>2.0519444443367223E-2</v>
      </c>
      <c r="F65" s="146">
        <v>0.2936327237915764</v>
      </c>
      <c r="G65" s="147">
        <v>0.41518460236100446</v>
      </c>
      <c r="H65" s="147">
        <v>0.98381928935145924</v>
      </c>
      <c r="I65" s="146">
        <v>0.10186281644742855</v>
      </c>
      <c r="J65" s="146">
        <v>0.32264079845830512</v>
      </c>
      <c r="K65" s="146">
        <v>6.4354999999999996E-2</v>
      </c>
      <c r="L65" s="146">
        <v>0.71338918457751455</v>
      </c>
      <c r="M65" s="146">
        <v>6.3480693098227764E-2</v>
      </c>
      <c r="N65" s="147">
        <v>0.4813605407740626</v>
      </c>
      <c r="O65" s="147">
        <v>1.6844769371768087</v>
      </c>
      <c r="P65" s="147">
        <v>13.210589287216825</v>
      </c>
      <c r="Q65" s="147">
        <v>25.061544895916906</v>
      </c>
      <c r="R65" s="147">
        <v>0.47499232700938848</v>
      </c>
      <c r="S65" s="147">
        <v>85.617825124817188</v>
      </c>
      <c r="T65" s="146">
        <v>1.9372904748389614</v>
      </c>
      <c r="U65" s="146">
        <v>2.4175751924503067E-2</v>
      </c>
      <c r="V65" s="146">
        <v>1.5641880147807902E-2</v>
      </c>
      <c r="W65" s="146">
        <v>-2.4874862323222344</v>
      </c>
      <c r="X65" s="146">
        <v>-3.4840201694336069E-2</v>
      </c>
      <c r="Y65" s="146">
        <v>7.9532474775776685E-3</v>
      </c>
      <c r="Z65" s="146">
        <v>7.9532474775776407E-3</v>
      </c>
      <c r="AA65" s="148">
        <v>4.9828779780654711E-2</v>
      </c>
    </row>
    <row r="66" spans="1:27" s="136" customFormat="1" ht="13.2">
      <c r="A66" s="145" t="s">
        <v>694</v>
      </c>
      <c r="B66" s="74">
        <v>336</v>
      </c>
      <c r="C66" s="146">
        <v>4.3873405797101465E-2</v>
      </c>
      <c r="D66" s="146">
        <v>0.15167474002655607</v>
      </c>
      <c r="E66" s="146">
        <v>3.5054354887619446E-2</v>
      </c>
      <c r="F66" s="146">
        <v>0.28115061326406487</v>
      </c>
      <c r="G66" s="147">
        <v>0.54027621202156229</v>
      </c>
      <c r="H66" s="147">
        <v>0.94126979574631009</v>
      </c>
      <c r="I66" s="146">
        <v>9.9135393907338484E-2</v>
      </c>
      <c r="J66" s="146">
        <v>0.25548788218587737</v>
      </c>
      <c r="K66" s="146">
        <v>6.4354999999999996E-2</v>
      </c>
      <c r="L66" s="146">
        <v>0.54735806735395443</v>
      </c>
      <c r="M66" s="146">
        <v>7.1179036879308905E-2</v>
      </c>
      <c r="N66" s="147">
        <v>0.26352308133588759</v>
      </c>
      <c r="O66" s="147">
        <v>3.3452161322957021</v>
      </c>
      <c r="P66" s="147">
        <v>13.533672644677281</v>
      </c>
      <c r="Q66" s="147">
        <v>19.755324773603927</v>
      </c>
      <c r="R66" s="147">
        <v>0.67632359153553168</v>
      </c>
      <c r="S66" s="147">
        <v>82.378100398027456</v>
      </c>
      <c r="T66" s="146">
        <v>1.1297095601126692</v>
      </c>
      <c r="U66" s="146">
        <v>8.6251862945798827E-2</v>
      </c>
      <c r="V66" s="146">
        <v>8.2639819519538124E-2</v>
      </c>
      <c r="W66" s="146">
        <v>1.101716107166683</v>
      </c>
      <c r="X66" s="146">
        <v>3.9727774034120242E-2</v>
      </c>
      <c r="Y66" s="146">
        <v>0.57547165687174862</v>
      </c>
      <c r="Z66" s="146">
        <v>0.57547165687174862</v>
      </c>
      <c r="AA66" s="148">
        <v>0.15726657130404778</v>
      </c>
    </row>
    <row r="67" spans="1:27" s="136" customFormat="1" ht="13.2">
      <c r="A67" s="145" t="s">
        <v>695</v>
      </c>
      <c r="B67" s="74">
        <v>748</v>
      </c>
      <c r="C67" s="146">
        <v>8.5338026565464895E-2</v>
      </c>
      <c r="D67" s="146">
        <v>0.16934513350573346</v>
      </c>
      <c r="E67" s="146">
        <v>3.9065889833080243E-2</v>
      </c>
      <c r="F67" s="146">
        <v>0.20979484449374175</v>
      </c>
      <c r="G67" s="147">
        <v>0.56013966502407253</v>
      </c>
      <c r="H67" s="147">
        <v>0.87519911806776318</v>
      </c>
      <c r="I67" s="146">
        <v>9.490026346814362E-2</v>
      </c>
      <c r="J67" s="146">
        <v>0.2896694113717817</v>
      </c>
      <c r="K67" s="146">
        <v>6.4354999999999996E-2</v>
      </c>
      <c r="L67" s="146">
        <v>0.47132844724291256</v>
      </c>
      <c r="M67" s="146">
        <v>7.2823262816386999E-2</v>
      </c>
      <c r="N67" s="147">
        <v>0.25417193766136426</v>
      </c>
      <c r="O67" s="147">
        <v>4.0704803621905636</v>
      </c>
      <c r="P67" s="147">
        <v>16.501271688502577</v>
      </c>
      <c r="Q67" s="147">
        <v>21.262656069801121</v>
      </c>
      <c r="R67" s="147">
        <v>0.9182357349998902</v>
      </c>
      <c r="S67" s="147">
        <v>66.290745319241069</v>
      </c>
      <c r="T67" s="146">
        <v>0.19381853732242285</v>
      </c>
      <c r="U67" s="146">
        <v>2.5089112611829608E-2</v>
      </c>
      <c r="V67" s="146">
        <v>2.3190835360523392E-2</v>
      </c>
      <c r="W67" s="146">
        <v>0.13557623813278219</v>
      </c>
      <c r="X67" s="146">
        <v>-2.8154334130633382E-2</v>
      </c>
      <c r="Y67" s="146">
        <v>6.595846366837411E-3</v>
      </c>
      <c r="Z67" s="146">
        <v>6.5958463668374101E-3</v>
      </c>
      <c r="AA67" s="148">
        <v>0.17582372303902696</v>
      </c>
    </row>
    <row r="68" spans="1:27" s="136" customFormat="1" ht="13.2">
      <c r="A68" s="145" t="s">
        <v>696</v>
      </c>
      <c r="B68" s="74">
        <v>326</v>
      </c>
      <c r="C68" s="146">
        <v>6.7453374485596684E-2</v>
      </c>
      <c r="D68" s="146">
        <v>0.11257736658811479</v>
      </c>
      <c r="E68" s="146">
        <v>0.11185676111013582</v>
      </c>
      <c r="F68" s="146">
        <v>0.24549862040910803</v>
      </c>
      <c r="G68" s="147">
        <v>0.90095338579692241</v>
      </c>
      <c r="H68" s="147">
        <v>0.99486811366784356</v>
      </c>
      <c r="I68" s="146">
        <v>0.10257104608610877</v>
      </c>
      <c r="J68" s="146">
        <v>0.31551562219003826</v>
      </c>
      <c r="K68" s="146">
        <v>6.4354999999999996E-2</v>
      </c>
      <c r="L68" s="146">
        <v>0.21268298134588468</v>
      </c>
      <c r="M68" s="146">
        <v>9.0977541070688367E-2</v>
      </c>
      <c r="N68" s="147">
        <v>1.2170497477677571</v>
      </c>
      <c r="O68" s="147">
        <v>2.1605517731648627</v>
      </c>
      <c r="P68" s="147">
        <v>11.793257016689152</v>
      </c>
      <c r="Q68" s="147">
        <v>19.324996402942176</v>
      </c>
      <c r="R68" s="147">
        <v>3.0397868598630815</v>
      </c>
      <c r="S68" s="147">
        <v>65.706363445764978</v>
      </c>
      <c r="T68" s="146">
        <v>0.16351049819930016</v>
      </c>
      <c r="U68" s="146">
        <v>6.2188333287252019E-2</v>
      </c>
      <c r="V68" s="146">
        <v>3.0626786553431828E-2</v>
      </c>
      <c r="W68" s="146">
        <v>0.48285747467219581</v>
      </c>
      <c r="X68" s="146">
        <v>9.4522478036766291E-2</v>
      </c>
      <c r="Y68" s="146">
        <v>0.48688895447622094</v>
      </c>
      <c r="Z68" s="146">
        <v>0.48688895447622094</v>
      </c>
      <c r="AA68" s="148">
        <v>0.10633930550184406</v>
      </c>
    </row>
    <row r="69" spans="1:27" s="136" customFormat="1" ht="13.2">
      <c r="A69" s="145" t="s">
        <v>697</v>
      </c>
      <c r="B69" s="74">
        <v>34</v>
      </c>
      <c r="C69" s="146">
        <v>8.0257586206896547E-2</v>
      </c>
      <c r="D69" s="146">
        <v>0.10234972842353285</v>
      </c>
      <c r="E69" s="146">
        <v>0.23300411586091976</v>
      </c>
      <c r="F69" s="146">
        <v>0.1710653074295285</v>
      </c>
      <c r="G69" s="147">
        <v>1.0857693512076685</v>
      </c>
      <c r="H69" s="147">
        <v>1.1410235796208721</v>
      </c>
      <c r="I69" s="146">
        <v>0.11193961145369791</v>
      </c>
      <c r="J69" s="146">
        <v>0.23429812694853552</v>
      </c>
      <c r="K69" s="146">
        <v>5.8542999999999998E-2</v>
      </c>
      <c r="L69" s="146">
        <v>0.21538998013834518</v>
      </c>
      <c r="M69" s="146">
        <v>9.7245771829478023E-2</v>
      </c>
      <c r="N69" s="147">
        <v>2.6148396847258599</v>
      </c>
      <c r="O69" s="147">
        <v>0.75713755752094347</v>
      </c>
      <c r="P69" s="147">
        <v>8.5181858887897768</v>
      </c>
      <c r="Q69" s="147">
        <v>7.3798604971670621</v>
      </c>
      <c r="R69" s="147">
        <v>1.3386475086303302</v>
      </c>
      <c r="S69" s="147">
        <v>13.499805347113609</v>
      </c>
      <c r="T69" s="146">
        <v>-0.69732768167972958</v>
      </c>
      <c r="U69" s="146">
        <v>6.7383761889283872E-4</v>
      </c>
      <c r="V69" s="146">
        <v>1.8491228366908426E-2</v>
      </c>
      <c r="W69" s="146">
        <v>0.31393549854645547</v>
      </c>
      <c r="X69" s="146">
        <v>0.18999090330907184</v>
      </c>
      <c r="Y69" s="146">
        <v>0.21042384692812818</v>
      </c>
      <c r="Z69" s="146">
        <v>0.21042384692812821</v>
      </c>
      <c r="AA69" s="148">
        <v>0.10227896161981584</v>
      </c>
    </row>
    <row r="70" spans="1:27" s="136" customFormat="1" ht="13.2">
      <c r="A70" s="145" t="s">
        <v>698</v>
      </c>
      <c r="B70" s="74">
        <v>394</v>
      </c>
      <c r="C70" s="146">
        <v>3.6257622377622395E-2</v>
      </c>
      <c r="D70" s="146">
        <v>9.5059010957297074E-2</v>
      </c>
      <c r="E70" s="146">
        <v>0.12877333183735609</v>
      </c>
      <c r="F70" s="146">
        <v>0.19200454245697099</v>
      </c>
      <c r="G70" s="147">
        <v>0.8469120945471883</v>
      </c>
      <c r="H70" s="147">
        <v>0.98015356869100612</v>
      </c>
      <c r="I70" s="146">
        <v>0.1016278437530935</v>
      </c>
      <c r="J70" s="146">
        <v>0.29860207290824436</v>
      </c>
      <c r="K70" s="146">
        <v>6.4354999999999996E-2</v>
      </c>
      <c r="L70" s="146">
        <v>0.21472117827075912</v>
      </c>
      <c r="M70" s="146">
        <v>9.0125760647455311E-2</v>
      </c>
      <c r="N70" s="147">
        <v>1.7170453671868768</v>
      </c>
      <c r="O70" s="147">
        <v>2.6891541496559119</v>
      </c>
      <c r="P70" s="147">
        <v>16.482868061831127</v>
      </c>
      <c r="Q70" s="147">
        <v>29.127158687564183</v>
      </c>
      <c r="R70" s="147">
        <v>9.1911841941799342</v>
      </c>
      <c r="S70" s="147">
        <v>79.594383511185569</v>
      </c>
      <c r="T70" s="146">
        <v>-1.5570926850960377E-2</v>
      </c>
      <c r="U70" s="146">
        <v>4.2112293334399024E-2</v>
      </c>
      <c r="V70" s="146">
        <v>1.6541780294223811E-2</v>
      </c>
      <c r="W70" s="146">
        <v>0.24838257516530921</v>
      </c>
      <c r="X70" s="146">
        <v>0.24646866445962629</v>
      </c>
      <c r="Y70" s="146">
        <v>0.64040252806340148</v>
      </c>
      <c r="Z70" s="146">
        <v>0.64040252806340148</v>
      </c>
      <c r="AA70" s="148">
        <v>8.6895532423177352E-2</v>
      </c>
    </row>
    <row r="71" spans="1:27" s="136" customFormat="1" ht="13.2">
      <c r="A71" s="145" t="s">
        <v>699</v>
      </c>
      <c r="B71" s="74">
        <v>204</v>
      </c>
      <c r="C71" s="146">
        <v>7.3979379310344789E-2</v>
      </c>
      <c r="D71" s="146">
        <v>4.5843634003713857E-2</v>
      </c>
      <c r="E71" s="146">
        <v>0.10481182756223022</v>
      </c>
      <c r="F71" s="146">
        <v>0.22757761647084082</v>
      </c>
      <c r="G71" s="147">
        <v>0.71515265230227731</v>
      </c>
      <c r="H71" s="147">
        <v>0.99841827486990642</v>
      </c>
      <c r="I71" s="146">
        <v>0.10279861141916101</v>
      </c>
      <c r="J71" s="146">
        <v>0.32732613175188169</v>
      </c>
      <c r="K71" s="146">
        <v>6.4354999999999996E-2</v>
      </c>
      <c r="L71" s="146">
        <v>0.38448853694962754</v>
      </c>
      <c r="M71" s="146">
        <v>8.1752363529354222E-2</v>
      </c>
      <c r="N71" s="147">
        <v>2.9249830898771987</v>
      </c>
      <c r="O71" s="147">
        <v>0.76304746263985535</v>
      </c>
      <c r="P71" s="147">
        <v>11.188689690797085</v>
      </c>
      <c r="Q71" s="147">
        <v>16.606135028579907</v>
      </c>
      <c r="R71" s="147">
        <v>3.2512101325430622</v>
      </c>
      <c r="S71" s="147">
        <v>30.238685744862369</v>
      </c>
      <c r="T71" s="146">
        <v>0.10706378902882019</v>
      </c>
      <c r="U71" s="146">
        <v>1.9475688209471428E-2</v>
      </c>
      <c r="V71" s="146">
        <v>1.7281765587046718E-2</v>
      </c>
      <c r="W71" s="146">
        <v>0.82827773689845474</v>
      </c>
      <c r="X71" s="146">
        <v>0.20769252360863635</v>
      </c>
      <c r="Y71" s="146">
        <v>0.26136084734296855</v>
      </c>
      <c r="Z71" s="146">
        <v>0.26136084734296849</v>
      </c>
      <c r="AA71" s="148">
        <v>4.3671243067015302E-2</v>
      </c>
    </row>
    <row r="72" spans="1:27" s="136" customFormat="1" ht="13.2">
      <c r="A72" s="145" t="s">
        <v>700</v>
      </c>
      <c r="B72" s="74">
        <v>120</v>
      </c>
      <c r="C72" s="146">
        <v>5.3912839506172844E-2</v>
      </c>
      <c r="D72" s="146">
        <v>0.10876679058825121</v>
      </c>
      <c r="E72" s="146">
        <v>0.24340786210586771</v>
      </c>
      <c r="F72" s="146">
        <v>0.24354371791455401</v>
      </c>
      <c r="G72" s="147">
        <v>0.96248561606011529</v>
      </c>
      <c r="H72" s="147">
        <v>1.1069063250264495</v>
      </c>
      <c r="I72" s="146">
        <v>0.10975269543419541</v>
      </c>
      <c r="J72" s="146">
        <v>0.30071356129427346</v>
      </c>
      <c r="K72" s="146">
        <v>6.4354999999999996E-2</v>
      </c>
      <c r="L72" s="146">
        <v>0.1864372227857414</v>
      </c>
      <c r="M72" s="146">
        <v>9.8250939172565388E-2</v>
      </c>
      <c r="N72" s="147">
        <v>2.8306543984716921</v>
      </c>
      <c r="O72" s="147">
        <v>1.8618827532091615</v>
      </c>
      <c r="P72" s="147">
        <v>12.924894242121775</v>
      </c>
      <c r="Q72" s="147">
        <v>17.009576813204827</v>
      </c>
      <c r="R72" s="147">
        <v>19.811084981805248</v>
      </c>
      <c r="S72" s="147">
        <v>33.618358654770894</v>
      </c>
      <c r="T72" s="146">
        <v>8.9745026637499711E-2</v>
      </c>
      <c r="U72" s="146">
        <v>2.6357907198269647E-2</v>
      </c>
      <c r="V72" s="146">
        <v>8.4592894467163619E-3</v>
      </c>
      <c r="W72" s="146">
        <v>5.8794934852472773E-2</v>
      </c>
      <c r="X72" s="146">
        <v>0.85228172803753843</v>
      </c>
      <c r="Y72" s="146">
        <v>0.47316731981227778</v>
      </c>
      <c r="Z72" s="146">
        <v>0.47316731981227778</v>
      </c>
      <c r="AA72" s="148">
        <v>0.10736791491467855</v>
      </c>
    </row>
    <row r="73" spans="1:27" s="136" customFormat="1" ht="13.2">
      <c r="A73" s="145" t="s">
        <v>701</v>
      </c>
      <c r="B73" s="74">
        <v>1028</v>
      </c>
      <c r="C73" s="146">
        <v>0.10370086657496561</v>
      </c>
      <c r="D73" s="146">
        <v>5.2198984719087592E-2</v>
      </c>
      <c r="E73" s="146">
        <v>8.7295774312562552E-2</v>
      </c>
      <c r="F73" s="146">
        <v>0.22076759899753468</v>
      </c>
      <c r="G73" s="147">
        <v>0.61072958377877107</v>
      </c>
      <c r="H73" s="147">
        <v>0.80245279768180811</v>
      </c>
      <c r="I73" s="146">
        <v>9.0237224331403909E-2</v>
      </c>
      <c r="J73" s="146">
        <v>0.31082069146992602</v>
      </c>
      <c r="K73" s="146">
        <v>6.4354999999999996E-2</v>
      </c>
      <c r="L73" s="146">
        <v>0.36447404135218536</v>
      </c>
      <c r="M73" s="146">
        <v>7.4864835371168378E-2</v>
      </c>
      <c r="N73" s="147">
        <v>1.9850579256746446</v>
      </c>
      <c r="O73" s="147">
        <v>0.83129637184913086</v>
      </c>
      <c r="P73" s="147">
        <v>11.837965793763221</v>
      </c>
      <c r="Q73" s="147">
        <v>15.170943257568259</v>
      </c>
      <c r="R73" s="147">
        <v>1.6896602976560269</v>
      </c>
      <c r="S73" s="147">
        <v>47.963497120770249</v>
      </c>
      <c r="T73" s="146">
        <v>0.15950699645612898</v>
      </c>
      <c r="U73" s="146">
        <v>2.7385728666768392E-2</v>
      </c>
      <c r="V73" s="146">
        <v>2.7856372186036382E-2</v>
      </c>
      <c r="W73" s="146">
        <v>0.7507573636319772</v>
      </c>
      <c r="X73" s="146">
        <v>0.14332500695587785</v>
      </c>
      <c r="Y73" s="146">
        <v>0.36173027740438013</v>
      </c>
      <c r="Z73" s="146">
        <v>0.36173027740438013</v>
      </c>
      <c r="AA73" s="148">
        <v>5.2591315437977931E-2</v>
      </c>
    </row>
    <row r="74" spans="1:27" s="136" customFormat="1" ht="13.2">
      <c r="A74" s="145" t="s">
        <v>629</v>
      </c>
      <c r="B74" s="74">
        <v>256</v>
      </c>
      <c r="C74" s="146">
        <v>9.6226153846153892E-3</v>
      </c>
      <c r="D74" s="146">
        <v>4.3542241635271928E-2</v>
      </c>
      <c r="E74" s="146">
        <v>8.3478279708728079E-2</v>
      </c>
      <c r="F74" s="146">
        <v>0.19379422929778331</v>
      </c>
      <c r="G74" s="147">
        <v>0.99306784074250753</v>
      </c>
      <c r="H74" s="147">
        <v>1.0856124994038356</v>
      </c>
      <c r="I74" s="146">
        <v>0.10838776121178587</v>
      </c>
      <c r="J74" s="146">
        <v>0.29728382030674882</v>
      </c>
      <c r="K74" s="146">
        <v>6.4354999999999996E-2</v>
      </c>
      <c r="L74" s="146">
        <v>0.16809892942679641</v>
      </c>
      <c r="M74" s="146">
        <v>9.8246781920433096E-2</v>
      </c>
      <c r="N74" s="147">
        <v>2.1335725223471855</v>
      </c>
      <c r="O74" s="147">
        <v>1.4828729592721792</v>
      </c>
      <c r="P74" s="147">
        <v>15.611727952528396</v>
      </c>
      <c r="Q74" s="147">
        <v>34.184988499351469</v>
      </c>
      <c r="R74" s="147">
        <v>4.7814203126748023</v>
      </c>
      <c r="S74" s="147">
        <v>65.253794901275413</v>
      </c>
      <c r="T74" s="146">
        <v>-1.2451183702950721E-2</v>
      </c>
      <c r="U74" s="146">
        <v>4.7244512276556759E-2</v>
      </c>
      <c r="V74" s="146">
        <v>1.9004521712700641E-2</v>
      </c>
      <c r="W74" s="146">
        <v>0.72588271722709041</v>
      </c>
      <c r="X74" s="146">
        <v>0.15077463621146756</v>
      </c>
      <c r="Y74" s="146">
        <v>0.25887617580414168</v>
      </c>
      <c r="Z74" s="146">
        <v>0.25887617580414168</v>
      </c>
      <c r="AA74" s="148">
        <v>4.5982485680762096E-2</v>
      </c>
    </row>
    <row r="75" spans="1:27" s="136" customFormat="1" ht="13.2">
      <c r="A75" s="145" t="s">
        <v>702</v>
      </c>
      <c r="B75" s="74">
        <v>201</v>
      </c>
      <c r="C75" s="146">
        <v>5.3329683544303758E-2</v>
      </c>
      <c r="D75" s="146">
        <v>3.9152682778807624E-2</v>
      </c>
      <c r="E75" s="146">
        <v>0.1088812105703706</v>
      </c>
      <c r="F75" s="146">
        <v>0.23475115944607725</v>
      </c>
      <c r="G75" s="147">
        <v>0.55190516839256454</v>
      </c>
      <c r="H75" s="147">
        <v>0.70568036082683905</v>
      </c>
      <c r="I75" s="146">
        <v>8.4034111129000388E-2</v>
      </c>
      <c r="J75" s="146">
        <v>0.25255189468537254</v>
      </c>
      <c r="K75" s="146">
        <v>6.4354999999999996E-2</v>
      </c>
      <c r="L75" s="146">
        <v>0.33371729426885527</v>
      </c>
      <c r="M75" s="146">
        <v>7.2029032886533673E-2</v>
      </c>
      <c r="N75" s="147">
        <v>3.4246814204206175</v>
      </c>
      <c r="O75" s="147">
        <v>0.62748258027597525</v>
      </c>
      <c r="P75" s="147">
        <v>9.29261974663617</v>
      </c>
      <c r="Q75" s="147">
        <v>15.848493854891704</v>
      </c>
      <c r="R75" s="147">
        <v>2.511722796665512</v>
      </c>
      <c r="S75" s="147">
        <v>40.906368724613998</v>
      </c>
      <c r="T75" s="146">
        <v>-3.0261379667246235E-2</v>
      </c>
      <c r="U75" s="146">
        <v>2.956309714105123E-2</v>
      </c>
      <c r="V75" s="146">
        <v>9.8853473717254604E-3</v>
      </c>
      <c r="W75" s="146">
        <v>0.3000843333618986</v>
      </c>
      <c r="X75" s="146">
        <v>0.10054514265836897</v>
      </c>
      <c r="Y75" s="146">
        <v>0.50215049989591976</v>
      </c>
      <c r="Z75" s="146">
        <v>0.50215049989591976</v>
      </c>
      <c r="AA75" s="148">
        <v>3.9591001476449124E-2</v>
      </c>
    </row>
    <row r="76" spans="1:27" s="136" customFormat="1" ht="13.2">
      <c r="A76" s="145" t="s">
        <v>871</v>
      </c>
      <c r="B76" s="74">
        <v>123</v>
      </c>
      <c r="C76" s="146">
        <v>5.3230485436893182E-2</v>
      </c>
      <c r="D76" s="146">
        <v>0.48374162072210686</v>
      </c>
      <c r="E76" s="146">
        <v>4.4961316107197745E-2</v>
      </c>
      <c r="F76" s="146">
        <v>4.4981924599758999E-2</v>
      </c>
      <c r="G76" s="147">
        <v>0.61480470227742545</v>
      </c>
      <c r="H76" s="147">
        <v>0.94720211763714923</v>
      </c>
      <c r="I76" s="146">
        <v>9.9515655740541276E-2</v>
      </c>
      <c r="J76" s="146">
        <v>0.17432124177759648</v>
      </c>
      <c r="K76" s="146">
        <v>5.8542999999999998E-2</v>
      </c>
      <c r="L76" s="146">
        <v>0.43600243609609307</v>
      </c>
      <c r="M76" s="146">
        <v>7.5188575720272918E-2</v>
      </c>
      <c r="N76" s="147">
        <v>9.8238037992712871E-2</v>
      </c>
      <c r="O76" s="147">
        <v>12.063494268116482</v>
      </c>
      <c r="P76" s="147">
        <v>18.137472907035068</v>
      </c>
      <c r="Q76" s="147">
        <v>22.997222452541262</v>
      </c>
      <c r="R76" s="147">
        <v>1.1688862348470348</v>
      </c>
      <c r="S76" s="147">
        <v>77.557007629367277</v>
      </c>
      <c r="T76" s="146">
        <v>-7.1442705363018263E-2</v>
      </c>
      <c r="U76" s="146">
        <v>3.4648147310819416E-2</v>
      </c>
      <c r="V76" s="146">
        <v>-3.2494460963517484E-2</v>
      </c>
      <c r="W76" s="146">
        <v>-8.5253457323609491E-2</v>
      </c>
      <c r="X76" s="146">
        <v>3.5616724732323912E-2</v>
      </c>
      <c r="Y76" s="146">
        <v>1.6515768649547715</v>
      </c>
      <c r="Z76" s="146">
        <v>1.6515768649547715</v>
      </c>
      <c r="AA76" s="148">
        <v>0.47495564360098541</v>
      </c>
    </row>
    <row r="77" spans="1:27" s="136" customFormat="1" ht="13.2">
      <c r="A77" s="145" t="s">
        <v>703</v>
      </c>
      <c r="B77" s="74">
        <v>639</v>
      </c>
      <c r="C77" s="146">
        <v>5.1914952380952367E-2</v>
      </c>
      <c r="D77" s="146">
        <v>5.0422179072884259E-2</v>
      </c>
      <c r="E77" s="146">
        <v>0.11756426158826139</v>
      </c>
      <c r="F77" s="146">
        <v>0.25216642740714357</v>
      </c>
      <c r="G77" s="147">
        <v>0.98079672894532699</v>
      </c>
      <c r="H77" s="147">
        <v>1.0906405392648795</v>
      </c>
      <c r="I77" s="146">
        <v>0.10871005856687878</v>
      </c>
      <c r="J77" s="146">
        <v>0.33815801390687639</v>
      </c>
      <c r="K77" s="146">
        <v>6.4354999999999996E-2</v>
      </c>
      <c r="L77" s="146">
        <v>0.21088688811216771</v>
      </c>
      <c r="M77" s="146">
        <v>9.5919822670371857E-2</v>
      </c>
      <c r="N77" s="147">
        <v>2.6894797418402403</v>
      </c>
      <c r="O77" s="147">
        <v>1.1241172369518075</v>
      </c>
      <c r="P77" s="147">
        <v>11.714060757610003</v>
      </c>
      <c r="Q77" s="147">
        <v>21.065236561544399</v>
      </c>
      <c r="R77" s="147">
        <v>3.5753490889594213</v>
      </c>
      <c r="S77" s="147">
        <v>48.403695063803546</v>
      </c>
      <c r="T77" s="146">
        <v>6.1325245781905013E-2</v>
      </c>
      <c r="U77" s="146">
        <v>2.2601381462110836E-2</v>
      </c>
      <c r="V77" s="146">
        <v>1.0176207106635242E-2</v>
      </c>
      <c r="W77" s="146">
        <v>0.22248105248757089</v>
      </c>
      <c r="X77" s="146">
        <v>8.2289088114543885E-2</v>
      </c>
      <c r="Y77" s="146">
        <v>0.71101924636845149</v>
      </c>
      <c r="Z77" s="146">
        <v>0.71101924636845149</v>
      </c>
      <c r="AA77" s="148">
        <v>5.1646898824351979E-2</v>
      </c>
    </row>
    <row r="78" spans="1:27" s="136" customFormat="1" ht="13.2">
      <c r="A78" s="145" t="s">
        <v>704</v>
      </c>
      <c r="B78" s="74">
        <v>89</v>
      </c>
      <c r="C78" s="146">
        <v>5.1510142857142831E-2</v>
      </c>
      <c r="D78" s="146">
        <v>8.7797443814186665E-2</v>
      </c>
      <c r="E78" s="146">
        <v>8.670171150271351E-2</v>
      </c>
      <c r="F78" s="146">
        <v>0.22925931428575888</v>
      </c>
      <c r="G78" s="147">
        <v>0.88487723640109006</v>
      </c>
      <c r="H78" s="147">
        <v>1.0447442130882161</v>
      </c>
      <c r="I78" s="146">
        <v>0.10576810405895466</v>
      </c>
      <c r="J78" s="146">
        <v>0.26902119043396677</v>
      </c>
      <c r="K78" s="146">
        <v>6.4354999999999996E-2</v>
      </c>
      <c r="L78" s="146">
        <v>0.29805660736281797</v>
      </c>
      <c r="M78" s="146">
        <v>8.8567915935576877E-2</v>
      </c>
      <c r="N78" s="147">
        <v>1.1842357353944357</v>
      </c>
      <c r="O78" s="147">
        <v>1.0282305738273885</v>
      </c>
      <c r="P78" s="147">
        <v>6.9378826189015257</v>
      </c>
      <c r="Q78" s="147">
        <v>11.448330027422394</v>
      </c>
      <c r="R78" s="147">
        <v>1.2500330822119678</v>
      </c>
      <c r="S78" s="147">
        <v>30.551312070435429</v>
      </c>
      <c r="T78" s="146">
        <v>0.22165245192765948</v>
      </c>
      <c r="U78" s="146">
        <v>6.4270695290518584E-2</v>
      </c>
      <c r="V78" s="146">
        <v>4.0742011539558198E-2</v>
      </c>
      <c r="W78" s="146">
        <v>0.7027237598756656</v>
      </c>
      <c r="X78" s="146">
        <v>9.0156624243509551E-2</v>
      </c>
      <c r="Y78" s="146">
        <v>0.36944271507301674</v>
      </c>
      <c r="Z78" s="146">
        <v>0.36944271507301674</v>
      </c>
      <c r="AA78" s="148">
        <v>8.8400563366041296E-2</v>
      </c>
    </row>
    <row r="79" spans="1:27" s="136" customFormat="1" ht="13.2">
      <c r="A79" s="145" t="s">
        <v>705</v>
      </c>
      <c r="B79" s="74">
        <v>647</v>
      </c>
      <c r="C79" s="146">
        <v>5.7737299107142787E-2</v>
      </c>
      <c r="D79" s="146">
        <v>0.16322682653942908</v>
      </c>
      <c r="E79" s="146">
        <v>0.114165502163095</v>
      </c>
      <c r="F79" s="146">
        <v>0.12199186980792052</v>
      </c>
      <c r="G79" s="147">
        <v>1.6672585627718395</v>
      </c>
      <c r="H79" s="147">
        <v>1.6822579862201206</v>
      </c>
      <c r="I79" s="146">
        <v>0.14663273691670975</v>
      </c>
      <c r="J79" s="146">
        <v>0.34381956656749768</v>
      </c>
      <c r="K79" s="146">
        <v>6.4354999999999996E-2</v>
      </c>
      <c r="L79" s="146">
        <v>7.3734405001800674E-2</v>
      </c>
      <c r="M79" s="146">
        <v>0.13936455796336031</v>
      </c>
      <c r="N79" s="147">
        <v>0.73596655025993429</v>
      </c>
      <c r="O79" s="147">
        <v>6.3251190470549785</v>
      </c>
      <c r="P79" s="147">
        <v>20.981056455013007</v>
      </c>
      <c r="Q79" s="147">
        <v>37.448565489297437</v>
      </c>
      <c r="R79" s="147">
        <v>5.0498851727182403</v>
      </c>
      <c r="S79" s="147">
        <v>110.96534074441951</v>
      </c>
      <c r="T79" s="146">
        <v>0.16662104351990092</v>
      </c>
      <c r="U79" s="146">
        <v>0.20552519176488987</v>
      </c>
      <c r="V79" s="146">
        <v>0.11495413779205406</v>
      </c>
      <c r="W79" s="146">
        <v>0.93435155648783874</v>
      </c>
      <c r="X79" s="146">
        <v>0.12679960999111167</v>
      </c>
      <c r="Y79" s="146">
        <v>0.50892416546552455</v>
      </c>
      <c r="Z79" s="146">
        <v>0.50892416546552455</v>
      </c>
      <c r="AA79" s="148">
        <v>0.16739903396879177</v>
      </c>
    </row>
    <row r="80" spans="1:27" s="136" customFormat="1" ht="13.2">
      <c r="A80" s="145" t="s">
        <v>706</v>
      </c>
      <c r="B80" s="74">
        <v>367</v>
      </c>
      <c r="C80" s="146">
        <v>8.230695312500004E-2</v>
      </c>
      <c r="D80" s="146">
        <v>0.21824208267685807</v>
      </c>
      <c r="E80" s="146">
        <v>0.23276660818443082</v>
      </c>
      <c r="F80" s="146">
        <v>0.15580173596694383</v>
      </c>
      <c r="G80" s="147">
        <v>1.9655187566677479</v>
      </c>
      <c r="H80" s="147">
        <v>1.9544533519177911</v>
      </c>
      <c r="I80" s="146">
        <v>0.16408045985793043</v>
      </c>
      <c r="J80" s="146">
        <v>0.33511289572378489</v>
      </c>
      <c r="K80" s="146">
        <v>6.4354999999999996E-2</v>
      </c>
      <c r="L80" s="146">
        <v>5.8023812386351389E-2</v>
      </c>
      <c r="M80" s="146">
        <v>0.15734852868163274</v>
      </c>
      <c r="N80" s="147">
        <v>1.1814497522995537</v>
      </c>
      <c r="O80" s="147">
        <v>5.1436731551086261</v>
      </c>
      <c r="P80" s="147">
        <v>19.317946832775053</v>
      </c>
      <c r="Q80" s="147">
        <v>23.201206714872182</v>
      </c>
      <c r="R80" s="147">
        <v>6.0204795171718439</v>
      </c>
      <c r="S80" s="147">
        <v>53.586138421172393</v>
      </c>
      <c r="T80" s="146">
        <v>0.31060313147362639</v>
      </c>
      <c r="U80" s="146">
        <v>0.10522991608042923</v>
      </c>
      <c r="V80" s="146">
        <v>8.2087062132810626E-2</v>
      </c>
      <c r="W80" s="146">
        <v>0.60567211669178234</v>
      </c>
      <c r="X80" s="146">
        <v>0.2629036594867058</v>
      </c>
      <c r="Y80" s="146">
        <v>0.28643463629818017</v>
      </c>
      <c r="Z80" s="146">
        <v>0.28643463629818022</v>
      </c>
      <c r="AA80" s="148">
        <v>0.22432131540380976</v>
      </c>
    </row>
    <row r="81" spans="1:27" s="136" customFormat="1" ht="13.2">
      <c r="A81" s="145" t="s">
        <v>707</v>
      </c>
      <c r="B81" s="74">
        <v>348</v>
      </c>
      <c r="C81" s="146">
        <v>8.7350467625899292E-2</v>
      </c>
      <c r="D81" s="146">
        <v>0.17220230906567338</v>
      </c>
      <c r="E81" s="146">
        <v>0.11145415365810689</v>
      </c>
      <c r="F81" s="146">
        <v>0.13252980229125183</v>
      </c>
      <c r="G81" s="147">
        <v>0.86316017623923014</v>
      </c>
      <c r="H81" s="147">
        <v>0.94534794555439916</v>
      </c>
      <c r="I81" s="146">
        <v>9.9396803310036988E-2</v>
      </c>
      <c r="J81" s="146">
        <v>0.29862899830307615</v>
      </c>
      <c r="K81" s="146">
        <v>6.4354999999999996E-2</v>
      </c>
      <c r="L81" s="146">
        <v>0.30865122449384191</v>
      </c>
      <c r="M81" s="146">
        <v>8.3551733023279035E-2</v>
      </c>
      <c r="N81" s="147">
        <v>0.75063573592149446</v>
      </c>
      <c r="O81" s="147">
        <v>1.4812037419285917</v>
      </c>
      <c r="P81" s="147">
        <v>6.1171943683610852</v>
      </c>
      <c r="Q81" s="147">
        <v>8.4464592018993603</v>
      </c>
      <c r="R81" s="147">
        <v>0.95275230704720237</v>
      </c>
      <c r="S81" s="147">
        <v>16.820605028707856</v>
      </c>
      <c r="T81" s="146">
        <v>-4.8828006332957315E-3</v>
      </c>
      <c r="U81" s="146">
        <v>0.10792273114460799</v>
      </c>
      <c r="V81" s="146">
        <v>5.4471599264485013E-2</v>
      </c>
      <c r="W81" s="146">
        <v>0.15408897103284039</v>
      </c>
      <c r="X81" s="146">
        <v>0.13643801936112443</v>
      </c>
      <c r="Y81" s="146">
        <v>0.9844363726578802</v>
      </c>
      <c r="Z81" s="146">
        <v>0.9844363726578802</v>
      </c>
      <c r="AA81" s="148">
        <v>0.17202742276129493</v>
      </c>
    </row>
    <row r="82" spans="1:27" s="136" customFormat="1" ht="13.2">
      <c r="A82" s="145" t="s">
        <v>708</v>
      </c>
      <c r="B82" s="74">
        <v>85</v>
      </c>
      <c r="C82" s="146">
        <v>-1.577904761904762E-2</v>
      </c>
      <c r="D82" s="146">
        <v>9.6810510662738283E-2</v>
      </c>
      <c r="E82" s="146">
        <v>0.15682992610629745</v>
      </c>
      <c r="F82" s="146">
        <v>0.18937093682463682</v>
      </c>
      <c r="G82" s="147">
        <v>0.87217985776557883</v>
      </c>
      <c r="H82" s="147">
        <v>0.89970753820860716</v>
      </c>
      <c r="I82" s="146">
        <v>9.6471253199171714E-2</v>
      </c>
      <c r="J82" s="146">
        <v>0.31722109009264277</v>
      </c>
      <c r="K82" s="146">
        <v>6.4354999999999996E-2</v>
      </c>
      <c r="L82" s="146">
        <v>0.11004901871848087</v>
      </c>
      <c r="M82" s="146">
        <v>9.1143676845062832E-2</v>
      </c>
      <c r="N82" s="147">
        <v>1.8788356569732301</v>
      </c>
      <c r="O82" s="147">
        <v>2.2689859800308474</v>
      </c>
      <c r="P82" s="147">
        <v>17.311594837188313</v>
      </c>
      <c r="Q82" s="147">
        <v>23.138673472383207</v>
      </c>
      <c r="R82" s="147">
        <v>4.8476262794550511</v>
      </c>
      <c r="S82" s="147">
        <v>37.918236607649753</v>
      </c>
      <c r="T82" s="146">
        <v>0.19999599558905151</v>
      </c>
      <c r="U82" s="146">
        <v>1.55448432405021E-2</v>
      </c>
      <c r="V82" s="146">
        <v>-4.8392857594613163E-3</v>
      </c>
      <c r="W82" s="146">
        <v>-0.16076892920930544</v>
      </c>
      <c r="X82" s="146">
        <v>0.18728005326541663</v>
      </c>
      <c r="Y82" s="146">
        <v>0.409713367577831</v>
      </c>
      <c r="Z82" s="146">
        <v>0.40971336757783106</v>
      </c>
      <c r="AA82" s="148">
        <v>9.6829008068406941E-2</v>
      </c>
    </row>
    <row r="83" spans="1:27" s="136" customFormat="1" ht="13.2">
      <c r="A83" s="145" t="s">
        <v>709</v>
      </c>
      <c r="B83" s="74">
        <v>317</v>
      </c>
      <c r="C83" s="146">
        <v>9.0190864197530848E-2</v>
      </c>
      <c r="D83" s="146">
        <v>0.24397492356226416</v>
      </c>
      <c r="E83" s="146">
        <v>0.15958092016299497</v>
      </c>
      <c r="F83" s="146">
        <v>0.16758546169524044</v>
      </c>
      <c r="G83" s="147">
        <v>1.3553519753448988</v>
      </c>
      <c r="H83" s="147">
        <v>1.356775411126699</v>
      </c>
      <c r="I83" s="146">
        <v>0.12576930385322141</v>
      </c>
      <c r="J83" s="146">
        <v>0.43820902465030331</v>
      </c>
      <c r="K83" s="146">
        <v>6.4354999999999996E-2</v>
      </c>
      <c r="L83" s="146">
        <v>4.7797711791041766E-2</v>
      </c>
      <c r="M83" s="146">
        <v>0.12205499195264415</v>
      </c>
      <c r="N83" s="147">
        <v>0.70387222239832015</v>
      </c>
      <c r="O83" s="147">
        <v>5.604623076659677</v>
      </c>
      <c r="P83" s="147">
        <v>17.539469415145657</v>
      </c>
      <c r="Q83" s="147">
        <v>22.713777633858786</v>
      </c>
      <c r="R83" s="147">
        <v>5.1419967098307415</v>
      </c>
      <c r="S83" s="147">
        <v>235.20710735258049</v>
      </c>
      <c r="T83" s="146">
        <v>1.2379849093651437E-2</v>
      </c>
      <c r="U83" s="146">
        <v>0.10657483391064419</v>
      </c>
      <c r="V83" s="146">
        <v>6.939299789868697E-2</v>
      </c>
      <c r="W83" s="146">
        <v>0.40565234355200158</v>
      </c>
      <c r="X83" s="146">
        <v>0.20902108693447324</v>
      </c>
      <c r="Y83" s="146">
        <v>2.7408126710642002E-2</v>
      </c>
      <c r="Z83" s="146">
        <v>2.7408126710641967E-2</v>
      </c>
      <c r="AA83" s="148">
        <v>0.2539681337781789</v>
      </c>
    </row>
    <row r="84" spans="1:27" s="136" customFormat="1" ht="13.2">
      <c r="A84" s="145" t="s">
        <v>710</v>
      </c>
      <c r="B84" s="74">
        <v>151</v>
      </c>
      <c r="C84" s="146">
        <v>0.12337151515151513</v>
      </c>
      <c r="D84" s="146">
        <v>-7.9294626938409911E-4</v>
      </c>
      <c r="E84" s="146">
        <v>1.3073769344178877E-2</v>
      </c>
      <c r="F84" s="146">
        <v>0.19524857352132755</v>
      </c>
      <c r="G84" s="147">
        <v>1.2987745259934129</v>
      </c>
      <c r="H84" s="147">
        <v>1.3617461374106075</v>
      </c>
      <c r="I84" s="146">
        <v>0.12608792740801994</v>
      </c>
      <c r="J84" s="146">
        <v>0.46982264129776768</v>
      </c>
      <c r="K84" s="146">
        <v>6.4354999999999996E-2</v>
      </c>
      <c r="L84" s="146">
        <v>9.9754445779529605E-2</v>
      </c>
      <c r="M84" s="146">
        <v>0.11830432607700352</v>
      </c>
      <c r="N84" s="147">
        <v>0.87876345257354593</v>
      </c>
      <c r="O84" s="147">
        <v>6.0148366414896506</v>
      </c>
      <c r="P84" s="147">
        <v>20.437795067593829</v>
      </c>
      <c r="Q84" s="147" t="s">
        <v>88</v>
      </c>
      <c r="R84" s="147">
        <v>7.9662272263700684</v>
      </c>
      <c r="S84" s="147">
        <v>62.967863533904882</v>
      </c>
      <c r="T84" s="146">
        <v>5.2075579926891651E-2</v>
      </c>
      <c r="U84" s="146">
        <v>5.9528224990847999E-2</v>
      </c>
      <c r="V84" s="146">
        <v>3.3495177178797839E-2</v>
      </c>
      <c r="W84" s="146" t="s">
        <v>88</v>
      </c>
      <c r="X84" s="146">
        <v>-0.10004457144069427</v>
      </c>
      <c r="Y84" s="146">
        <v>3.7426538106636138E-3</v>
      </c>
      <c r="Z84" s="146">
        <v>3.742653810663632E-3</v>
      </c>
      <c r="AA84" s="148">
        <v>1.4866689098504715E-2</v>
      </c>
    </row>
    <row r="85" spans="1:27" s="136" customFormat="1" ht="13.2">
      <c r="A85" s="145" t="s">
        <v>711</v>
      </c>
      <c r="B85" s="74">
        <v>1616</v>
      </c>
      <c r="C85" s="146">
        <v>0.14317631639722875</v>
      </c>
      <c r="D85" s="146">
        <v>0.20245159521759293</v>
      </c>
      <c r="E85" s="146">
        <v>0.18335837660819057</v>
      </c>
      <c r="F85" s="146">
        <v>0.18835127456152267</v>
      </c>
      <c r="G85" s="147">
        <v>1.2856288444138266</v>
      </c>
      <c r="H85" s="147">
        <v>1.2989897339228429</v>
      </c>
      <c r="I85" s="146">
        <v>0.12206524194445424</v>
      </c>
      <c r="J85" s="146">
        <v>0.4359142137619651</v>
      </c>
      <c r="K85" s="146">
        <v>6.4354999999999996E-2</v>
      </c>
      <c r="L85" s="146">
        <v>5.8498553215884722E-2</v>
      </c>
      <c r="M85" s="146">
        <v>0.11773606072885787</v>
      </c>
      <c r="N85" s="147">
        <v>0.93431463114526936</v>
      </c>
      <c r="O85" s="147">
        <v>9.2021360326786397</v>
      </c>
      <c r="P85" s="147">
        <v>28.477414772492736</v>
      </c>
      <c r="Q85" s="147">
        <v>41.069427617896757</v>
      </c>
      <c r="R85" s="147">
        <v>9.1521655273789051</v>
      </c>
      <c r="S85" s="147">
        <v>96.429558616104828</v>
      </c>
      <c r="T85" s="146">
        <v>0.13353321179634459</v>
      </c>
      <c r="U85" s="146">
        <v>7.2338647326731509E-2</v>
      </c>
      <c r="V85" s="146">
        <v>5.885835272308939E-2</v>
      </c>
      <c r="W85" s="146">
        <v>0.47630101656615509</v>
      </c>
      <c r="X85" s="146">
        <v>0.16957095297200736</v>
      </c>
      <c r="Y85" s="146">
        <v>0.32891322539673179</v>
      </c>
      <c r="Z85" s="146">
        <v>0.32891322539673173</v>
      </c>
      <c r="AA85" s="148">
        <v>0.21284947525405351</v>
      </c>
    </row>
    <row r="86" spans="1:27" s="136" customFormat="1" ht="13.2">
      <c r="A86" s="145" t="s">
        <v>712</v>
      </c>
      <c r="B86" s="74">
        <v>718</v>
      </c>
      <c r="C86" s="146">
        <v>8.9877693761814967E-2</v>
      </c>
      <c r="D86" s="146">
        <v>7.1882709961167288E-2</v>
      </c>
      <c r="E86" s="146">
        <v>9.0490646917453205E-2</v>
      </c>
      <c r="F86" s="146">
        <v>0.20410892423422447</v>
      </c>
      <c r="G86" s="147">
        <v>1.0067866757688519</v>
      </c>
      <c r="H86" s="147">
        <v>1.1651510574107116</v>
      </c>
      <c r="I86" s="146">
        <v>0.11348618278002662</v>
      </c>
      <c r="J86" s="146">
        <v>0.32684206346899697</v>
      </c>
      <c r="K86" s="146">
        <v>6.4354999999999996E-2</v>
      </c>
      <c r="L86" s="146">
        <v>0.29282307986344275</v>
      </c>
      <c r="M86" s="146">
        <v>9.4327978381117755E-2</v>
      </c>
      <c r="N86" s="147">
        <v>1.4569431690097083</v>
      </c>
      <c r="O86" s="147">
        <v>0.82345152227004581</v>
      </c>
      <c r="P86" s="147">
        <v>6.8965107139084338</v>
      </c>
      <c r="Q86" s="147">
        <v>10.902342900094519</v>
      </c>
      <c r="R86" s="147">
        <v>1.1441036709966868</v>
      </c>
      <c r="S86" s="147">
        <v>42.976377741324221</v>
      </c>
      <c r="T86" s="146">
        <v>0.14636397364702691</v>
      </c>
      <c r="U86" s="146">
        <v>6.0461241690778378E-2</v>
      </c>
      <c r="V86" s="146">
        <v>3.8355539277544884E-2</v>
      </c>
      <c r="W86" s="146">
        <v>0.53656824682116266</v>
      </c>
      <c r="X86" s="146">
        <v>1.0149487153178553E-4</v>
      </c>
      <c r="Y86" s="146">
        <v>0.5075703862611376</v>
      </c>
      <c r="Z86" s="146">
        <v>0.5075703862611376</v>
      </c>
      <c r="AA86" s="148">
        <v>7.2216297686501715E-2</v>
      </c>
    </row>
    <row r="87" spans="1:27" s="136" customFormat="1" ht="13.2">
      <c r="A87" s="145" t="s">
        <v>713</v>
      </c>
      <c r="B87" s="74">
        <v>98</v>
      </c>
      <c r="C87" s="146">
        <v>5.8909873417721498E-2</v>
      </c>
      <c r="D87" s="146">
        <v>0.14601324969098128</v>
      </c>
      <c r="E87" s="146">
        <v>8.3083945264971149E-2</v>
      </c>
      <c r="F87" s="146">
        <v>0.22352795591870583</v>
      </c>
      <c r="G87" s="147">
        <v>0.65306669844642085</v>
      </c>
      <c r="H87" s="147">
        <v>0.89702716273321603</v>
      </c>
      <c r="I87" s="146">
        <v>9.6299441131199148E-2</v>
      </c>
      <c r="J87" s="146">
        <v>0.29268715180378874</v>
      </c>
      <c r="K87" s="146">
        <v>6.4354999999999996E-2</v>
      </c>
      <c r="L87" s="146">
        <v>0.40042659317895091</v>
      </c>
      <c r="M87" s="146">
        <v>7.6983211796126771E-2</v>
      </c>
      <c r="N87" s="147">
        <v>0.70559134798484269</v>
      </c>
      <c r="O87" s="147">
        <v>2.2521573000348893</v>
      </c>
      <c r="P87" s="147">
        <v>7.3658215226325705</v>
      </c>
      <c r="Q87" s="147">
        <v>15.636398623682114</v>
      </c>
      <c r="R87" s="147">
        <v>1.5396711794028626</v>
      </c>
      <c r="S87" s="147">
        <v>33.140192317051493</v>
      </c>
      <c r="T87" s="146">
        <v>-0.13702130661688386</v>
      </c>
      <c r="U87" s="146">
        <v>0.15233253139594799</v>
      </c>
      <c r="V87" s="146">
        <v>1.5600504167240651E-2</v>
      </c>
      <c r="W87" s="146">
        <v>0.30505836377849721</v>
      </c>
      <c r="X87" s="146">
        <v>8.1817965354738564E-2</v>
      </c>
      <c r="Y87" s="146">
        <v>0.73581410704959538</v>
      </c>
      <c r="Z87" s="146">
        <v>0.73581410704959538</v>
      </c>
      <c r="AA87" s="148">
        <v>0.14327448180824276</v>
      </c>
    </row>
    <row r="88" spans="1:27" s="136" customFormat="1" ht="13.2">
      <c r="A88" s="145" t="s">
        <v>714</v>
      </c>
      <c r="B88" s="74">
        <v>453</v>
      </c>
      <c r="C88" s="146">
        <v>4.597224324324329E-2</v>
      </c>
      <c r="D88" s="146">
        <v>0.10996963575683873</v>
      </c>
      <c r="E88" s="146">
        <v>0.13621198637699081</v>
      </c>
      <c r="F88" s="146">
        <v>0.14782676227475369</v>
      </c>
      <c r="G88" s="147">
        <v>1.1744668677688677</v>
      </c>
      <c r="H88" s="147">
        <v>1.1857162349929411</v>
      </c>
      <c r="I88" s="146">
        <v>0.11480441066304753</v>
      </c>
      <c r="J88" s="146">
        <v>0.36121152315507643</v>
      </c>
      <c r="K88" s="146">
        <v>6.4354999999999996E-2</v>
      </c>
      <c r="L88" s="146">
        <v>0.11422832700367296</v>
      </c>
      <c r="M88" s="146">
        <v>0.10718034416385619</v>
      </c>
      <c r="N88" s="147">
        <v>1.2621053433181886</v>
      </c>
      <c r="O88" s="147">
        <v>2.3180551802022675</v>
      </c>
      <c r="P88" s="147">
        <v>14.280877316972678</v>
      </c>
      <c r="Q88" s="147">
        <v>19.412425519408639</v>
      </c>
      <c r="R88" s="147">
        <v>3.4564201757538724</v>
      </c>
      <c r="S88" s="147">
        <v>120.3162423275964</v>
      </c>
      <c r="T88" s="146">
        <v>0.24675269947327469</v>
      </c>
      <c r="U88" s="146">
        <v>3.1587752026217782E-2</v>
      </c>
      <c r="V88" s="146">
        <v>2.5610341352148031E-2</v>
      </c>
      <c r="W88" s="146">
        <v>0.53624243524757353</v>
      </c>
      <c r="X88" s="146">
        <v>0.12935477470221632</v>
      </c>
      <c r="Y88" s="146">
        <v>0.53281684273348306</v>
      </c>
      <c r="Z88" s="146">
        <v>0.53281684273348306</v>
      </c>
      <c r="AA88" s="148">
        <v>0.11666475116522716</v>
      </c>
    </row>
    <row r="89" spans="1:27" s="136" customFormat="1" ht="13.2">
      <c r="A89" s="145" t="s">
        <v>715</v>
      </c>
      <c r="B89" s="74">
        <v>288</v>
      </c>
      <c r="C89" s="146">
        <v>8.3990325581395367E-2</v>
      </c>
      <c r="D89" s="146">
        <v>0.15465250724642488</v>
      </c>
      <c r="E89" s="146">
        <v>9.5021298524294459E-2</v>
      </c>
      <c r="F89" s="146">
        <v>0.21847468285036423</v>
      </c>
      <c r="G89" s="147">
        <v>0.54380765893084904</v>
      </c>
      <c r="H89" s="147">
        <v>0.84937394426990198</v>
      </c>
      <c r="I89" s="146">
        <v>9.3244869827700722E-2</v>
      </c>
      <c r="J89" s="146">
        <v>0.30131886139364727</v>
      </c>
      <c r="K89" s="146">
        <v>6.4354999999999996E-2</v>
      </c>
      <c r="L89" s="146">
        <v>0.4567224046170274</v>
      </c>
      <c r="M89" s="146">
        <v>7.260807083852093E-2</v>
      </c>
      <c r="N89" s="147">
        <v>0.70336611562835549</v>
      </c>
      <c r="O89" s="147">
        <v>2.1627790318150595</v>
      </c>
      <c r="P89" s="147">
        <v>6.8782617323965098</v>
      </c>
      <c r="Q89" s="147">
        <v>13.871231213040748</v>
      </c>
      <c r="R89" s="147">
        <v>1.3805704498802125</v>
      </c>
      <c r="S89" s="147">
        <v>41.987956622506964</v>
      </c>
      <c r="T89" s="146">
        <v>-2.2673400403473644E-3</v>
      </c>
      <c r="U89" s="146">
        <v>0.1474304776645122</v>
      </c>
      <c r="V89" s="146">
        <v>-1.4085192899059221E-2</v>
      </c>
      <c r="W89" s="146">
        <v>-3.2843039502149902E-2</v>
      </c>
      <c r="X89" s="146">
        <v>7.7965825034149103E-2</v>
      </c>
      <c r="Y89" s="146">
        <v>0.8972629293469917</v>
      </c>
      <c r="Z89" s="146">
        <v>0.8972629293469917</v>
      </c>
      <c r="AA89" s="148">
        <v>0.15572276593304957</v>
      </c>
    </row>
    <row r="90" spans="1:27" s="136" customFormat="1" ht="13.2">
      <c r="A90" s="145" t="s">
        <v>716</v>
      </c>
      <c r="B90" s="74">
        <v>56</v>
      </c>
      <c r="C90" s="146">
        <v>0.17277631578947372</v>
      </c>
      <c r="D90" s="146">
        <v>0.33764511168785427</v>
      </c>
      <c r="E90" s="146">
        <v>0.23171724996207474</v>
      </c>
      <c r="F90" s="146">
        <v>0.22440219224658209</v>
      </c>
      <c r="G90" s="147">
        <v>0.55335166411883363</v>
      </c>
      <c r="H90" s="147">
        <v>0.66681534728718983</v>
      </c>
      <c r="I90" s="146">
        <v>8.1542863761108864E-2</v>
      </c>
      <c r="J90" s="146">
        <v>0.31215895747055444</v>
      </c>
      <c r="K90" s="146">
        <v>6.4354999999999996E-2</v>
      </c>
      <c r="L90" s="146">
        <v>0.24862144645506051</v>
      </c>
      <c r="M90" s="146">
        <v>7.3218383808498447E-2</v>
      </c>
      <c r="N90" s="147">
        <v>0.8277635948646116</v>
      </c>
      <c r="O90" s="147">
        <v>3.4660578760708205</v>
      </c>
      <c r="P90" s="147">
        <v>9.3346134735871527</v>
      </c>
      <c r="Q90" s="147">
        <v>10.23405906734787</v>
      </c>
      <c r="R90" s="147">
        <v>3.1655940261072453</v>
      </c>
      <c r="S90" s="147">
        <v>32.34526176009394</v>
      </c>
      <c r="T90" s="146">
        <v>0.16055763294660799</v>
      </c>
      <c r="U90" s="146">
        <v>2.7943882680795982E-2</v>
      </c>
      <c r="V90" s="146">
        <v>0.12228402836106568</v>
      </c>
      <c r="W90" s="146">
        <v>0.54791425665213866</v>
      </c>
      <c r="X90" s="146">
        <v>0.28431447473661764</v>
      </c>
      <c r="Y90" s="146">
        <v>0.71673295556635852</v>
      </c>
      <c r="Z90" s="146">
        <v>0.71673295556635852</v>
      </c>
      <c r="AA90" s="148">
        <v>0.33880306149315698</v>
      </c>
    </row>
    <row r="91" spans="1:27" s="136" customFormat="1" ht="13.2">
      <c r="A91" s="145" t="s">
        <v>717</v>
      </c>
      <c r="B91" s="74">
        <v>443</v>
      </c>
      <c r="C91" s="146">
        <v>6.5270825082508269E-2</v>
      </c>
      <c r="D91" s="146">
        <v>6.4355017248047569E-2</v>
      </c>
      <c r="E91" s="146">
        <v>8.9344913704578879E-2</v>
      </c>
      <c r="F91" s="146">
        <v>0.22908287037391753</v>
      </c>
      <c r="G91" s="147">
        <v>0.74602085390653117</v>
      </c>
      <c r="H91" s="147">
        <v>0.94087409133081268</v>
      </c>
      <c r="I91" s="146">
        <v>9.9110029254305093E-2</v>
      </c>
      <c r="J91" s="146">
        <v>0.30380702193123765</v>
      </c>
      <c r="K91" s="146">
        <v>6.4354999999999996E-2</v>
      </c>
      <c r="L91" s="146">
        <v>0.32986359315353947</v>
      </c>
      <c r="M91" s="146">
        <v>8.2270586751054961E-2</v>
      </c>
      <c r="N91" s="147">
        <v>1.6277454450437747</v>
      </c>
      <c r="O91" s="147">
        <v>1.2696774679411371</v>
      </c>
      <c r="P91" s="147">
        <v>10.427059495198421</v>
      </c>
      <c r="Q91" s="147">
        <v>18.777765446190777</v>
      </c>
      <c r="R91" s="147">
        <v>2.1765217731429574</v>
      </c>
      <c r="S91" s="147">
        <v>28.201389973861321</v>
      </c>
      <c r="T91" s="146">
        <v>3.6342591389274759E-2</v>
      </c>
      <c r="U91" s="146">
        <v>5.2975156332193803E-2</v>
      </c>
      <c r="V91" s="146">
        <v>1.7747701289386193E-2</v>
      </c>
      <c r="W91" s="146">
        <v>0.28428955472469108</v>
      </c>
      <c r="X91" s="146">
        <v>0.13105569432275921</v>
      </c>
      <c r="Y91" s="146">
        <v>0.50454838789984646</v>
      </c>
      <c r="Z91" s="146">
        <v>0.50454838789984646</v>
      </c>
      <c r="AA91" s="148">
        <v>6.5003302004471866E-2</v>
      </c>
    </row>
    <row r="92" spans="1:27" s="136" customFormat="1" ht="13.2">
      <c r="A92" s="145" t="s">
        <v>718</v>
      </c>
      <c r="B92" s="74">
        <v>49</v>
      </c>
      <c r="C92" s="146">
        <v>-3.0885714285714271E-3</v>
      </c>
      <c r="D92" s="146">
        <v>0.21498144726244753</v>
      </c>
      <c r="E92" s="146">
        <v>6.9119560768903285E-2</v>
      </c>
      <c r="F92" s="146">
        <v>0.24505070391318387</v>
      </c>
      <c r="G92" s="147">
        <v>0.49774817486891265</v>
      </c>
      <c r="H92" s="147">
        <v>0.62873301396022763</v>
      </c>
      <c r="I92" s="146">
        <v>7.9101786194850587E-2</v>
      </c>
      <c r="J92" s="146">
        <v>0.19255174201825431</v>
      </c>
      <c r="K92" s="146">
        <v>5.8542999999999998E-2</v>
      </c>
      <c r="L92" s="146">
        <v>0.2963758386366957</v>
      </c>
      <c r="M92" s="146">
        <v>6.8615453676364013E-2</v>
      </c>
      <c r="N92" s="147">
        <v>0.41782902810812156</v>
      </c>
      <c r="O92" s="147">
        <v>4.3308076668859918</v>
      </c>
      <c r="P92" s="147">
        <v>13.312399536973741</v>
      </c>
      <c r="Q92" s="147">
        <v>19.991498075481339</v>
      </c>
      <c r="R92" s="147">
        <v>2.3646194357101571</v>
      </c>
      <c r="S92" s="147">
        <v>54.741203880677759</v>
      </c>
      <c r="T92" s="146">
        <v>5.7506948181917573E-2</v>
      </c>
      <c r="U92" s="146">
        <v>0.15777752692235822</v>
      </c>
      <c r="V92" s="146">
        <v>9.3695085422432031E-2</v>
      </c>
      <c r="W92" s="146">
        <v>0.59998074725489947</v>
      </c>
      <c r="X92" s="146">
        <v>0.11847480095542914</v>
      </c>
      <c r="Y92" s="146">
        <v>0.40046902958975955</v>
      </c>
      <c r="Z92" s="146">
        <v>0.4004690295897595</v>
      </c>
      <c r="AA92" s="148">
        <v>0.21543368123934659</v>
      </c>
    </row>
    <row r="93" spans="1:27" s="136" customFormat="1" ht="13.2">
      <c r="A93" s="145" t="s">
        <v>719</v>
      </c>
      <c r="B93" s="74">
        <v>106</v>
      </c>
      <c r="C93" s="146">
        <v>3.021282051282051E-2</v>
      </c>
      <c r="D93" s="146">
        <v>8.6002602084205251E-2</v>
      </c>
      <c r="E93" s="146">
        <v>0.11601095133243039</v>
      </c>
      <c r="F93" s="146">
        <v>0.2576812815542906</v>
      </c>
      <c r="G93" s="147">
        <v>0.86855446130273706</v>
      </c>
      <c r="H93" s="147">
        <v>1.0142471138460685</v>
      </c>
      <c r="I93" s="146">
        <v>0.10381323999753299</v>
      </c>
      <c r="J93" s="146">
        <v>0.29115150502982229</v>
      </c>
      <c r="K93" s="146">
        <v>6.4354999999999996E-2</v>
      </c>
      <c r="L93" s="146">
        <v>0.22285087362357622</v>
      </c>
      <c r="M93" s="146">
        <v>9.1388651731912157E-2</v>
      </c>
      <c r="N93" s="147">
        <v>1.6608901785159862</v>
      </c>
      <c r="O93" s="147">
        <v>1.5858226133716178</v>
      </c>
      <c r="P93" s="147">
        <v>9.9759117010960434</v>
      </c>
      <c r="Q93" s="147">
        <v>17.984157510576416</v>
      </c>
      <c r="R93" s="147">
        <v>2.8560845316782566</v>
      </c>
      <c r="S93" s="147">
        <v>27.978465612651178</v>
      </c>
      <c r="T93" s="146">
        <v>6.8875805827141215E-2</v>
      </c>
      <c r="U93" s="146">
        <v>0.11440306207150298</v>
      </c>
      <c r="V93" s="146">
        <v>7.0906288771700798E-2</v>
      </c>
      <c r="W93" s="146">
        <v>1.0534268769842425</v>
      </c>
      <c r="X93" s="146">
        <v>0.12020693727190153</v>
      </c>
      <c r="Y93" s="146">
        <v>0.20666338943773307</v>
      </c>
      <c r="Z93" s="146">
        <v>0.2066633894377331</v>
      </c>
      <c r="AA93" s="148">
        <v>8.7568536221324517E-2</v>
      </c>
    </row>
    <row r="94" spans="1:27" s="136" customFormat="1" ht="13.2">
      <c r="A94" s="145" t="s">
        <v>720</v>
      </c>
      <c r="B94" s="74">
        <v>50</v>
      </c>
      <c r="C94" s="146">
        <v>7.8220444444444454E-2</v>
      </c>
      <c r="D94" s="146">
        <v>0.12264771308987719</v>
      </c>
      <c r="E94" s="146">
        <v>8.3203294891983789E-2</v>
      </c>
      <c r="F94" s="146">
        <v>0.20200998795914918</v>
      </c>
      <c r="G94" s="147">
        <v>0.45062860002415905</v>
      </c>
      <c r="H94" s="147">
        <v>0.68332120062878332</v>
      </c>
      <c r="I94" s="146">
        <v>8.2600888960305013E-2</v>
      </c>
      <c r="J94" s="146">
        <v>0.18493219542658187</v>
      </c>
      <c r="K94" s="146">
        <v>5.8542999999999998E-2</v>
      </c>
      <c r="L94" s="146">
        <v>0.4448745696058084</v>
      </c>
      <c r="M94" s="146">
        <v>6.5303731247185803E-2</v>
      </c>
      <c r="N94" s="147">
        <v>0.81265791645656826</v>
      </c>
      <c r="O94" s="147">
        <v>1.8774889614873251</v>
      </c>
      <c r="P94" s="147">
        <v>9.8576400464813947</v>
      </c>
      <c r="Q94" s="147">
        <v>15.288914408255289</v>
      </c>
      <c r="R94" s="147">
        <v>1.6154897142974749</v>
      </c>
      <c r="S94" s="147">
        <v>20.357420845545533</v>
      </c>
      <c r="T94" s="146">
        <v>-5.9726752264009962E-3</v>
      </c>
      <c r="U94" s="146">
        <v>0.14206470240344746</v>
      </c>
      <c r="V94" s="146">
        <v>7.7470213531287496E-2</v>
      </c>
      <c r="W94" s="146">
        <v>0.78421627401339111</v>
      </c>
      <c r="X94" s="146">
        <v>0.10614481878166145</v>
      </c>
      <c r="Y94" s="146">
        <v>0.66703361608745282</v>
      </c>
      <c r="Z94" s="146">
        <v>0.66703361608745282</v>
      </c>
      <c r="AA94" s="148">
        <v>0.12236645400729415</v>
      </c>
    </row>
    <row r="95" spans="1:27" s="136" customFormat="1" ht="13.2">
      <c r="A95" s="145" t="s">
        <v>721</v>
      </c>
      <c r="B95" s="74">
        <v>102</v>
      </c>
      <c r="C95" s="146">
        <v>6.4320126582278495E-2</v>
      </c>
      <c r="D95" s="146">
        <v>0.23268694623750147</v>
      </c>
      <c r="E95" s="146">
        <v>6.2337784350112523E-2</v>
      </c>
      <c r="F95" s="146">
        <v>0.19785675095563685</v>
      </c>
      <c r="G95" s="147">
        <v>0.42747496428667969</v>
      </c>
      <c r="H95" s="147">
        <v>0.67007062372170156</v>
      </c>
      <c r="I95" s="146">
        <v>8.1751526980561068E-2</v>
      </c>
      <c r="J95" s="146">
        <v>0.23638245507713002</v>
      </c>
      <c r="K95" s="146">
        <v>5.8542999999999998E-2</v>
      </c>
      <c r="L95" s="146">
        <v>0.46441396893036424</v>
      </c>
      <c r="M95" s="146">
        <v>6.4089113908372797E-2</v>
      </c>
      <c r="N95" s="147">
        <v>0.31191832028707533</v>
      </c>
      <c r="O95" s="147">
        <v>4.5867306030722581</v>
      </c>
      <c r="P95" s="147">
        <v>12.671747297577289</v>
      </c>
      <c r="Q95" s="147">
        <v>19.574007838517669</v>
      </c>
      <c r="R95" s="147">
        <v>1.4758103846880881</v>
      </c>
      <c r="S95" s="147">
        <v>26.689561208834526</v>
      </c>
      <c r="T95" s="146">
        <v>7.3514917165189944E-2</v>
      </c>
      <c r="U95" s="146">
        <v>0.22672810101363378</v>
      </c>
      <c r="V95" s="146">
        <v>0.1157283775757966</v>
      </c>
      <c r="W95" s="146">
        <v>0.96245008986535241</v>
      </c>
      <c r="X95" s="146">
        <v>8.6431791752134852E-3</v>
      </c>
      <c r="Y95" s="146">
        <v>0.83290989604815668</v>
      </c>
      <c r="Z95" s="146">
        <v>0.46710436060400684</v>
      </c>
      <c r="AA95" s="148">
        <v>0.23254289553331944</v>
      </c>
    </row>
    <row r="96" spans="1:27" ht="13.2">
      <c r="A96" s="145" t="s">
        <v>987</v>
      </c>
      <c r="B96" s="74">
        <v>47698</v>
      </c>
      <c r="C96" s="146">
        <v>9.2410738289368813E-2</v>
      </c>
      <c r="D96" s="146">
        <v>9.9730113870950973E-2</v>
      </c>
      <c r="E96" s="146">
        <v>6.9405091219880338E-2</v>
      </c>
      <c r="F96" s="146">
        <v>0.21777509398841449</v>
      </c>
      <c r="G96" s="147">
        <v>0.78625535532809476</v>
      </c>
      <c r="H96" s="147">
        <v>1.0126713640221112</v>
      </c>
      <c r="I96" s="146">
        <v>0.10371223443381733</v>
      </c>
      <c r="J96" s="146">
        <v>0.34377339651496613</v>
      </c>
      <c r="K96" s="146">
        <v>6.4354999999999996E-2</v>
      </c>
      <c r="L96" s="146">
        <v>0.38429196179492087</v>
      </c>
      <c r="M96" s="146">
        <v>8.2325648752650832E-2</v>
      </c>
      <c r="N96" s="147">
        <v>0.7855098642027194</v>
      </c>
      <c r="O96" s="147">
        <v>2.3247142544915254</v>
      </c>
      <c r="P96" s="147">
        <v>12.637940500302095</v>
      </c>
      <c r="Q96" s="147">
        <v>18.943156174827294</v>
      </c>
      <c r="R96" s="147">
        <v>2.0947026740752137</v>
      </c>
      <c r="S96" s="147">
        <v>69.346312639221054</v>
      </c>
      <c r="T96" s="146">
        <v>-1.1741621987258182</v>
      </c>
      <c r="U96" s="146">
        <v>5.920970311575726E-2</v>
      </c>
      <c r="V96" s="146">
        <v>3.2414584278486099E-2</v>
      </c>
      <c r="W96" s="146">
        <v>0.50131974699096593</v>
      </c>
      <c r="X96" s="146">
        <v>8.6431791752134852E-3</v>
      </c>
      <c r="Y96" s="146">
        <v>0.46710436060400684</v>
      </c>
      <c r="Z96" s="146">
        <v>0.46710436060400684</v>
      </c>
      <c r="AA96" s="148">
        <v>0.10079068098279807</v>
      </c>
    </row>
    <row r="97" spans="1:27" ht="13.2">
      <c r="A97" s="145" t="s">
        <v>986</v>
      </c>
      <c r="B97" s="74">
        <v>42566</v>
      </c>
      <c r="C97" s="146">
        <v>9.014652492930246E-2</v>
      </c>
      <c r="D97" s="146">
        <v>0.1040142263401258</v>
      </c>
      <c r="E97" s="146">
        <v>0.11066121900138588</v>
      </c>
      <c r="F97" s="146">
        <v>0.22913282338577817</v>
      </c>
      <c r="G97" s="147">
        <v>0.90502934998594098</v>
      </c>
      <c r="H97" s="147">
        <v>1.0400974791141913</v>
      </c>
      <c r="I97" s="146">
        <v>0.10547024841121967</v>
      </c>
      <c r="J97" s="146">
        <v>0.35181117679818019</v>
      </c>
      <c r="K97" s="146">
        <v>6.4354999999999996E-2</v>
      </c>
      <c r="L97" s="146">
        <v>0.2365927927390806</v>
      </c>
      <c r="M97" s="146">
        <v>9.1887471697901763E-2</v>
      </c>
      <c r="N97" s="147">
        <v>1.1967894578056688</v>
      </c>
      <c r="O97" s="147">
        <v>1.9179992146300602</v>
      </c>
      <c r="P97" s="147">
        <v>11.564480426364062</v>
      </c>
      <c r="Q97" s="147">
        <v>17.591607430516678</v>
      </c>
      <c r="R97" s="147">
        <v>2.4768948341486112</v>
      </c>
      <c r="S97" s="147">
        <v>71.796555234133365</v>
      </c>
      <c r="T97" s="146">
        <v>0.11572587399830581</v>
      </c>
      <c r="U97" s="146">
        <v>6.3841335465920968E-2</v>
      </c>
      <c r="V97" s="146">
        <v>3.5140728129397371E-2</v>
      </c>
      <c r="W97" s="146">
        <v>0.51934681632014701</v>
      </c>
      <c r="X97" s="146">
        <v>6.2880251225591764E-3</v>
      </c>
      <c r="Y97" s="146">
        <v>0.52041903036254289</v>
      </c>
      <c r="Z97" s="146">
        <v>0.52041903036254289</v>
      </c>
      <c r="AA97" s="148">
        <v>0.10518808980286382</v>
      </c>
    </row>
  </sheetData>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97"/>
  <sheetViews>
    <sheetView workbookViewId="0">
      <selection activeCell="A3" sqref="A3:XFD97"/>
    </sheetView>
  </sheetViews>
  <sheetFormatPr defaultColWidth="11" defaultRowHeight="11.4"/>
  <cols>
    <col min="1" max="1" width="41" customWidth="1"/>
    <col min="3" max="18" width="14.875" customWidth="1"/>
  </cols>
  <sheetData>
    <row r="1" spans="1:20" s="2" customFormat="1" ht="15.6">
      <c r="A1" s="341"/>
      <c r="B1" s="149"/>
      <c r="C1" s="659" t="s">
        <v>821</v>
      </c>
      <c r="D1" s="659"/>
      <c r="E1" s="659"/>
      <c r="F1" s="659" t="s">
        <v>822</v>
      </c>
      <c r="G1" s="659"/>
      <c r="H1" s="659"/>
      <c r="I1" s="660" t="s">
        <v>823</v>
      </c>
      <c r="J1" s="660"/>
      <c r="K1" s="660"/>
      <c r="L1" s="659" t="s">
        <v>534</v>
      </c>
      <c r="M1" s="659"/>
      <c r="N1" s="659"/>
      <c r="O1" s="149" t="s">
        <v>447</v>
      </c>
      <c r="P1" s="659" t="s">
        <v>824</v>
      </c>
      <c r="Q1" s="659"/>
      <c r="R1" s="659"/>
    </row>
    <row r="2" spans="1:20" ht="31.2">
      <c r="A2" s="339" t="s">
        <v>825</v>
      </c>
      <c r="B2" s="340" t="s">
        <v>826</v>
      </c>
      <c r="C2" s="340" t="s">
        <v>827</v>
      </c>
      <c r="D2" s="340" t="s">
        <v>738</v>
      </c>
      <c r="E2" s="340" t="s">
        <v>739</v>
      </c>
      <c r="F2" s="340" t="s">
        <v>827</v>
      </c>
      <c r="G2" s="340" t="s">
        <v>738</v>
      </c>
      <c r="H2" s="340" t="s">
        <v>739</v>
      </c>
      <c r="I2" s="340" t="s">
        <v>827</v>
      </c>
      <c r="J2" s="340" t="s">
        <v>738</v>
      </c>
      <c r="K2" s="340" t="s">
        <v>739</v>
      </c>
      <c r="L2" s="340" t="s">
        <v>827</v>
      </c>
      <c r="M2" s="340" t="s">
        <v>738</v>
      </c>
      <c r="N2" s="340" t="s">
        <v>739</v>
      </c>
      <c r="O2" s="340" t="s">
        <v>828</v>
      </c>
      <c r="P2" s="340" t="s">
        <v>827</v>
      </c>
      <c r="Q2" s="340" t="s">
        <v>738</v>
      </c>
      <c r="R2" s="340" t="s">
        <v>739</v>
      </c>
    </row>
    <row r="3" spans="1:20">
      <c r="A3" s="374" t="s">
        <v>87</v>
      </c>
      <c r="B3" s="375">
        <v>391</v>
      </c>
      <c r="C3" s="376">
        <v>-2.2700000000000001E-2</v>
      </c>
      <c r="D3" s="376">
        <v>7.9300000000000009E-2</v>
      </c>
      <c r="E3" s="376">
        <v>0.20699999999999999</v>
      </c>
      <c r="F3" s="376">
        <v>-5.1633986928104572E-2</v>
      </c>
      <c r="G3" s="376">
        <v>3.5119047619047619E-2</v>
      </c>
      <c r="H3" s="376">
        <v>9.8708288482238976E-2</v>
      </c>
      <c r="I3" s="377">
        <v>1.39654463183875</v>
      </c>
      <c r="J3" s="377">
        <v>3.16931982633864</v>
      </c>
      <c r="K3" s="377">
        <v>6.7938931297709937</v>
      </c>
      <c r="L3" s="378">
        <v>9.8368913154385867E-2</v>
      </c>
      <c r="M3" s="378">
        <v>0.1051764252570819</v>
      </c>
      <c r="N3" s="378">
        <v>0.1073344164058349</v>
      </c>
      <c r="O3" s="377">
        <v>0.64404645345996914</v>
      </c>
      <c r="P3" s="377">
        <v>1.2031445633027009</v>
      </c>
      <c r="Q3" s="377">
        <v>1.825686817107774</v>
      </c>
      <c r="R3" s="378">
        <v>8.7259590605014703E-3</v>
      </c>
      <c r="S3" s="378">
        <v>9.1552857865452725E-2</v>
      </c>
      <c r="T3" s="378">
        <v>0.28106528422796612</v>
      </c>
    </row>
    <row r="4" spans="1:20">
      <c r="A4" s="374" t="s">
        <v>638</v>
      </c>
      <c r="B4" s="375">
        <v>289</v>
      </c>
      <c r="C4" s="376">
        <v>2.6800000000000001E-3</v>
      </c>
      <c r="D4" s="376">
        <v>6.13E-2</v>
      </c>
      <c r="E4" s="376">
        <v>0.16700000000000001</v>
      </c>
      <c r="F4" s="376">
        <v>-6.3316944413315049E-2</v>
      </c>
      <c r="G4" s="376">
        <v>5.947497949138638E-2</v>
      </c>
      <c r="H4" s="376">
        <v>0.1221449851042701</v>
      </c>
      <c r="I4" s="377">
        <v>0.5795037109228578</v>
      </c>
      <c r="J4" s="377">
        <v>1.2162067352946451</v>
      </c>
      <c r="K4" s="377">
        <v>2.1735731039874899</v>
      </c>
      <c r="L4" s="378">
        <v>7.9271238199833033E-2</v>
      </c>
      <c r="M4" s="378">
        <v>8.5859806946517986E-2</v>
      </c>
      <c r="N4" s="378">
        <v>8.8884289652309531E-2</v>
      </c>
      <c r="O4" s="377">
        <v>0.50679933897897445</v>
      </c>
      <c r="P4" s="377">
        <v>0.92591218188963786</v>
      </c>
      <c r="Q4" s="377">
        <v>1.42046891056622</v>
      </c>
      <c r="R4" s="378">
        <v>1.17500141908384E-2</v>
      </c>
      <c r="S4" s="378">
        <v>9.7744360902255634E-2</v>
      </c>
      <c r="T4" s="378">
        <v>0.2356830085000429</v>
      </c>
    </row>
    <row r="5" spans="1:20">
      <c r="A5" s="374" t="s">
        <v>639</v>
      </c>
      <c r="B5" s="375">
        <v>155</v>
      </c>
      <c r="C5" s="376">
        <v>9.2100000000000015E-2</v>
      </c>
      <c r="D5" s="376">
        <v>0.188</v>
      </c>
      <c r="E5" s="376">
        <v>0.311</v>
      </c>
      <c r="F5" s="376">
        <v>-3.3665262351589433E-2</v>
      </c>
      <c r="G5" s="376">
        <v>8.6426014615391789E-2</v>
      </c>
      <c r="H5" s="376">
        <v>0.15355805243445689</v>
      </c>
      <c r="I5" s="377">
        <v>0.48226149534892232</v>
      </c>
      <c r="J5" s="377">
        <v>0.98182341102889681</v>
      </c>
      <c r="K5" s="377">
        <v>2.1586646661665418</v>
      </c>
      <c r="L5" s="378">
        <v>7.5486342708616927E-2</v>
      </c>
      <c r="M5" s="378">
        <v>8.078841968038647E-2</v>
      </c>
      <c r="N5" s="378">
        <v>9.5110904223329629E-2</v>
      </c>
      <c r="O5" s="377">
        <v>0.77849644793951789</v>
      </c>
      <c r="P5" s="377">
        <v>1.2407132337390749</v>
      </c>
      <c r="Q5" s="377">
        <v>1.6762918752643361</v>
      </c>
      <c r="R5" s="378">
        <v>0.15363174678162281</v>
      </c>
      <c r="S5" s="378">
        <v>0.43675793554640169</v>
      </c>
      <c r="T5" s="378">
        <v>0.62652889076339102</v>
      </c>
    </row>
    <row r="6" spans="1:20">
      <c r="A6" s="374" t="s">
        <v>640</v>
      </c>
      <c r="B6" s="375">
        <v>1152</v>
      </c>
      <c r="C6" s="376">
        <v>-1.1900000000000001E-2</v>
      </c>
      <c r="D6" s="376">
        <v>8.0299999999999996E-2</v>
      </c>
      <c r="E6" s="376">
        <v>0.20499999999999999</v>
      </c>
      <c r="F6" s="376">
        <v>-2.9923664218982259E-2</v>
      </c>
      <c r="G6" s="376">
        <v>3.8841807909604523E-2</v>
      </c>
      <c r="H6" s="376">
        <v>9.1279392705054613E-2</v>
      </c>
      <c r="I6" s="377">
        <v>0.64100737870715918</v>
      </c>
      <c r="J6" s="377">
        <v>1.214144230063825</v>
      </c>
      <c r="K6" s="377">
        <v>1.832142949870966</v>
      </c>
      <c r="L6" s="378">
        <v>8.0993989669333605E-2</v>
      </c>
      <c r="M6" s="378">
        <v>9.6238828393622244E-2</v>
      </c>
      <c r="N6" s="378">
        <v>9.9228700048922966E-2</v>
      </c>
      <c r="O6" s="377">
        <v>0.31337176684613482</v>
      </c>
      <c r="P6" s="377">
        <v>0.78843209721222962</v>
      </c>
      <c r="Q6" s="377">
        <v>1.304485262547038</v>
      </c>
      <c r="R6" s="378">
        <v>5.9593523940750938E-2</v>
      </c>
      <c r="S6" s="378">
        <v>0.2344753747323341</v>
      </c>
      <c r="T6" s="378">
        <v>0.51264044943820219</v>
      </c>
    </row>
    <row r="7" spans="1:20">
      <c r="A7" s="374" t="s">
        <v>641</v>
      </c>
      <c r="B7" s="375">
        <v>165</v>
      </c>
      <c r="C7" s="376">
        <v>4.3400000000000001E-2</v>
      </c>
      <c r="D7" s="376">
        <v>0.153</v>
      </c>
      <c r="E7" s="376">
        <v>0.24299999999999999</v>
      </c>
      <c r="F7" s="376">
        <v>-0.25438100621820242</v>
      </c>
      <c r="G7" s="376">
        <v>3.2249786142001712E-2</v>
      </c>
      <c r="H7" s="376">
        <v>8.5247446983405528E-2</v>
      </c>
      <c r="I7" s="377">
        <v>0.59156382706218424</v>
      </c>
      <c r="J7" s="377">
        <v>1.3672721945502491</v>
      </c>
      <c r="K7" s="377">
        <v>2.877554177724357</v>
      </c>
      <c r="L7" s="378">
        <v>8.5515379882284998E-2</v>
      </c>
      <c r="M7" s="378">
        <v>9.3588292440661039E-2</v>
      </c>
      <c r="N7" s="378">
        <v>9.926696977187735E-2</v>
      </c>
      <c r="O7" s="377">
        <v>0.8500670587943352</v>
      </c>
      <c r="P7" s="377">
        <v>1.391400674129436</v>
      </c>
      <c r="Q7" s="377">
        <v>1.824495963419501</v>
      </c>
      <c r="R7" s="378">
        <v>1.2847363320934011E-2</v>
      </c>
      <c r="S7" s="378">
        <v>0.13077098293439421</v>
      </c>
      <c r="T7" s="378">
        <v>0.37923897468555962</v>
      </c>
    </row>
    <row r="8" spans="1:20">
      <c r="A8" s="374" t="s">
        <v>642</v>
      </c>
      <c r="B8" s="375">
        <v>761</v>
      </c>
      <c r="C8" s="376">
        <v>7.7499999999999999E-2</v>
      </c>
      <c r="D8" s="376">
        <v>0.13300000000000001</v>
      </c>
      <c r="E8" s="376">
        <v>0.217</v>
      </c>
      <c r="F8" s="376">
        <v>1.7917865550614701E-2</v>
      </c>
      <c r="G8" s="376">
        <v>4.7520184544405999E-2</v>
      </c>
      <c r="H8" s="376">
        <v>8.7266957556525193E-2</v>
      </c>
      <c r="I8" s="377">
        <v>1.004318322023442</v>
      </c>
      <c r="J8" s="377">
        <v>1.6017003668480629</v>
      </c>
      <c r="K8" s="377">
        <v>2.360748843079512</v>
      </c>
      <c r="L8" s="378">
        <v>9.7752783671298915E-2</v>
      </c>
      <c r="M8" s="378">
        <v>0.1035398625191708</v>
      </c>
      <c r="N8" s="378">
        <v>0.1058675598881899</v>
      </c>
      <c r="O8" s="377">
        <v>0.83343193322942499</v>
      </c>
      <c r="P8" s="377">
        <v>1.2326263770775929</v>
      </c>
      <c r="Q8" s="377">
        <v>1.7032182941532601</v>
      </c>
      <c r="R8" s="378">
        <v>4.6287868937719412E-2</v>
      </c>
      <c r="S8" s="378">
        <v>0.18155644739138019</v>
      </c>
      <c r="T8" s="378">
        <v>0.41995532390171247</v>
      </c>
    </row>
    <row r="9" spans="1:20">
      <c r="A9" s="374" t="s">
        <v>643</v>
      </c>
      <c r="B9" s="375">
        <v>607</v>
      </c>
      <c r="C9" s="376">
        <v>8.2299999999999998E-2</v>
      </c>
      <c r="D9" s="376">
        <v>0.14199999999999999</v>
      </c>
      <c r="E9" s="376">
        <v>0.23899999999999999</v>
      </c>
      <c r="F9" s="376">
        <v>0</v>
      </c>
      <c r="G9" s="376">
        <v>0</v>
      </c>
      <c r="H9" s="376">
        <v>0</v>
      </c>
      <c r="I9" s="377">
        <v>0.14832233675880721</v>
      </c>
      <c r="J9" s="377">
        <v>0.25302318964290788</v>
      </c>
      <c r="K9" s="377">
        <v>0.47250592741200081</v>
      </c>
      <c r="L9" s="378">
        <v>6.1057184602870657E-2</v>
      </c>
      <c r="M9" s="378">
        <v>7.035018296351489E-2</v>
      </c>
      <c r="N9" s="378">
        <v>9.3087082322959355E-2</v>
      </c>
      <c r="O9" s="377">
        <v>0.26227643226427888</v>
      </c>
      <c r="P9" s="377">
        <v>0.83581184900367467</v>
      </c>
      <c r="Q9" s="377">
        <v>1.3217032246280911</v>
      </c>
      <c r="R9" s="378">
        <v>0.24816504661773461</v>
      </c>
      <c r="S9" s="378">
        <v>0.52342237347132226</v>
      </c>
      <c r="T9" s="378">
        <v>0.71974503894703401</v>
      </c>
    </row>
    <row r="10" spans="1:20">
      <c r="A10" s="374" t="s">
        <v>644</v>
      </c>
      <c r="B10" s="375">
        <v>881</v>
      </c>
      <c r="C10" s="376">
        <v>4.4400000000000002E-2</v>
      </c>
      <c r="D10" s="376">
        <v>9.1300000000000006E-2</v>
      </c>
      <c r="E10" s="376">
        <v>0.154</v>
      </c>
      <c r="F10" s="376">
        <v>0</v>
      </c>
      <c r="G10" s="376">
        <v>0</v>
      </c>
      <c r="H10" s="376">
        <v>1.1762702601801601E-3</v>
      </c>
      <c r="I10" s="377">
        <v>0.1858490566037736</v>
      </c>
      <c r="J10" s="377">
        <v>0.36245902598688501</v>
      </c>
      <c r="K10" s="377">
        <v>0.64026206800093544</v>
      </c>
      <c r="L10" s="378">
        <v>4.8812199519696023E-2</v>
      </c>
      <c r="M10" s="378">
        <v>5.0690933269209787E-2</v>
      </c>
      <c r="N10" s="378">
        <v>5.2263341917383903E-2</v>
      </c>
      <c r="O10" s="377">
        <v>0.20576876563708379</v>
      </c>
      <c r="P10" s="377">
        <v>0.44183421016873231</v>
      </c>
      <c r="Q10" s="377">
        <v>0.75755964088228867</v>
      </c>
      <c r="R10" s="378">
        <v>0.1392448709790364</v>
      </c>
      <c r="S10" s="378">
        <v>0.40390391060361019</v>
      </c>
      <c r="T10" s="378">
        <v>0.64856573799903994</v>
      </c>
    </row>
    <row r="11" spans="1:20">
      <c r="A11" s="374" t="s">
        <v>645</v>
      </c>
      <c r="B11" s="375">
        <v>220</v>
      </c>
      <c r="C11" s="376">
        <v>4.6199999999999998E-2</v>
      </c>
      <c r="D11" s="376">
        <v>0.104</v>
      </c>
      <c r="E11" s="376">
        <v>0.18</v>
      </c>
      <c r="F11" s="376">
        <v>1.8807906114885729E-2</v>
      </c>
      <c r="G11" s="376">
        <v>8.4073416222616923E-2</v>
      </c>
      <c r="H11" s="376">
        <v>0.19276317571420831</v>
      </c>
      <c r="I11" s="377">
        <v>0.59735066233441625</v>
      </c>
      <c r="J11" s="377">
        <v>1.099201909916441</v>
      </c>
      <c r="K11" s="377">
        <v>2.2064186725018242</v>
      </c>
      <c r="L11" s="378">
        <v>7.0590254258967533E-2</v>
      </c>
      <c r="M11" s="378">
        <v>7.7635008507330794E-2</v>
      </c>
      <c r="N11" s="378">
        <v>9.2296428072726297E-2</v>
      </c>
      <c r="O11" s="377">
        <v>0.33462101483050921</v>
      </c>
      <c r="P11" s="377">
        <v>0.71499469617823153</v>
      </c>
      <c r="Q11" s="377">
        <v>1.0818417133804721</v>
      </c>
      <c r="R11" s="378">
        <v>1.5985313736090641E-3</v>
      </c>
      <c r="S11" s="378">
        <v>6.2278575424202877E-2</v>
      </c>
      <c r="T11" s="378">
        <v>0.25914833879270011</v>
      </c>
    </row>
    <row r="12" spans="1:20">
      <c r="A12" s="374" t="s">
        <v>646</v>
      </c>
      <c r="B12" s="375">
        <v>100</v>
      </c>
      <c r="C12" s="376">
        <v>3.9399999999999998E-2</v>
      </c>
      <c r="D12" s="376">
        <v>9.9100000000000008E-2</v>
      </c>
      <c r="E12" s="376">
        <v>0.161</v>
      </c>
      <c r="F12" s="376">
        <v>-0.15729530546076209</v>
      </c>
      <c r="G12" s="376">
        <v>6.9186223712282835E-2</v>
      </c>
      <c r="H12" s="376">
        <v>0.12481613784408491</v>
      </c>
      <c r="I12" s="377">
        <v>1.2203143072819509</v>
      </c>
      <c r="J12" s="377">
        <v>1.8078935434307331</v>
      </c>
      <c r="K12" s="377">
        <v>2.881905298759865</v>
      </c>
      <c r="L12" s="378">
        <v>6.898751822706016E-2</v>
      </c>
      <c r="M12" s="378">
        <v>7.4663148247883365E-2</v>
      </c>
      <c r="N12" s="378">
        <v>8.4541278163389091E-2</v>
      </c>
      <c r="O12" s="377">
        <v>0.22786479295701201</v>
      </c>
      <c r="P12" s="377">
        <v>0.60046732075616294</v>
      </c>
      <c r="Q12" s="377">
        <v>0.96094380414422009</v>
      </c>
      <c r="R12" s="378">
        <v>6.9323618443652736E-3</v>
      </c>
      <c r="S12" s="378">
        <v>6.9020997690833294E-2</v>
      </c>
      <c r="T12" s="378">
        <v>0.31843427664638979</v>
      </c>
    </row>
    <row r="13" spans="1:20">
      <c r="A13" s="374" t="s">
        <v>647</v>
      </c>
      <c r="B13" s="375">
        <v>130</v>
      </c>
      <c r="C13" s="376">
        <v>-1.9499999999999999E-3</v>
      </c>
      <c r="D13" s="376">
        <v>4.5199999999999997E-2</v>
      </c>
      <c r="E13" s="376">
        <v>9.1199999999999989E-2</v>
      </c>
      <c r="F13" s="376">
        <v>-2.5093167701863359E-2</v>
      </c>
      <c r="G13" s="376">
        <v>5.3386867847322092E-2</v>
      </c>
      <c r="H13" s="376">
        <v>0.12275574112734861</v>
      </c>
      <c r="I13" s="377">
        <v>0.62006682922423917</v>
      </c>
      <c r="J13" s="377">
        <v>0.97970830691185806</v>
      </c>
      <c r="K13" s="377">
        <v>1.7490027615833079</v>
      </c>
      <c r="L13" s="378">
        <v>7.3671985896871503E-2</v>
      </c>
      <c r="M13" s="378">
        <v>7.7105048894718128E-2</v>
      </c>
      <c r="N13" s="378">
        <v>9.0980390496240335E-2</v>
      </c>
      <c r="O13" s="377">
        <v>0.5050759990877971</v>
      </c>
      <c r="P13" s="377">
        <v>1.021566703669367</v>
      </c>
      <c r="Q13" s="377">
        <v>1.5082100492417001</v>
      </c>
      <c r="R13" s="378">
        <v>4.0979425267811599E-2</v>
      </c>
      <c r="S13" s="378">
        <v>0.27675555555555559</v>
      </c>
      <c r="T13" s="378">
        <v>0.58266641995896939</v>
      </c>
    </row>
    <row r="14" spans="1:20">
      <c r="A14" s="374" t="s">
        <v>648</v>
      </c>
      <c r="B14" s="375">
        <v>590</v>
      </c>
      <c r="C14" s="376">
        <v>-3.7999999999999999E-2</v>
      </c>
      <c r="D14" s="376">
        <v>7.22E-2</v>
      </c>
      <c r="E14" s="376">
        <v>0.253</v>
      </c>
      <c r="F14" s="376">
        <v>0</v>
      </c>
      <c r="G14" s="376">
        <v>0</v>
      </c>
      <c r="H14" s="376">
        <v>0</v>
      </c>
      <c r="I14" s="377">
        <v>7.4910107870555326E-2</v>
      </c>
      <c r="J14" s="377">
        <v>0.22056464549246069</v>
      </c>
      <c r="K14" s="377">
        <v>0.83927016342135019</v>
      </c>
      <c r="L14" s="378">
        <v>5.9162074852326788E-2</v>
      </c>
      <c r="M14" s="378">
        <v>6.7316646960988935E-2</v>
      </c>
      <c r="N14" s="378">
        <v>7.0016294606005586E-2</v>
      </c>
      <c r="O14" s="377">
        <v>0.34934816903008681</v>
      </c>
      <c r="P14" s="377">
        <v>0.91188621511010148</v>
      </c>
      <c r="Q14" s="377">
        <v>1.454565665453819</v>
      </c>
      <c r="R14" s="378">
        <v>7.2254335260115614E-3</v>
      </c>
      <c r="S14" s="378">
        <v>0.14216163583252189</v>
      </c>
      <c r="T14" s="378">
        <v>0.535271943995692</v>
      </c>
    </row>
    <row r="15" spans="1:20">
      <c r="A15" s="374" t="s">
        <v>649</v>
      </c>
      <c r="B15" s="375">
        <v>457</v>
      </c>
      <c r="C15" s="376">
        <v>1.9699999999999999E-2</v>
      </c>
      <c r="D15" s="376">
        <v>9.1300000000000006E-2</v>
      </c>
      <c r="E15" s="376">
        <v>0.16900000000000001</v>
      </c>
      <c r="F15" s="376">
        <v>1.1531220583620961E-2</v>
      </c>
      <c r="G15" s="376">
        <v>6.788685524126456E-2</v>
      </c>
      <c r="H15" s="376">
        <v>0.1223618090452261</v>
      </c>
      <c r="I15" s="377">
        <v>0.90460112342306387</v>
      </c>
      <c r="J15" s="377">
        <v>1.4188241639697949</v>
      </c>
      <c r="K15" s="377">
        <v>2.2801180574188362</v>
      </c>
      <c r="L15" s="378">
        <v>8.4055881202148186E-2</v>
      </c>
      <c r="M15" s="378">
        <v>8.9746098467981844E-2</v>
      </c>
      <c r="N15" s="378">
        <v>0.1067230932795727</v>
      </c>
      <c r="O15" s="377">
        <v>0.50361931965709406</v>
      </c>
      <c r="P15" s="377">
        <v>0.97479407324890321</v>
      </c>
      <c r="Q15" s="377">
        <v>1.462454217342408</v>
      </c>
      <c r="R15" s="378">
        <v>5.6306306306306307E-2</v>
      </c>
      <c r="S15" s="378">
        <v>0.17347670250896061</v>
      </c>
      <c r="T15" s="378">
        <v>0.3712599755647405</v>
      </c>
    </row>
    <row r="16" spans="1:20">
      <c r="A16" s="374" t="s">
        <v>650</v>
      </c>
      <c r="B16" s="375">
        <v>980</v>
      </c>
      <c r="C16" s="376">
        <v>2.5899999999999999E-2</v>
      </c>
      <c r="D16" s="376">
        <v>8.8000000000000009E-2</v>
      </c>
      <c r="E16" s="376">
        <v>0.184</v>
      </c>
      <c r="F16" s="376">
        <v>0</v>
      </c>
      <c r="G16" s="376">
        <v>5.6992411336533988E-2</v>
      </c>
      <c r="H16" s="376">
        <v>0.12009803921568631</v>
      </c>
      <c r="I16" s="377">
        <v>0.93913236599193484</v>
      </c>
      <c r="J16" s="377">
        <v>2.3883696780893051</v>
      </c>
      <c r="K16" s="377">
        <v>5.5188573634433524</v>
      </c>
      <c r="L16" s="378">
        <v>8.2551489456379995E-2</v>
      </c>
      <c r="M16" s="378">
        <v>8.9927961663523348E-2</v>
      </c>
      <c r="N16" s="378">
        <v>9.2480087885235415E-2</v>
      </c>
      <c r="O16" s="377">
        <v>0.52214866389946868</v>
      </c>
      <c r="P16" s="377">
        <v>0.98994782266861725</v>
      </c>
      <c r="Q16" s="377">
        <v>1.4597642693398669</v>
      </c>
      <c r="R16" s="378">
        <v>1.296590447342174E-2</v>
      </c>
      <c r="S16" s="378">
        <v>0.1105722599418041</v>
      </c>
      <c r="T16" s="378">
        <v>0.30574707223514203</v>
      </c>
    </row>
    <row r="17" spans="1:20">
      <c r="A17" s="374" t="s">
        <v>651</v>
      </c>
      <c r="B17" s="375">
        <v>48</v>
      </c>
      <c r="C17" s="376">
        <v>-4.07E-2</v>
      </c>
      <c r="D17" s="376">
        <v>4.3400000000000001E-3</v>
      </c>
      <c r="E17" s="376">
        <v>4.3400000000000001E-2</v>
      </c>
      <c r="F17" s="376">
        <v>-9.1737150292778152E-3</v>
      </c>
      <c r="G17" s="376">
        <v>4.7542074736141478E-2</v>
      </c>
      <c r="H17" s="376">
        <v>0.21133214126061689</v>
      </c>
      <c r="I17" s="377">
        <v>0.33790013813527647</v>
      </c>
      <c r="J17" s="377">
        <v>0.64965187311082884</v>
      </c>
      <c r="K17" s="377">
        <v>1.1594792514239221</v>
      </c>
      <c r="L17" s="378">
        <v>6.739569145758198E-2</v>
      </c>
      <c r="M17" s="378">
        <v>7.1876753249916561E-2</v>
      </c>
      <c r="N17" s="378">
        <v>8.5059001021192848E-2</v>
      </c>
      <c r="O17" s="377">
        <v>0.63308454554368099</v>
      </c>
      <c r="P17" s="377">
        <v>1.077758748701366</v>
      </c>
      <c r="Q17" s="377">
        <v>1.35366209359659</v>
      </c>
      <c r="R17" s="378">
        <v>3.4184225603157432E-2</v>
      </c>
      <c r="S17" s="378">
        <v>0.37973593570608499</v>
      </c>
      <c r="T17" s="378">
        <v>0.6462093862815883</v>
      </c>
    </row>
    <row r="18" spans="1:20">
      <c r="A18" s="374" t="s">
        <v>607</v>
      </c>
      <c r="B18" s="375">
        <v>888</v>
      </c>
      <c r="C18" s="376">
        <v>4.4900000000000002E-2</v>
      </c>
      <c r="D18" s="376">
        <v>0.12</v>
      </c>
      <c r="E18" s="376">
        <v>0.224</v>
      </c>
      <c r="F18" s="376">
        <v>-1.032702237521515E-3</v>
      </c>
      <c r="G18" s="376">
        <v>5.1594746716697941E-2</v>
      </c>
      <c r="H18" s="376">
        <v>0.10982728888820981</v>
      </c>
      <c r="I18" s="377">
        <v>0.77788780893163878</v>
      </c>
      <c r="J18" s="377">
        <v>1.202037780335139</v>
      </c>
      <c r="K18" s="377">
        <v>1.7745684892506199</v>
      </c>
      <c r="L18" s="378">
        <v>8.6175271292002364E-2</v>
      </c>
      <c r="M18" s="378">
        <v>8.908717075301946E-2</v>
      </c>
      <c r="N18" s="378">
        <v>0.105663611238849</v>
      </c>
      <c r="O18" s="377">
        <v>0.61773385254689483</v>
      </c>
      <c r="P18" s="377">
        <v>1.0460701222022051</v>
      </c>
      <c r="Q18" s="377">
        <v>1.4865731041319969</v>
      </c>
      <c r="R18" s="378">
        <v>2.782797253342971E-2</v>
      </c>
      <c r="S18" s="378">
        <v>0.14996591683708249</v>
      </c>
      <c r="T18" s="378">
        <v>0.36321839080459772</v>
      </c>
    </row>
    <row r="19" spans="1:20">
      <c r="A19" s="374" t="s">
        <v>652</v>
      </c>
      <c r="B19" s="375">
        <v>64</v>
      </c>
      <c r="C19" s="376">
        <v>5.6599999999999998E-2</v>
      </c>
      <c r="D19" s="376">
        <v>0.12</v>
      </c>
      <c r="E19" s="376">
        <v>0.184</v>
      </c>
      <c r="F19" s="376">
        <v>2.8508099578453079E-2</v>
      </c>
      <c r="G19" s="376">
        <v>7.0441779262183077E-2</v>
      </c>
      <c r="H19" s="376">
        <v>0.13496503496503501</v>
      </c>
      <c r="I19" s="377">
        <v>0.9055361525391733</v>
      </c>
      <c r="J19" s="377">
        <v>1.2013742943166921</v>
      </c>
      <c r="K19" s="377">
        <v>1.6386363636363639</v>
      </c>
      <c r="L19" s="378">
        <v>7.9509877905597881E-2</v>
      </c>
      <c r="M19" s="378">
        <v>8.4179248033810064E-2</v>
      </c>
      <c r="N19" s="378">
        <v>0.1037641729694857</v>
      </c>
      <c r="O19" s="377">
        <v>0.69931012303454854</v>
      </c>
      <c r="P19" s="377">
        <v>1.125450608340361</v>
      </c>
      <c r="Q19" s="377">
        <v>1.366194871117592</v>
      </c>
      <c r="R19" s="378">
        <v>0.1152705328832975</v>
      </c>
      <c r="S19" s="378">
        <v>0.2523215812603154</v>
      </c>
      <c r="T19" s="378">
        <v>0.45016568952332398</v>
      </c>
    </row>
    <row r="20" spans="1:20">
      <c r="A20" s="374" t="s">
        <v>608</v>
      </c>
      <c r="B20" s="375">
        <v>949</v>
      </c>
      <c r="C20" s="376">
        <v>3.8199999999999998E-2</v>
      </c>
      <c r="D20" s="376">
        <v>0.114</v>
      </c>
      <c r="E20" s="376">
        <v>0.21099999999999999</v>
      </c>
      <c r="F20" s="376">
        <v>2.4778761061946901E-3</v>
      </c>
      <c r="G20" s="376">
        <v>6.4837905236907731E-2</v>
      </c>
      <c r="H20" s="376">
        <v>0.13211678832116791</v>
      </c>
      <c r="I20" s="377">
        <v>0.68293605751040476</v>
      </c>
      <c r="J20" s="377">
        <v>1.1290889905029899</v>
      </c>
      <c r="K20" s="377">
        <v>1.641500882591479</v>
      </c>
      <c r="L20" s="378">
        <v>8.6075634386728189E-2</v>
      </c>
      <c r="M20" s="378">
        <v>9.0453212406041816E-2</v>
      </c>
      <c r="N20" s="378">
        <v>0.10958155931542581</v>
      </c>
      <c r="O20" s="377">
        <v>0.55864880072291412</v>
      </c>
      <c r="P20" s="377">
        <v>0.98246808737811742</v>
      </c>
      <c r="Q20" s="377">
        <v>1.424573869727302</v>
      </c>
      <c r="R20" s="378">
        <v>2.2947399791387279E-2</v>
      </c>
      <c r="S20" s="378">
        <v>0.11871435977190251</v>
      </c>
      <c r="T20" s="378">
        <v>0.28119814863330722</v>
      </c>
    </row>
    <row r="21" spans="1:20">
      <c r="A21" s="374" t="s">
        <v>653</v>
      </c>
      <c r="B21" s="375">
        <v>215</v>
      </c>
      <c r="C21" s="376">
        <v>0.11</v>
      </c>
      <c r="D21" s="376">
        <v>0.21199999999999999</v>
      </c>
      <c r="E21" s="376">
        <v>0.377</v>
      </c>
      <c r="F21" s="376">
        <v>-0.12984293193717281</v>
      </c>
      <c r="G21" s="376">
        <v>0.10663067319048419</v>
      </c>
      <c r="H21" s="376">
        <v>0.2382934443288241</v>
      </c>
      <c r="I21" s="377">
        <v>0</v>
      </c>
      <c r="J21" s="377">
        <v>0.61824288863230825</v>
      </c>
      <c r="K21" s="377">
        <v>1.7984</v>
      </c>
      <c r="L21" s="378">
        <v>8.8659150659554029E-2</v>
      </c>
      <c r="M21" s="378">
        <v>9.0491515077426782E-2</v>
      </c>
      <c r="N21" s="378">
        <v>0.1110428409979302</v>
      </c>
      <c r="O21" s="377">
        <v>0.37273515689857589</v>
      </c>
      <c r="P21" s="377">
        <v>0.94447256969600923</v>
      </c>
      <c r="Q21" s="377">
        <v>1.5759264830402531</v>
      </c>
      <c r="R21" s="378">
        <v>5.6641279985039502E-5</v>
      </c>
      <c r="S21" s="378">
        <v>5.5174470623322397E-2</v>
      </c>
      <c r="T21" s="378">
        <v>0.26183239253148072</v>
      </c>
    </row>
    <row r="22" spans="1:20">
      <c r="A22" s="374" t="s">
        <v>480</v>
      </c>
      <c r="B22" s="375">
        <v>1164</v>
      </c>
      <c r="C22" s="376">
        <v>1.61E-2</v>
      </c>
      <c r="D22" s="376">
        <v>9.7299999999999998E-2</v>
      </c>
      <c r="E22" s="376">
        <v>0.19500000000000001</v>
      </c>
      <c r="F22" s="376">
        <v>5.176534492123846E-3</v>
      </c>
      <c r="G22" s="376">
        <v>4.8730727812355261E-2</v>
      </c>
      <c r="H22" s="376">
        <v>9.931170108161258E-2</v>
      </c>
      <c r="I22" s="377">
        <v>1.43595041322314</v>
      </c>
      <c r="J22" s="377">
        <v>3.043881334981458</v>
      </c>
      <c r="K22" s="377">
        <v>6.2760410766795243</v>
      </c>
      <c r="L22" s="378">
        <v>9.0435128423229622E-2</v>
      </c>
      <c r="M22" s="378">
        <v>9.4092554018151295E-2</v>
      </c>
      <c r="N22" s="378">
        <v>0.1076934404282229</v>
      </c>
      <c r="O22" s="377">
        <v>0.56489000841661041</v>
      </c>
      <c r="P22" s="377">
        <v>1.003765905072171</v>
      </c>
      <c r="Q22" s="377">
        <v>1.4479326003142361</v>
      </c>
      <c r="R22" s="378">
        <v>1.05382911202922E-2</v>
      </c>
      <c r="S22" s="378">
        <v>7.2695275483958322E-2</v>
      </c>
      <c r="T22" s="378">
        <v>0.22466742683390351</v>
      </c>
    </row>
    <row r="23" spans="1:20">
      <c r="A23" s="374" t="s">
        <v>654</v>
      </c>
      <c r="B23" s="375">
        <v>338</v>
      </c>
      <c r="C23" s="376">
        <v>-4.2099999999999999E-2</v>
      </c>
      <c r="D23" s="376">
        <v>3.3599999999999998E-2</v>
      </c>
      <c r="E23" s="376">
        <v>0.10199999999999999</v>
      </c>
      <c r="F23" s="376">
        <v>-5.0424242424242427E-2</v>
      </c>
      <c r="G23" s="376">
        <v>2.903225806451613E-2</v>
      </c>
      <c r="H23" s="376">
        <v>9.3099985158538942E-2</v>
      </c>
      <c r="I23" s="377">
        <v>0.82610680054769503</v>
      </c>
      <c r="J23" s="377">
        <v>1.554752066115703</v>
      </c>
      <c r="K23" s="377">
        <v>2.804967129291454</v>
      </c>
      <c r="L23" s="378">
        <v>0.1024153249601094</v>
      </c>
      <c r="M23" s="378">
        <v>0.106235527278809</v>
      </c>
      <c r="N23" s="378">
        <v>0.1083986321335266</v>
      </c>
      <c r="O23" s="377">
        <v>0.80594147755135415</v>
      </c>
      <c r="P23" s="377">
        <v>1.2083900919479871</v>
      </c>
      <c r="Q23" s="377">
        <v>1.710163280085617</v>
      </c>
      <c r="R23" s="378">
        <v>1.7491517491517491E-2</v>
      </c>
      <c r="S23" s="378">
        <v>9.4281298299845426E-2</v>
      </c>
      <c r="T23" s="378">
        <v>0.26586274493279588</v>
      </c>
    </row>
    <row r="24" spans="1:20">
      <c r="A24" s="374" t="s">
        <v>655</v>
      </c>
      <c r="B24" s="375">
        <v>453</v>
      </c>
      <c r="C24" s="376">
        <v>1.41E-2</v>
      </c>
      <c r="D24" s="376">
        <v>9.9700000000000011E-2</v>
      </c>
      <c r="E24" s="376">
        <v>0.19500000000000001</v>
      </c>
      <c r="F24" s="376">
        <v>1.701214721701819E-2</v>
      </c>
      <c r="G24" s="376">
        <v>8.0414012738853499E-2</v>
      </c>
      <c r="H24" s="376">
        <v>0.13706932337069319</v>
      </c>
      <c r="I24" s="377">
        <v>0.55162364696086597</v>
      </c>
      <c r="J24" s="377">
        <v>0.97304204953447349</v>
      </c>
      <c r="K24" s="377">
        <v>1.472868217054264</v>
      </c>
      <c r="L24" s="378">
        <v>7.6860995537767193E-2</v>
      </c>
      <c r="M24" s="378">
        <v>8.8576335111363841E-2</v>
      </c>
      <c r="N24" s="378">
        <v>9.8003282221890045E-2</v>
      </c>
      <c r="O24" s="377">
        <v>0.4269034632197925</v>
      </c>
      <c r="P24" s="377">
        <v>0.90570366123113721</v>
      </c>
      <c r="Q24" s="377">
        <v>1.348416564951304</v>
      </c>
      <c r="R24" s="378">
        <v>3.4221525600835953E-2</v>
      </c>
      <c r="S24" s="378">
        <v>0.18165266106442579</v>
      </c>
      <c r="T24" s="378">
        <v>0.38830376940133038</v>
      </c>
    </row>
    <row r="25" spans="1:20">
      <c r="A25" s="374" t="s">
        <v>656</v>
      </c>
      <c r="B25" s="375">
        <v>326</v>
      </c>
      <c r="C25" s="376">
        <v>4.4600000000000001E-2</v>
      </c>
      <c r="D25" s="376">
        <v>0.126</v>
      </c>
      <c r="E25" s="376">
        <v>0.23100000000000001</v>
      </c>
      <c r="F25" s="376">
        <v>2.756813417190775E-2</v>
      </c>
      <c r="G25" s="376">
        <v>9.4475893031426908E-2</v>
      </c>
      <c r="H25" s="376">
        <v>0.18014398124895359</v>
      </c>
      <c r="I25" s="377">
        <v>0.2325669374080096</v>
      </c>
      <c r="J25" s="377">
        <v>0.71143977473091402</v>
      </c>
      <c r="K25" s="377">
        <v>1.801159251408883</v>
      </c>
      <c r="L25" s="378">
        <v>7.3422261155270119E-2</v>
      </c>
      <c r="M25" s="378">
        <v>8.1190829481187304E-2</v>
      </c>
      <c r="N25" s="378">
        <v>9.5704953907412543E-2</v>
      </c>
      <c r="O25" s="377">
        <v>0.39937513425005577</v>
      </c>
      <c r="P25" s="377">
        <v>0.91692326416688696</v>
      </c>
      <c r="Q25" s="377">
        <v>1.4354777695501419</v>
      </c>
      <c r="R25" s="378">
        <v>5.2009163174845378E-2</v>
      </c>
      <c r="S25" s="378">
        <v>0.30847457627118652</v>
      </c>
      <c r="T25" s="378">
        <v>0.58820798514391825</v>
      </c>
    </row>
    <row r="26" spans="1:20">
      <c r="A26" s="374" t="s">
        <v>657</v>
      </c>
      <c r="B26" s="375">
        <v>1259</v>
      </c>
      <c r="C26" s="376">
        <v>-5.3000000000000012E-2</v>
      </c>
      <c r="D26" s="376">
        <v>0.11</v>
      </c>
      <c r="E26" s="376">
        <v>0.39900000000000002</v>
      </c>
      <c r="F26" s="376">
        <v>-12.87079134971378</v>
      </c>
      <c r="G26" s="376">
        <v>-2.4214876033057848</v>
      </c>
      <c r="H26" s="376">
        <v>-0.1676470588235294</v>
      </c>
      <c r="I26" s="377">
        <v>1.864031639602062E-3</v>
      </c>
      <c r="J26" s="377">
        <v>0.1721311475409836</v>
      </c>
      <c r="K26" s="377">
        <v>0.73742500448734283</v>
      </c>
      <c r="L26" s="378">
        <v>9.1072565426142033E-2</v>
      </c>
      <c r="M26" s="378">
        <v>9.1657596156034693E-2</v>
      </c>
      <c r="N26" s="378">
        <v>0.100632247162767</v>
      </c>
      <c r="O26" s="377">
        <v>0.64125422674718369</v>
      </c>
      <c r="P26" s="377">
        <v>1.108579338558525</v>
      </c>
      <c r="Q26" s="377">
        <v>1.636713621680469</v>
      </c>
      <c r="R26" s="378">
        <v>3.541787809906433E-3</v>
      </c>
      <c r="S26" s="378">
        <v>4.0448358752564487E-2</v>
      </c>
      <c r="T26" s="378">
        <v>0.16687404949536841</v>
      </c>
    </row>
    <row r="27" spans="1:20">
      <c r="A27" s="374" t="s">
        <v>658</v>
      </c>
      <c r="B27" s="375">
        <v>1299</v>
      </c>
      <c r="C27" s="376">
        <v>1.21E-2</v>
      </c>
      <c r="D27" s="376">
        <v>0.09</v>
      </c>
      <c r="E27" s="376">
        <v>0.184</v>
      </c>
      <c r="F27" s="376">
        <v>-0.29809586342744582</v>
      </c>
      <c r="G27" s="376">
        <v>5.2751091703056772E-2</v>
      </c>
      <c r="H27" s="376">
        <v>0.14265734265734259</v>
      </c>
      <c r="I27" s="377">
        <v>0.40850587576944603</v>
      </c>
      <c r="J27" s="377">
        <v>0.86039705208223149</v>
      </c>
      <c r="K27" s="377">
        <v>1.4076246334310849</v>
      </c>
      <c r="L27" s="378">
        <v>7.9469718270516937E-2</v>
      </c>
      <c r="M27" s="378">
        <v>8.6953548327754315E-2</v>
      </c>
      <c r="N27" s="378">
        <v>9.201961239183637E-2</v>
      </c>
      <c r="O27" s="377">
        <v>0.46895176326697879</v>
      </c>
      <c r="P27" s="377">
        <v>0.85473671620955738</v>
      </c>
      <c r="Q27" s="377">
        <v>1.321946073176484</v>
      </c>
      <c r="R27" s="378">
        <v>6.0790273556231003E-3</v>
      </c>
      <c r="S27" s="378">
        <v>7.8341316186601923E-2</v>
      </c>
      <c r="T27" s="378">
        <v>0.25696257615317658</v>
      </c>
    </row>
    <row r="28" spans="1:20">
      <c r="A28" s="374" t="s">
        <v>659</v>
      </c>
      <c r="B28" s="375">
        <v>260</v>
      </c>
      <c r="C28" s="376">
        <v>5.0699999999999999E-3</v>
      </c>
      <c r="D28" s="376">
        <v>9.5700000000000007E-2</v>
      </c>
      <c r="E28" s="376">
        <v>0.20599999999999999</v>
      </c>
      <c r="F28" s="376">
        <v>-3.4218289085545722E-2</v>
      </c>
      <c r="G28" s="376">
        <v>8.1516327420007417E-2</v>
      </c>
      <c r="H28" s="376">
        <v>0.18567961165048541</v>
      </c>
      <c r="I28" s="377">
        <v>0.40054505080411812</v>
      </c>
      <c r="J28" s="377">
        <v>1.024233498460303</v>
      </c>
      <c r="K28" s="377">
        <v>2.3218256449224999</v>
      </c>
      <c r="L28" s="378">
        <v>7.4982915247120502E-2</v>
      </c>
      <c r="M28" s="378">
        <v>7.9801161813569332E-2</v>
      </c>
      <c r="N28" s="378">
        <v>9.0952779327821559E-2</v>
      </c>
      <c r="O28" s="377">
        <v>0.25999299315069918</v>
      </c>
      <c r="P28" s="377">
        <v>0.76815424342142657</v>
      </c>
      <c r="Q28" s="377">
        <v>1.2303193158678609</v>
      </c>
      <c r="R28" s="378">
        <v>1.8241067432480051E-2</v>
      </c>
      <c r="S28" s="378">
        <v>0.13119447640132639</v>
      </c>
      <c r="T28" s="378">
        <v>0.38600107194792721</v>
      </c>
    </row>
    <row r="29" spans="1:20">
      <c r="A29" s="374" t="s">
        <v>660</v>
      </c>
      <c r="B29" s="375">
        <v>1072</v>
      </c>
      <c r="C29" s="376">
        <v>3.4200000000000001E-2</v>
      </c>
      <c r="D29" s="376">
        <v>0.127</v>
      </c>
      <c r="E29" s="376">
        <v>0.26600000000000001</v>
      </c>
      <c r="F29" s="376">
        <v>-1.394495412844037E-2</v>
      </c>
      <c r="G29" s="376">
        <v>4.9710424710424722E-2</v>
      </c>
      <c r="H29" s="376">
        <v>0.1025670302758301</v>
      </c>
      <c r="I29" s="377">
        <v>0.78538440641130125</v>
      </c>
      <c r="J29" s="377">
        <v>1.41271676300578</v>
      </c>
      <c r="K29" s="377">
        <v>2.2093023255813948</v>
      </c>
      <c r="L29" s="378">
        <v>9.4618825713111573E-2</v>
      </c>
      <c r="M29" s="378">
        <v>9.9047605268538855E-2</v>
      </c>
      <c r="N29" s="378">
        <v>0.1007969718433285</v>
      </c>
      <c r="O29" s="377">
        <v>0.59187048214305615</v>
      </c>
      <c r="P29" s="377">
        <v>1.0802452571609269</v>
      </c>
      <c r="Q29" s="377">
        <v>1.609268762135982</v>
      </c>
      <c r="R29" s="378">
        <v>1.758539059857964E-2</v>
      </c>
      <c r="S29" s="378">
        <v>0.1031278245332282</v>
      </c>
      <c r="T29" s="378">
        <v>0.2700361010830325</v>
      </c>
    </row>
    <row r="30" spans="1:20">
      <c r="A30" s="374" t="s">
        <v>661</v>
      </c>
      <c r="B30" s="375">
        <v>127</v>
      </c>
      <c r="C30" s="376">
        <v>-4.3799999999999999E-2</v>
      </c>
      <c r="D30" s="376">
        <v>5.7299999999999997E-2</v>
      </c>
      <c r="E30" s="376">
        <v>0.13800000000000001</v>
      </c>
      <c r="F30" s="376">
        <v>-5.8013245033112587E-2</v>
      </c>
      <c r="G30" s="376">
        <v>3.0385984122638921E-2</v>
      </c>
      <c r="H30" s="376">
        <v>7.2623008916520793E-2</v>
      </c>
      <c r="I30" s="377">
        <v>1.061159287996349</v>
      </c>
      <c r="J30" s="377">
        <v>1.7415540540540539</v>
      </c>
      <c r="K30" s="377">
        <v>2.7806122448979589</v>
      </c>
      <c r="L30" s="378">
        <v>9.1095182079025519E-2</v>
      </c>
      <c r="M30" s="378">
        <v>9.7766250587527123E-2</v>
      </c>
      <c r="N30" s="378">
        <v>0.1002032992344775</v>
      </c>
      <c r="O30" s="377">
        <v>0.718953127517035</v>
      </c>
      <c r="P30" s="377">
        <v>1.1791041082450231</v>
      </c>
      <c r="Q30" s="377">
        <v>1.7511808824608479</v>
      </c>
      <c r="R30" s="378">
        <v>2.684718895188461E-2</v>
      </c>
      <c r="S30" s="378">
        <v>0.1316793893129771</v>
      </c>
      <c r="T30" s="378">
        <v>0.33923694446743358</v>
      </c>
    </row>
    <row r="31" spans="1:20">
      <c r="A31" s="374" t="s">
        <v>609</v>
      </c>
      <c r="B31" s="375">
        <v>1486</v>
      </c>
      <c r="C31" s="376">
        <v>-1.66E-2</v>
      </c>
      <c r="D31" s="376">
        <v>6.2100000000000002E-2</v>
      </c>
      <c r="E31" s="376">
        <v>0.14899999999999999</v>
      </c>
      <c r="F31" s="376">
        <v>-6.2843331136014063E-2</v>
      </c>
      <c r="G31" s="376">
        <v>4.0592783505154641E-2</v>
      </c>
      <c r="H31" s="376">
        <v>0.1001949317738791</v>
      </c>
      <c r="I31" s="377">
        <v>0.70420624151967448</v>
      </c>
      <c r="J31" s="377">
        <v>1.1958670260557049</v>
      </c>
      <c r="K31" s="377">
        <v>1.9261555920319371</v>
      </c>
      <c r="L31" s="378">
        <v>0.1031493045695606</v>
      </c>
      <c r="M31" s="378">
        <v>0.1076605877335424</v>
      </c>
      <c r="N31" s="378">
        <v>0.110100820170016</v>
      </c>
      <c r="O31" s="377">
        <v>0.74697007790277459</v>
      </c>
      <c r="P31" s="377">
        <v>1.2548713041103781</v>
      </c>
      <c r="Q31" s="377">
        <v>1.7892109651391681</v>
      </c>
      <c r="R31" s="378">
        <v>1.532017348571052E-2</v>
      </c>
      <c r="S31" s="378">
        <v>8.8923309106795342E-2</v>
      </c>
      <c r="T31" s="378">
        <v>0.22887323943661969</v>
      </c>
    </row>
    <row r="32" spans="1:20">
      <c r="A32" s="374" t="s">
        <v>662</v>
      </c>
      <c r="B32" s="375">
        <v>1623</v>
      </c>
      <c r="C32" s="376">
        <v>-1.9199999999999998E-2</v>
      </c>
      <c r="D32" s="376">
        <v>6.6799999999999998E-2</v>
      </c>
      <c r="E32" s="376">
        <v>0.17699999999999999</v>
      </c>
      <c r="F32" s="376">
        <v>-2.638888888888889E-3</v>
      </c>
      <c r="G32" s="376">
        <v>4.3013957234106288E-2</v>
      </c>
      <c r="H32" s="376">
        <v>8.4222442337625589E-2</v>
      </c>
      <c r="I32" s="377">
        <v>0.76843713880118847</v>
      </c>
      <c r="J32" s="377">
        <v>1.6409270532948841</v>
      </c>
      <c r="K32" s="377">
        <v>3.0095020904599008</v>
      </c>
      <c r="L32" s="378">
        <v>7.8205430341949767E-2</v>
      </c>
      <c r="M32" s="378">
        <v>8.2062412710188742E-2</v>
      </c>
      <c r="N32" s="378">
        <v>9.6285989955917903E-2</v>
      </c>
      <c r="O32" s="377">
        <v>0.52498999191566509</v>
      </c>
      <c r="P32" s="377">
        <v>0.9668772105712965</v>
      </c>
      <c r="Q32" s="377">
        <v>1.4556827687764271</v>
      </c>
      <c r="R32" s="378">
        <v>3.9863457350352967E-2</v>
      </c>
      <c r="S32" s="378">
        <v>0.19360269360269361</v>
      </c>
      <c r="T32" s="378">
        <v>0.47414599065084501</v>
      </c>
    </row>
    <row r="33" spans="1:20">
      <c r="A33" s="374" t="s">
        <v>481</v>
      </c>
      <c r="B33" s="375">
        <v>741</v>
      </c>
      <c r="C33" s="376">
        <v>-2.81E-2</v>
      </c>
      <c r="D33" s="376">
        <v>0.10199999999999999</v>
      </c>
      <c r="E33" s="376">
        <v>0.27200000000000002</v>
      </c>
      <c r="F33" s="376">
        <v>-0.24583333333333329</v>
      </c>
      <c r="G33" s="376">
        <v>1.0211554109031729E-2</v>
      </c>
      <c r="H33" s="376">
        <v>0.1103174603174603</v>
      </c>
      <c r="I33" s="377">
        <v>0.46513696193525428</v>
      </c>
      <c r="J33" s="377">
        <v>1.0767609344809419</v>
      </c>
      <c r="K33" s="377">
        <v>2.5351107504479868</v>
      </c>
      <c r="L33" s="378">
        <v>8.6149800632577725E-2</v>
      </c>
      <c r="M33" s="378">
        <v>9.4451054142624336E-2</v>
      </c>
      <c r="N33" s="378">
        <v>9.8198539751568892E-2</v>
      </c>
      <c r="O33" s="377">
        <v>0.51790710217947078</v>
      </c>
      <c r="P33" s="377">
        <v>1.0234609223468309</v>
      </c>
      <c r="Q33" s="377">
        <v>1.6622983137490639</v>
      </c>
      <c r="R33" s="378">
        <v>1.7865297260921469E-3</v>
      </c>
      <c r="S33" s="378">
        <v>5.1053330802808883E-2</v>
      </c>
      <c r="T33" s="378">
        <v>0.26079372001744439</v>
      </c>
    </row>
    <row r="34" spans="1:20">
      <c r="A34" s="374" t="s">
        <v>663</v>
      </c>
      <c r="B34" s="375">
        <v>383</v>
      </c>
      <c r="C34" s="376">
        <v>-1.8400000000000001E-3</v>
      </c>
      <c r="D34" s="376">
        <v>9.64E-2</v>
      </c>
      <c r="E34" s="376">
        <v>0.20799999999999999</v>
      </c>
      <c r="F34" s="376">
        <v>-6.7971193846196792E-2</v>
      </c>
      <c r="G34" s="376">
        <v>5.649484536082474E-2</v>
      </c>
      <c r="H34" s="376">
        <v>0.13621503814021069</v>
      </c>
      <c r="I34" s="377">
        <v>0.38359554534205409</v>
      </c>
      <c r="J34" s="377">
        <v>1.0009088155104511</v>
      </c>
      <c r="K34" s="377">
        <v>2.2971035273874389</v>
      </c>
      <c r="L34" s="378">
        <v>7.5795597071087711E-2</v>
      </c>
      <c r="M34" s="378">
        <v>8.1368650511546112E-2</v>
      </c>
      <c r="N34" s="378">
        <v>8.3760181369829517E-2</v>
      </c>
      <c r="O34" s="377">
        <v>0.49933754625596882</v>
      </c>
      <c r="P34" s="377">
        <v>0.89268697903728045</v>
      </c>
      <c r="Q34" s="377">
        <v>1.3226243272352971</v>
      </c>
      <c r="R34" s="378">
        <v>3.0687365375852149E-2</v>
      </c>
      <c r="S34" s="378">
        <v>0.17987594762232939</v>
      </c>
      <c r="T34" s="378">
        <v>0.3918840579710145</v>
      </c>
    </row>
    <row r="35" spans="1:20">
      <c r="A35" s="374" t="s">
        <v>664</v>
      </c>
      <c r="B35" s="375">
        <v>430</v>
      </c>
      <c r="C35" s="376">
        <v>4.9400000000000013E-2</v>
      </c>
      <c r="D35" s="376">
        <v>0.13700000000000001</v>
      </c>
      <c r="E35" s="376">
        <v>0.223</v>
      </c>
      <c r="F35" s="376">
        <v>-1.5964912280701751E-2</v>
      </c>
      <c r="G35" s="376">
        <v>5.4046928552596893E-2</v>
      </c>
      <c r="H35" s="376">
        <v>0.12788163641119099</v>
      </c>
      <c r="I35" s="377">
        <v>0.47943722943722938</v>
      </c>
      <c r="J35" s="377">
        <v>0.95073891625615758</v>
      </c>
      <c r="K35" s="377">
        <v>1.8051215075330009</v>
      </c>
      <c r="L35" s="378">
        <v>6.8874485547337119E-2</v>
      </c>
      <c r="M35" s="378">
        <v>7.5789520364149293E-2</v>
      </c>
      <c r="N35" s="378">
        <v>8.4804929434122267E-2</v>
      </c>
      <c r="O35" s="377">
        <v>0.26282076636908258</v>
      </c>
      <c r="P35" s="377">
        <v>0.69103787860573695</v>
      </c>
      <c r="Q35" s="377">
        <v>1.243845980013343</v>
      </c>
      <c r="R35" s="378">
        <v>1.9343662785102491E-2</v>
      </c>
      <c r="S35" s="378">
        <v>0.19631175953258609</v>
      </c>
      <c r="T35" s="378">
        <v>0.43012208696971133</v>
      </c>
    </row>
    <row r="36" spans="1:20">
      <c r="A36" s="374" t="s">
        <v>665</v>
      </c>
      <c r="B36" s="375">
        <v>1258</v>
      </c>
      <c r="C36" s="376">
        <v>1.3799999999999999E-3</v>
      </c>
      <c r="D36" s="376">
        <v>0.108</v>
      </c>
      <c r="E36" s="376">
        <v>0.23799999999999999</v>
      </c>
      <c r="F36" s="376">
        <v>0</v>
      </c>
      <c r="G36" s="376">
        <v>0</v>
      </c>
      <c r="H36" s="376">
        <v>0.1426094495015171</v>
      </c>
      <c r="I36" s="377">
        <v>9.4441934026208749E-2</v>
      </c>
      <c r="J36" s="377">
        <v>0.24963762280560481</v>
      </c>
      <c r="K36" s="377">
        <v>1.0266776604516319</v>
      </c>
      <c r="L36" s="378">
        <v>5.0151950254449962E-2</v>
      </c>
      <c r="M36" s="378">
        <v>5.4568432688531412E-2</v>
      </c>
      <c r="N36" s="378">
        <v>6.0590110911977017E-2</v>
      </c>
      <c r="O36" s="377">
        <v>0.35616133602226868</v>
      </c>
      <c r="P36" s="377">
        <v>0.84893033816250152</v>
      </c>
      <c r="Q36" s="377">
        <v>1.391376473162</v>
      </c>
      <c r="R36" s="378">
        <v>2.086214845550945E-2</v>
      </c>
      <c r="S36" s="378">
        <v>0.26515962145551941</v>
      </c>
      <c r="T36" s="378">
        <v>0.61336304303165357</v>
      </c>
    </row>
    <row r="37" spans="1:20">
      <c r="A37" s="374" t="s">
        <v>666</v>
      </c>
      <c r="B37" s="375">
        <v>1657</v>
      </c>
      <c r="C37" s="376">
        <v>2.52E-2</v>
      </c>
      <c r="D37" s="376">
        <v>8.6699999999999999E-2</v>
      </c>
      <c r="E37" s="376">
        <v>0.16900000000000001</v>
      </c>
      <c r="F37" s="376">
        <v>8.1420595533498764E-3</v>
      </c>
      <c r="G37" s="376">
        <v>5.0122662435914393E-2</v>
      </c>
      <c r="H37" s="376">
        <v>9.9248120300751877E-2</v>
      </c>
      <c r="I37" s="377">
        <v>0.94142259414225937</v>
      </c>
      <c r="J37" s="377">
        <v>1.543430886748959</v>
      </c>
      <c r="K37" s="377">
        <v>2.3561181434599159</v>
      </c>
      <c r="L37" s="378">
        <v>7.1256765116307588E-2</v>
      </c>
      <c r="M37" s="378">
        <v>7.6398476893394379E-2</v>
      </c>
      <c r="N37" s="378">
        <v>8.7020396861583402E-2</v>
      </c>
      <c r="O37" s="377">
        <v>0.27463991068847782</v>
      </c>
      <c r="P37" s="377">
        <v>0.64927987898312611</v>
      </c>
      <c r="Q37" s="377">
        <v>1.093717007396882</v>
      </c>
      <c r="R37" s="378">
        <v>4.1377537907992798E-2</v>
      </c>
      <c r="S37" s="378">
        <v>0.18660005877167199</v>
      </c>
      <c r="T37" s="378">
        <v>0.41446783278980143</v>
      </c>
    </row>
    <row r="38" spans="1:20">
      <c r="A38" s="374" t="s">
        <v>667</v>
      </c>
      <c r="B38" s="375">
        <v>173</v>
      </c>
      <c r="C38" s="376">
        <v>1.47E-2</v>
      </c>
      <c r="D38" s="376">
        <v>7.7600000000000002E-2</v>
      </c>
      <c r="E38" s="376">
        <v>0.21299999999999999</v>
      </c>
      <c r="F38" s="376">
        <v>6.5419354838709681E-3</v>
      </c>
      <c r="G38" s="376">
        <v>2.4795321637426902E-2</v>
      </c>
      <c r="H38" s="376">
        <v>5.0183835386699349E-2</v>
      </c>
      <c r="I38" s="377">
        <v>1.34020618556701</v>
      </c>
      <c r="J38" s="377">
        <v>3.2916239873424362</v>
      </c>
      <c r="K38" s="377">
        <v>6.5840787119856889</v>
      </c>
      <c r="L38" s="378">
        <v>6.4436778011738388E-2</v>
      </c>
      <c r="M38" s="378">
        <v>6.7205635937507557E-2</v>
      </c>
      <c r="N38" s="378">
        <v>7.8217268690941338E-2</v>
      </c>
      <c r="O38" s="377">
        <v>0.20748101417921899</v>
      </c>
      <c r="P38" s="377">
        <v>0.6544334014781269</v>
      </c>
      <c r="Q38" s="377">
        <v>1.2040335321040381</v>
      </c>
      <c r="R38" s="378">
        <v>2.3010376233604791E-2</v>
      </c>
      <c r="S38" s="378">
        <v>0.20572376607216919</v>
      </c>
      <c r="T38" s="378">
        <v>0.41491029878774521</v>
      </c>
    </row>
    <row r="39" spans="1:20">
      <c r="A39" s="374" t="s">
        <v>668</v>
      </c>
      <c r="B39" s="375">
        <v>383</v>
      </c>
      <c r="C39" s="376">
        <v>-1.4E-2</v>
      </c>
      <c r="D39" s="376">
        <v>6.7599999999999993E-2</v>
      </c>
      <c r="E39" s="376">
        <v>0.153</v>
      </c>
      <c r="F39" s="376">
        <v>0</v>
      </c>
      <c r="G39" s="376">
        <v>5.4282267792521113E-2</v>
      </c>
      <c r="H39" s="376">
        <v>9.4812821140200634E-2</v>
      </c>
      <c r="I39" s="377">
        <v>1.0319488817891369</v>
      </c>
      <c r="J39" s="377">
        <v>1.5293665042318541</v>
      </c>
      <c r="K39" s="377">
        <v>2.2843432652605729</v>
      </c>
      <c r="L39" s="378">
        <v>8.8332125713433282E-2</v>
      </c>
      <c r="M39" s="378">
        <v>9.111418853645295E-2</v>
      </c>
      <c r="N39" s="378">
        <v>0.10695408055529811</v>
      </c>
      <c r="O39" s="377">
        <v>0.47365180878541641</v>
      </c>
      <c r="P39" s="377">
        <v>0.89697496086164707</v>
      </c>
      <c r="Q39" s="377">
        <v>1.4318350413242491</v>
      </c>
      <c r="R39" s="378">
        <v>2.645502645502645E-2</v>
      </c>
      <c r="S39" s="378">
        <v>0.13536701620591041</v>
      </c>
      <c r="T39" s="378">
        <v>0.34190681784802168</v>
      </c>
    </row>
    <row r="40" spans="1:20">
      <c r="A40" s="374" t="s">
        <v>669</v>
      </c>
      <c r="B40" s="375">
        <v>253</v>
      </c>
      <c r="C40" s="376">
        <v>2.1299999999999999E-2</v>
      </c>
      <c r="D40" s="376">
        <v>0.14799999999999999</v>
      </c>
      <c r="E40" s="376">
        <v>0.37</v>
      </c>
      <c r="F40" s="376">
        <v>3.9631336405529953E-2</v>
      </c>
      <c r="G40" s="376">
        <v>0.2303078768492603</v>
      </c>
      <c r="H40" s="376">
        <v>0.43870470316114107</v>
      </c>
      <c r="I40" s="377">
        <v>0.12886908346380829</v>
      </c>
      <c r="J40" s="377">
        <v>0.21162050518046999</v>
      </c>
      <c r="K40" s="377">
        <v>0.41751453488372098</v>
      </c>
      <c r="L40" s="378">
        <v>6.6868685606464862E-2</v>
      </c>
      <c r="M40" s="378">
        <v>7.1351531556244296E-2</v>
      </c>
      <c r="N40" s="378">
        <v>8.3971487208835044E-2</v>
      </c>
      <c r="O40" s="377">
        <v>0.33950227065320548</v>
      </c>
      <c r="P40" s="377">
        <v>0.88695575329520926</v>
      </c>
      <c r="Q40" s="377">
        <v>1.325977359079805</v>
      </c>
      <c r="R40" s="378">
        <v>0.1198428290766208</v>
      </c>
      <c r="S40" s="378">
        <v>0.35093167701863348</v>
      </c>
      <c r="T40" s="378">
        <v>0.55960264900662249</v>
      </c>
    </row>
    <row r="41" spans="1:20">
      <c r="A41" s="374" t="s">
        <v>670</v>
      </c>
      <c r="B41" s="375">
        <v>849</v>
      </c>
      <c r="C41" s="376">
        <v>1.8599999999999998E-2</v>
      </c>
      <c r="D41" s="376">
        <v>0.11</v>
      </c>
      <c r="E41" s="376">
        <v>0.23100000000000001</v>
      </c>
      <c r="F41" s="376">
        <v>-0.93273896185676608</v>
      </c>
      <c r="G41" s="376">
        <v>0</v>
      </c>
      <c r="H41" s="376">
        <v>0.13960703205791111</v>
      </c>
      <c r="I41" s="377">
        <v>0.51392405063291158</v>
      </c>
      <c r="J41" s="377">
        <v>0.95920617420066145</v>
      </c>
      <c r="K41" s="377">
        <v>1.5984654731457799</v>
      </c>
      <c r="L41" s="378">
        <v>8.6352566231461717E-2</v>
      </c>
      <c r="M41" s="378">
        <v>9.220712926803723E-2</v>
      </c>
      <c r="N41" s="378">
        <v>9.6716597120633491E-2</v>
      </c>
      <c r="O41" s="377">
        <v>0.63459975943532687</v>
      </c>
      <c r="P41" s="377">
        <v>1.022950940395206</v>
      </c>
      <c r="Q41" s="377">
        <v>1.522616198279213</v>
      </c>
      <c r="R41" s="378">
        <v>6.6703839084732456E-3</v>
      </c>
      <c r="S41" s="378">
        <v>5.7228572513576118E-2</v>
      </c>
      <c r="T41" s="378">
        <v>0.18075117370892019</v>
      </c>
    </row>
    <row r="42" spans="1:20">
      <c r="A42" s="374" t="s">
        <v>671</v>
      </c>
      <c r="B42" s="375">
        <v>463</v>
      </c>
      <c r="C42" s="376">
        <v>3.2899999999999999E-2</v>
      </c>
      <c r="D42" s="376">
        <v>9.8299999999999998E-2</v>
      </c>
      <c r="E42" s="376">
        <v>0.20599999999999999</v>
      </c>
      <c r="F42" s="376">
        <v>-5.0467289719626177E-2</v>
      </c>
      <c r="G42" s="376">
        <v>3.6280991735537192E-2</v>
      </c>
      <c r="H42" s="376">
        <v>9.1934084995663481E-2</v>
      </c>
      <c r="I42" s="377">
        <v>1.0196078431372551</v>
      </c>
      <c r="J42" s="377">
        <v>1.9918181818181819</v>
      </c>
      <c r="K42" s="377">
        <v>4.4034278180619637</v>
      </c>
      <c r="L42" s="378">
        <v>7.6390123582709885E-2</v>
      </c>
      <c r="M42" s="378">
        <v>8.3101222139399605E-2</v>
      </c>
      <c r="N42" s="378">
        <v>8.528839638974034E-2</v>
      </c>
      <c r="O42" s="377">
        <v>0.44043012736527432</v>
      </c>
      <c r="P42" s="377">
        <v>0.78124203151242222</v>
      </c>
      <c r="Q42" s="377">
        <v>1.3489748355617981</v>
      </c>
      <c r="R42" s="378">
        <v>2.626854389114618E-2</v>
      </c>
      <c r="S42" s="378">
        <v>0.1449073723056781</v>
      </c>
      <c r="T42" s="378">
        <v>0.36413297109964632</v>
      </c>
    </row>
    <row r="43" spans="1:20">
      <c r="A43" s="374" t="s">
        <v>672</v>
      </c>
      <c r="B43" s="375">
        <v>443</v>
      </c>
      <c r="C43" s="376">
        <v>4.2099999999999999E-2</v>
      </c>
      <c r="D43" s="376">
        <v>0.13600000000000001</v>
      </c>
      <c r="E43" s="376">
        <v>0.28599999999999998</v>
      </c>
      <c r="F43" s="376">
        <v>-0.88194250032888866</v>
      </c>
      <c r="G43" s="376">
        <v>-9.3026212581478224E-2</v>
      </c>
      <c r="H43" s="376">
        <v>0.1132183908045977</v>
      </c>
      <c r="I43" s="377">
        <v>0.48164172123479893</v>
      </c>
      <c r="J43" s="377">
        <v>1.0644768856447691</v>
      </c>
      <c r="K43" s="377">
        <v>2.2959812316957509</v>
      </c>
      <c r="L43" s="378">
        <v>9.218717236217229E-2</v>
      </c>
      <c r="M43" s="378">
        <v>9.3099057284895703E-2</v>
      </c>
      <c r="N43" s="378">
        <v>0.10309892998814051</v>
      </c>
      <c r="O43" s="377">
        <v>0.77279675972613426</v>
      </c>
      <c r="P43" s="377">
        <v>1.1519709767122071</v>
      </c>
      <c r="Q43" s="377">
        <v>1.703655728528231</v>
      </c>
      <c r="R43" s="378">
        <v>4.0266543135088909E-3</v>
      </c>
      <c r="S43" s="378">
        <v>4.266597149808829E-2</v>
      </c>
      <c r="T43" s="378">
        <v>0.16226993865030681</v>
      </c>
    </row>
    <row r="44" spans="1:20">
      <c r="A44" s="374" t="s">
        <v>673</v>
      </c>
      <c r="B44" s="375">
        <v>173</v>
      </c>
      <c r="C44" s="376">
        <v>2.81E-2</v>
      </c>
      <c r="D44" s="376">
        <v>9.1600000000000001E-2</v>
      </c>
      <c r="E44" s="376">
        <v>0.17199999999999999</v>
      </c>
      <c r="F44" s="376">
        <v>2.4922480620155039E-2</v>
      </c>
      <c r="G44" s="376">
        <v>7.9951249238269351E-2</v>
      </c>
      <c r="H44" s="376">
        <v>0.1476487443114782</v>
      </c>
      <c r="I44" s="377">
        <v>0.76881912236889061</v>
      </c>
      <c r="J44" s="377">
        <v>1.3121752041573871</v>
      </c>
      <c r="K44" s="377">
        <v>2.4292992003087721</v>
      </c>
      <c r="L44" s="378">
        <v>8.2260641640068147E-2</v>
      </c>
      <c r="M44" s="378">
        <v>8.7003364731165933E-2</v>
      </c>
      <c r="N44" s="378">
        <v>9.3156382059732284E-2</v>
      </c>
      <c r="O44" s="377">
        <v>0.6534006796804992</v>
      </c>
      <c r="P44" s="377">
        <v>1.0497496988956461</v>
      </c>
      <c r="Q44" s="377">
        <v>1.502037421047796</v>
      </c>
      <c r="R44" s="378">
        <v>0.1223878645828686</v>
      </c>
      <c r="S44" s="378">
        <v>0.32195121951219507</v>
      </c>
      <c r="T44" s="378">
        <v>0.59810874704491734</v>
      </c>
    </row>
    <row r="45" spans="1:20">
      <c r="A45" s="374" t="s">
        <v>674</v>
      </c>
      <c r="B45" s="375">
        <v>232</v>
      </c>
      <c r="C45" s="376">
        <v>6.0900000000000003E-2</v>
      </c>
      <c r="D45" s="376">
        <v>0.126</v>
      </c>
      <c r="E45" s="376">
        <v>0.20899999999999999</v>
      </c>
      <c r="F45" s="376">
        <v>3.7577002053388091E-2</v>
      </c>
      <c r="G45" s="376">
        <v>9.5528455284552838E-2</v>
      </c>
      <c r="H45" s="376">
        <v>0.1726618705035971</v>
      </c>
      <c r="I45" s="377">
        <v>0.66564147627416526</v>
      </c>
      <c r="J45" s="377">
        <v>1.149311531841652</v>
      </c>
      <c r="K45" s="377">
        <v>1.7567328918322289</v>
      </c>
      <c r="L45" s="378">
        <v>6.5149104948850428E-2</v>
      </c>
      <c r="M45" s="378">
        <v>7.0986735461780082E-2</v>
      </c>
      <c r="N45" s="378">
        <v>8.2941342659349299E-2</v>
      </c>
      <c r="O45" s="377">
        <v>0.33352819636274139</v>
      </c>
      <c r="P45" s="377">
        <v>0.77579837553178266</v>
      </c>
      <c r="Q45" s="377">
        <v>1.1851480278492299</v>
      </c>
      <c r="R45" s="378">
        <v>3.009511928894433E-2</v>
      </c>
      <c r="S45" s="378">
        <v>0.15394294636924391</v>
      </c>
      <c r="T45" s="378">
        <v>0.3725906564672215</v>
      </c>
    </row>
    <row r="46" spans="1:20">
      <c r="A46" s="374" t="s">
        <v>675</v>
      </c>
      <c r="B46" s="375">
        <v>650</v>
      </c>
      <c r="C46" s="376">
        <v>5.7299999999999997E-2</v>
      </c>
      <c r="D46" s="376">
        <v>0.18099999999999999</v>
      </c>
      <c r="E46" s="376">
        <v>0.311</v>
      </c>
      <c r="F46" s="376">
        <v>-5.9371362048894052E-2</v>
      </c>
      <c r="G46" s="376">
        <v>6.4874551971326175E-2</v>
      </c>
      <c r="H46" s="376">
        <v>0.17507481829841809</v>
      </c>
      <c r="I46" s="377">
        <v>0.2058252427184466</v>
      </c>
      <c r="J46" s="377">
        <v>0.49866030759337648</v>
      </c>
      <c r="K46" s="377">
        <v>1.162643051327549</v>
      </c>
      <c r="L46" s="378">
        <v>7.6762947629366293E-2</v>
      </c>
      <c r="M46" s="378">
        <v>8.1615318797173708E-2</v>
      </c>
      <c r="N46" s="378">
        <v>9.7091910194430767E-2</v>
      </c>
      <c r="O46" s="377">
        <v>0.36143149457307988</v>
      </c>
      <c r="P46" s="377">
        <v>0.90053098715036961</v>
      </c>
      <c r="Q46" s="377">
        <v>1.495777506943897</v>
      </c>
      <c r="R46" s="378">
        <v>2.7892847279756969E-2</v>
      </c>
      <c r="S46" s="378">
        <v>0.21422882930714099</v>
      </c>
      <c r="T46" s="378">
        <v>0.49772382397572068</v>
      </c>
    </row>
    <row r="47" spans="1:20">
      <c r="A47" s="374" t="s">
        <v>676</v>
      </c>
      <c r="B47" s="375">
        <v>178</v>
      </c>
      <c r="C47" s="376">
        <v>-1.6500000000000001E-2</v>
      </c>
      <c r="D47" s="376">
        <v>4.53E-2</v>
      </c>
      <c r="E47" s="376">
        <v>0.13900000000000001</v>
      </c>
      <c r="F47" s="376">
        <v>-1.415525114155251E-2</v>
      </c>
      <c r="G47" s="376">
        <v>5.1301684532924968E-2</v>
      </c>
      <c r="H47" s="376">
        <v>0.1116564417177914</v>
      </c>
      <c r="I47" s="377">
        <v>0.89740974913318372</v>
      </c>
      <c r="J47" s="377">
        <v>1.5114581802253071</v>
      </c>
      <c r="K47" s="377">
        <v>2.3559965879435381</v>
      </c>
      <c r="L47" s="378">
        <v>7.4412454668690953E-2</v>
      </c>
      <c r="M47" s="378">
        <v>7.6760964640603752E-2</v>
      </c>
      <c r="N47" s="378">
        <v>9.1652429376675754E-2</v>
      </c>
      <c r="O47" s="377">
        <v>0.30736682711721791</v>
      </c>
      <c r="P47" s="377">
        <v>0.66531425327596527</v>
      </c>
      <c r="Q47" s="377">
        <v>1.205817471440652</v>
      </c>
      <c r="R47" s="378">
        <v>1.144857041167398E-2</v>
      </c>
      <c r="S47" s="378">
        <v>0.1096886819901076</v>
      </c>
      <c r="T47" s="378">
        <v>0.25810502814084368</v>
      </c>
    </row>
    <row r="48" spans="1:20">
      <c r="A48" s="374" t="s">
        <v>677</v>
      </c>
      <c r="B48" s="375">
        <v>81</v>
      </c>
      <c r="C48" s="376">
        <v>8.2500000000000004E-3</v>
      </c>
      <c r="D48" s="376">
        <v>7.0900000000000019E-2</v>
      </c>
      <c r="E48" s="376">
        <v>0.154</v>
      </c>
      <c r="F48" s="376">
        <v>1.992347275366143E-2</v>
      </c>
      <c r="G48" s="376">
        <v>8.2229965156794427E-2</v>
      </c>
      <c r="H48" s="376">
        <v>0.12818428184281841</v>
      </c>
      <c r="I48" s="377">
        <v>1.2820512820512819</v>
      </c>
      <c r="J48" s="377">
        <v>2.343039126478617</v>
      </c>
      <c r="K48" s="377">
        <v>4.0330833700926334</v>
      </c>
      <c r="L48" s="378">
        <v>8.7006631396598449E-2</v>
      </c>
      <c r="M48" s="378">
        <v>9.582047517351798E-2</v>
      </c>
      <c r="N48" s="378">
        <v>0.1169148293587137</v>
      </c>
      <c r="O48" s="377">
        <v>0.56797418498119967</v>
      </c>
      <c r="P48" s="377">
        <v>1.094170919644543</v>
      </c>
      <c r="Q48" s="377">
        <v>1.615914241006029</v>
      </c>
      <c r="R48" s="378">
        <v>6.4590888607540609E-3</v>
      </c>
      <c r="S48" s="378">
        <v>0.10658325537885879</v>
      </c>
      <c r="T48" s="378">
        <v>0.29781484867361879</v>
      </c>
    </row>
    <row r="49" spans="1:20">
      <c r="A49" s="374" t="s">
        <v>678</v>
      </c>
      <c r="B49" s="375">
        <v>202</v>
      </c>
      <c r="C49" s="376">
        <v>3.4799999999999998E-2</v>
      </c>
      <c r="D49" s="376">
        <v>9.6000000000000002E-2</v>
      </c>
      <c r="E49" s="376">
        <v>0.17199999999999999</v>
      </c>
      <c r="F49" s="376">
        <v>3.9318656051346913E-2</v>
      </c>
      <c r="G49" s="376">
        <v>8.9331619537275059E-2</v>
      </c>
      <c r="H49" s="376">
        <v>0.17625503847563209</v>
      </c>
      <c r="I49" s="377">
        <v>1.012345679012346</v>
      </c>
      <c r="J49" s="377">
        <v>1.735156293289297</v>
      </c>
      <c r="K49" s="377">
        <v>3.2808667211774329</v>
      </c>
      <c r="L49" s="378">
        <v>7.1509196274945286E-2</v>
      </c>
      <c r="M49" s="378">
        <v>7.4975690878777757E-2</v>
      </c>
      <c r="N49" s="378">
        <v>9.4449487721893752E-2</v>
      </c>
      <c r="O49" s="377">
        <v>0.18070360485912029</v>
      </c>
      <c r="P49" s="377">
        <v>0.6600810478222483</v>
      </c>
      <c r="Q49" s="377">
        <v>1.1360620438699061</v>
      </c>
      <c r="R49" s="378">
        <v>1.3462405656185299E-3</v>
      </c>
      <c r="S49" s="378">
        <v>6.2062529164722359E-2</v>
      </c>
      <c r="T49" s="378">
        <v>0.27057022579410639</v>
      </c>
    </row>
    <row r="50" spans="1:20">
      <c r="A50" s="374" t="s">
        <v>679</v>
      </c>
      <c r="B50" s="375">
        <v>137</v>
      </c>
      <c r="C50" s="376">
        <v>-2.3599999999999999E-2</v>
      </c>
      <c r="D50" s="376">
        <v>4.2299999999999997E-2</v>
      </c>
      <c r="E50" s="376">
        <v>0.161</v>
      </c>
      <c r="F50" s="376">
        <v>1.8341504850309751E-4</v>
      </c>
      <c r="G50" s="376">
        <v>7.7311579624052079E-2</v>
      </c>
      <c r="H50" s="376">
        <v>0.14932126696832579</v>
      </c>
      <c r="I50" s="377">
        <v>0.65182191203063744</v>
      </c>
      <c r="J50" s="377">
        <v>1.5207992337100209</v>
      </c>
      <c r="K50" s="377">
        <v>3.3927145708582831</v>
      </c>
      <c r="L50" s="378">
        <v>7.4320406771578612E-2</v>
      </c>
      <c r="M50" s="378">
        <v>8.1921976592485443E-2</v>
      </c>
      <c r="N50" s="378">
        <v>0.1258564543253356</v>
      </c>
      <c r="O50" s="377">
        <v>0.42786288599636491</v>
      </c>
      <c r="P50" s="377">
        <v>0.85312427198451413</v>
      </c>
      <c r="Q50" s="377">
        <v>1.359199040499947</v>
      </c>
      <c r="R50" s="378">
        <v>5.882447745357575E-3</v>
      </c>
      <c r="S50" s="378">
        <v>9.1009232460552605E-2</v>
      </c>
      <c r="T50" s="378">
        <v>0.42728174436393601</v>
      </c>
    </row>
    <row r="51" spans="1:20">
      <c r="A51" s="374" t="s">
        <v>680</v>
      </c>
      <c r="B51" s="375">
        <v>228</v>
      </c>
      <c r="C51" s="376">
        <v>3.7999999999999999E-2</v>
      </c>
      <c r="D51" s="376">
        <v>8.5800000000000001E-2</v>
      </c>
      <c r="E51" s="376">
        <v>0.17599999999999999</v>
      </c>
      <c r="F51" s="376">
        <v>4.9379652605459061E-2</v>
      </c>
      <c r="G51" s="376">
        <v>0.1196817148424813</v>
      </c>
      <c r="H51" s="376">
        <v>0.19976076555023919</v>
      </c>
      <c r="I51" s="377">
        <v>0.8204419889502762</v>
      </c>
      <c r="J51" s="377">
        <v>1.505290124761073</v>
      </c>
      <c r="K51" s="377">
        <v>2.8190070066058319</v>
      </c>
      <c r="L51" s="378">
        <v>6.901070313049372E-2</v>
      </c>
      <c r="M51" s="378">
        <v>8.2298442302706776E-2</v>
      </c>
      <c r="N51" s="378">
        <v>0.1126480468436227</v>
      </c>
      <c r="O51" s="377">
        <v>0.3628355151361401</v>
      </c>
      <c r="P51" s="377">
        <v>0.66379585261828278</v>
      </c>
      <c r="Q51" s="377">
        <v>0.98773491373514188</v>
      </c>
      <c r="R51" s="378">
        <v>8.6659529999490246E-4</v>
      </c>
      <c r="S51" s="378">
        <v>3.0898340644669078E-2</v>
      </c>
      <c r="T51" s="378">
        <v>0.15476870359794409</v>
      </c>
    </row>
    <row r="52" spans="1:20">
      <c r="A52" s="374" t="s">
        <v>681</v>
      </c>
      <c r="B52" s="375">
        <v>1374</v>
      </c>
      <c r="C52" s="376">
        <v>-2.9000000000000001E-2</v>
      </c>
      <c r="D52" s="376">
        <v>0.114</v>
      </c>
      <c r="E52" s="376">
        <v>0.3</v>
      </c>
      <c r="F52" s="376">
        <v>-1.33054808346924E-3</v>
      </c>
      <c r="G52" s="376">
        <v>0.17124129455141329</v>
      </c>
      <c r="H52" s="376">
        <v>0.57777777777777783</v>
      </c>
      <c r="I52" s="377">
        <v>7.1096602854929733E-3</v>
      </c>
      <c r="J52" s="377">
        <v>0.12609351432880839</v>
      </c>
      <c r="K52" s="377">
        <v>0.64834367163785134</v>
      </c>
      <c r="L52" s="378">
        <v>6.2276344839548532E-2</v>
      </c>
      <c r="M52" s="378">
        <v>6.446771294108368E-2</v>
      </c>
      <c r="N52" s="378">
        <v>6.8750084219692711E-2</v>
      </c>
      <c r="O52" s="377">
        <v>0.13141663791828631</v>
      </c>
      <c r="P52" s="377">
        <v>0.58791155546563389</v>
      </c>
      <c r="Q52" s="377">
        <v>1.176181355755747</v>
      </c>
      <c r="R52" s="378">
        <v>0</v>
      </c>
      <c r="S52" s="378">
        <v>9.4007206775965028E-3</v>
      </c>
      <c r="T52" s="378">
        <v>0.1041009463722397</v>
      </c>
    </row>
    <row r="53" spans="1:20">
      <c r="A53" s="374" t="s">
        <v>682</v>
      </c>
      <c r="B53" s="375">
        <v>1492</v>
      </c>
      <c r="C53" s="376">
        <v>3.5999999999999997E-2</v>
      </c>
      <c r="D53" s="376">
        <v>0.10100000000000001</v>
      </c>
      <c r="E53" s="376">
        <v>0.188</v>
      </c>
      <c r="F53" s="376">
        <v>1.434352836649245E-2</v>
      </c>
      <c r="G53" s="376">
        <v>6.9729317575295463E-2</v>
      </c>
      <c r="H53" s="376">
        <v>0.1232188899443615</v>
      </c>
      <c r="I53" s="377">
        <v>0.84933586337760913</v>
      </c>
      <c r="J53" s="377">
        <v>1.3059033989266551</v>
      </c>
      <c r="K53" s="377">
        <v>2.0379489718388761</v>
      </c>
      <c r="L53" s="378">
        <v>9.0760963668838499E-2</v>
      </c>
      <c r="M53" s="378">
        <v>9.5339067845382458E-2</v>
      </c>
      <c r="N53" s="378">
        <v>9.6920064830495173E-2</v>
      </c>
      <c r="O53" s="377">
        <v>0.59756165225062485</v>
      </c>
      <c r="P53" s="377">
        <v>1.015786908217617</v>
      </c>
      <c r="Q53" s="377">
        <v>1.4627496615346589</v>
      </c>
      <c r="R53" s="378">
        <v>1.5898332117345641E-2</v>
      </c>
      <c r="S53" s="378">
        <v>9.3269915563103128E-2</v>
      </c>
      <c r="T53" s="378">
        <v>0.24583333333333329</v>
      </c>
    </row>
    <row r="54" spans="1:20">
      <c r="A54" s="374" t="s">
        <v>610</v>
      </c>
      <c r="B54" s="375">
        <v>1815</v>
      </c>
      <c r="C54" s="376">
        <v>3.2500000000000001E-2</v>
      </c>
      <c r="D54" s="376">
        <v>0.16700000000000001</v>
      </c>
      <c r="E54" s="376">
        <v>0.32800000000000001</v>
      </c>
      <c r="F54" s="376">
        <v>-9.6111111111111107</v>
      </c>
      <c r="G54" s="376">
        <v>-1.529919802590993E-2</v>
      </c>
      <c r="H54" s="376">
        <v>7.0664320699985725E-2</v>
      </c>
      <c r="I54" s="377">
        <v>0</v>
      </c>
      <c r="J54" s="377">
        <v>0</v>
      </c>
      <c r="K54" s="377">
        <v>0.55307035380235869</v>
      </c>
      <c r="L54" s="378">
        <v>8.4010487586803864E-2</v>
      </c>
      <c r="M54" s="378">
        <v>8.407411582620361E-2</v>
      </c>
      <c r="N54" s="378">
        <v>8.624456787165205E-2</v>
      </c>
      <c r="O54" s="377">
        <v>0.55947448578744985</v>
      </c>
      <c r="P54" s="377">
        <v>1.044028472258659</v>
      </c>
      <c r="Q54" s="377">
        <v>1.537559909513236</v>
      </c>
      <c r="R54" s="378">
        <v>0</v>
      </c>
      <c r="S54" s="378">
        <v>3.8133766621348281E-3</v>
      </c>
      <c r="T54" s="378">
        <v>0.11345939933259171</v>
      </c>
    </row>
    <row r="55" spans="1:20">
      <c r="A55" s="374" t="s">
        <v>892</v>
      </c>
      <c r="B55" s="375">
        <v>17</v>
      </c>
      <c r="C55" s="376"/>
      <c r="D55" s="376"/>
      <c r="E55" s="376"/>
      <c r="F55" s="376">
        <v>0</v>
      </c>
      <c r="G55" s="376">
        <v>2.1161048689138571E-2</v>
      </c>
      <c r="H55" s="376">
        <v>2.1161048689138571E-2</v>
      </c>
      <c r="I55" s="377"/>
      <c r="J55" s="377"/>
      <c r="K55" s="377"/>
      <c r="O55" s="377">
        <v>1.2580306120195131</v>
      </c>
      <c r="P55" s="377">
        <v>1.2580306120195131</v>
      </c>
      <c r="Q55" s="377">
        <v>1.2580306120195131</v>
      </c>
      <c r="R55" s="378">
        <v>0</v>
      </c>
      <c r="S55" s="378">
        <v>0</v>
      </c>
      <c r="T55" s="378">
        <v>0</v>
      </c>
    </row>
    <row r="56" spans="1:20">
      <c r="A56" s="374" t="s">
        <v>683</v>
      </c>
      <c r="B56" s="375">
        <v>137</v>
      </c>
      <c r="C56" s="376">
        <v>2.0899999999999998E-2</v>
      </c>
      <c r="D56" s="376">
        <v>6.0999999999999999E-2</v>
      </c>
      <c r="E56" s="376">
        <v>0.13600000000000001</v>
      </c>
      <c r="F56" s="376">
        <v>8.7773722627737232E-3</v>
      </c>
      <c r="G56" s="376">
        <v>6.0883995277369769E-2</v>
      </c>
      <c r="H56" s="376">
        <v>9.7406704617330808E-2</v>
      </c>
      <c r="I56" s="377">
        <v>0.92436629555071681</v>
      </c>
      <c r="J56" s="377">
        <v>1.5803579339062639</v>
      </c>
      <c r="K56" s="377">
        <v>2.4852430555555558</v>
      </c>
      <c r="L56" s="378">
        <v>7.7228964697679411E-2</v>
      </c>
      <c r="M56" s="378">
        <v>8.1547382047889638E-2</v>
      </c>
      <c r="N56" s="378">
        <v>9.573993464624804E-2</v>
      </c>
      <c r="O56" s="377">
        <v>0.3483511264209298</v>
      </c>
      <c r="P56" s="377">
        <v>0.78599735513870816</v>
      </c>
      <c r="Q56" s="377">
        <v>1.254445887584746</v>
      </c>
      <c r="R56" s="378">
        <v>2.3267388328978469E-2</v>
      </c>
      <c r="S56" s="378">
        <v>0.105760780132343</v>
      </c>
      <c r="T56" s="378">
        <v>0.33667798703303492</v>
      </c>
    </row>
    <row r="57" spans="1:20">
      <c r="A57" s="374" t="s">
        <v>684</v>
      </c>
      <c r="B57" s="375">
        <v>36</v>
      </c>
      <c r="C57" s="376">
        <v>0.154</v>
      </c>
      <c r="D57" s="376">
        <v>0.21299999999999999</v>
      </c>
      <c r="E57" s="376">
        <v>0.28199999999999997</v>
      </c>
      <c r="F57" s="376">
        <v>6.6673988293698652E-2</v>
      </c>
      <c r="G57" s="376">
        <v>0.13340238312641109</v>
      </c>
      <c r="H57" s="376">
        <v>0.21035493324649951</v>
      </c>
      <c r="I57" s="377">
        <v>1.219214121148865</v>
      </c>
      <c r="J57" s="377">
        <v>1.7111560562528361</v>
      </c>
      <c r="K57" s="377">
        <v>2.176585062079166</v>
      </c>
      <c r="L57" s="378">
        <v>8.1627721202566547E-2</v>
      </c>
      <c r="M57" s="378">
        <v>8.8874146992124162E-2</v>
      </c>
      <c r="N57" s="378">
        <v>0.1120042531636969</v>
      </c>
      <c r="O57" s="377">
        <v>0.53091549649645053</v>
      </c>
      <c r="P57" s="377">
        <v>0.89697496086164707</v>
      </c>
      <c r="Q57" s="377">
        <v>1.3404511325640189</v>
      </c>
      <c r="R57" s="378">
        <v>0.14053426248548201</v>
      </c>
      <c r="S57" s="378">
        <v>0.29928173316853612</v>
      </c>
      <c r="T57" s="378">
        <v>0.4267425320056899</v>
      </c>
    </row>
    <row r="58" spans="1:20">
      <c r="A58" s="374" t="s">
        <v>611</v>
      </c>
      <c r="B58" s="375">
        <v>590</v>
      </c>
      <c r="C58" s="376">
        <v>8.4700000000000011E-2</v>
      </c>
      <c r="D58" s="376">
        <v>0.246</v>
      </c>
      <c r="E58" s="376">
        <v>0.43799999999999989</v>
      </c>
      <c r="F58" s="376">
        <v>-0.3180952380952381</v>
      </c>
      <c r="G58" s="376">
        <v>0.1592156862745098</v>
      </c>
      <c r="H58" s="376">
        <v>0.40594059405940591</v>
      </c>
      <c r="I58" s="377">
        <v>6.0463130052108467E-2</v>
      </c>
      <c r="J58" s="377">
        <v>0.47227926078028742</v>
      </c>
      <c r="K58" s="377">
        <v>0.88531178511126851</v>
      </c>
      <c r="L58" s="378">
        <v>8.2381344701424761E-2</v>
      </c>
      <c r="M58" s="378">
        <v>8.3043655945301914E-2</v>
      </c>
      <c r="N58" s="378">
        <v>8.9786138643684579E-2</v>
      </c>
      <c r="O58" s="377">
        <v>0.53907299591105873</v>
      </c>
      <c r="P58" s="377">
        <v>0.99768094757338466</v>
      </c>
      <c r="Q58" s="377">
        <v>1.5462508148109171</v>
      </c>
      <c r="R58" s="378">
        <v>0</v>
      </c>
      <c r="S58" s="378">
        <v>8.250559784674974E-2</v>
      </c>
      <c r="T58" s="378">
        <v>0.34406153885836188</v>
      </c>
    </row>
    <row r="59" spans="1:20">
      <c r="A59" s="374" t="s">
        <v>685</v>
      </c>
      <c r="B59" s="375">
        <v>174</v>
      </c>
      <c r="C59" s="376">
        <v>1.5800000000000002E-2</v>
      </c>
      <c r="D59" s="376">
        <v>0.112</v>
      </c>
      <c r="E59" s="376">
        <v>0.224</v>
      </c>
      <c r="F59" s="376">
        <v>2.072186836518047E-2</v>
      </c>
      <c r="G59" s="376">
        <v>0.12210236401193481</v>
      </c>
      <c r="H59" s="376">
        <v>0.3126048540431719</v>
      </c>
      <c r="I59" s="377">
        <v>0.34862696349870048</v>
      </c>
      <c r="J59" s="377">
        <v>0.71256155257313891</v>
      </c>
      <c r="K59" s="377">
        <v>1.6612262738424051</v>
      </c>
      <c r="L59" s="378">
        <v>6.6365447893090942E-2</v>
      </c>
      <c r="M59" s="378">
        <v>7.3530509708054664E-2</v>
      </c>
      <c r="N59" s="378">
        <v>8.4694755243709355E-2</v>
      </c>
      <c r="O59" s="377">
        <v>0.37432675249274028</v>
      </c>
      <c r="P59" s="377">
        <v>0.82986205956804993</v>
      </c>
      <c r="Q59" s="377">
        <v>1.2607922669069751</v>
      </c>
      <c r="R59" s="378">
        <v>9.9061836047379059E-2</v>
      </c>
      <c r="S59" s="378">
        <v>0.33495145631067957</v>
      </c>
      <c r="T59" s="378">
        <v>0.47313006968370391</v>
      </c>
    </row>
    <row r="60" spans="1:20">
      <c r="A60" s="374" t="s">
        <v>686</v>
      </c>
      <c r="B60" s="375">
        <v>444</v>
      </c>
      <c r="C60" s="376">
        <v>2.5399999999999999E-2</v>
      </c>
      <c r="D60" s="376">
        <v>0.156</v>
      </c>
      <c r="E60" s="376">
        <v>0.27400000000000002</v>
      </c>
      <c r="F60" s="376">
        <v>-2.2022249526876931E-3</v>
      </c>
      <c r="G60" s="376">
        <v>4.2378953833555118E-2</v>
      </c>
      <c r="H60" s="376">
        <v>0.1028957528957529</v>
      </c>
      <c r="I60" s="377">
        <v>0.74167434194580462</v>
      </c>
      <c r="J60" s="377">
        <v>1.708389715832205</v>
      </c>
      <c r="K60" s="377">
        <v>3.451514440009392</v>
      </c>
      <c r="L60" s="378">
        <v>7.5258622299489125E-2</v>
      </c>
      <c r="M60" s="378">
        <v>8.1521892594959025E-2</v>
      </c>
      <c r="N60" s="378">
        <v>9.458509655502631E-2</v>
      </c>
      <c r="O60" s="377">
        <v>0.44918163885456519</v>
      </c>
      <c r="P60" s="377">
        <v>0.96682864086161791</v>
      </c>
      <c r="Q60" s="377">
        <v>1.462263964437873</v>
      </c>
      <c r="R60" s="378">
        <v>5.1790775573305851E-2</v>
      </c>
      <c r="S60" s="378">
        <v>0.23349736237183999</v>
      </c>
      <c r="T60" s="378">
        <v>0.50152953309909631</v>
      </c>
    </row>
    <row r="61" spans="1:20">
      <c r="A61" s="374" t="s">
        <v>687</v>
      </c>
      <c r="B61" s="375">
        <v>164</v>
      </c>
      <c r="C61" s="376">
        <v>3.4200000000000001E-2</v>
      </c>
      <c r="D61" s="376">
        <v>7.7499999999999999E-2</v>
      </c>
      <c r="E61" s="376">
        <v>0.14099999999999999</v>
      </c>
      <c r="F61" s="376">
        <v>3.0259365994236311E-2</v>
      </c>
      <c r="G61" s="376">
        <v>6.7430275725722702E-2</v>
      </c>
      <c r="H61" s="376">
        <v>0.1152317880794702</v>
      </c>
      <c r="I61" s="377">
        <v>1.013722627737226</v>
      </c>
      <c r="J61" s="377">
        <v>1.3960040983606561</v>
      </c>
      <c r="K61" s="377">
        <v>1.9075</v>
      </c>
      <c r="L61" s="378">
        <v>7.0846686727208064E-2</v>
      </c>
      <c r="M61" s="378">
        <v>7.4828787738390495E-2</v>
      </c>
      <c r="N61" s="378">
        <v>8.701250189438442E-2</v>
      </c>
      <c r="O61" s="377">
        <v>0.38034939649288302</v>
      </c>
      <c r="P61" s="377">
        <v>0.76373514959742705</v>
      </c>
      <c r="Q61" s="377">
        <v>1.2929499564983771</v>
      </c>
      <c r="R61" s="378">
        <v>6.2734115761562695E-2</v>
      </c>
      <c r="S61" s="378">
        <v>0.21713940856970429</v>
      </c>
      <c r="T61" s="378">
        <v>0.4521004491920656</v>
      </c>
    </row>
    <row r="62" spans="1:20">
      <c r="A62" s="374" t="s">
        <v>688</v>
      </c>
      <c r="B62" s="375">
        <v>266</v>
      </c>
      <c r="C62" s="376">
        <v>3.3799999999999997E-2</v>
      </c>
      <c r="D62" s="376">
        <v>9.8599999999999993E-2</v>
      </c>
      <c r="E62" s="376">
        <v>0.186</v>
      </c>
      <c r="F62" s="376">
        <v>-1.255278310940499E-2</v>
      </c>
      <c r="G62" s="376">
        <v>3.7960954446854663E-2</v>
      </c>
      <c r="H62" s="376">
        <v>0.10822898032200361</v>
      </c>
      <c r="I62" s="377">
        <v>0.5785837651122625</v>
      </c>
      <c r="J62" s="377">
        <v>1.012721281324239</v>
      </c>
      <c r="K62" s="377">
        <v>1.6135704308584939</v>
      </c>
      <c r="L62" s="378">
        <v>7.1738731192145938E-2</v>
      </c>
      <c r="M62" s="378">
        <v>7.68247943549423E-2</v>
      </c>
      <c r="N62" s="378">
        <v>9.0557470329469703E-2</v>
      </c>
      <c r="O62" s="377">
        <v>0.4104869013484358</v>
      </c>
      <c r="P62" s="377">
        <v>0.83386906061653199</v>
      </c>
      <c r="Q62" s="377">
        <v>1.3265601955959481</v>
      </c>
      <c r="R62" s="378">
        <v>9.4326241134751784E-2</v>
      </c>
      <c r="S62" s="378">
        <v>0.27329192546583853</v>
      </c>
      <c r="T62" s="378">
        <v>0.50635461304618534</v>
      </c>
    </row>
    <row r="63" spans="1:20">
      <c r="A63" s="374" t="s">
        <v>689</v>
      </c>
      <c r="B63" s="375">
        <v>488</v>
      </c>
      <c r="C63" s="376">
        <v>6.54E-2</v>
      </c>
      <c r="D63" s="376">
        <v>0.127</v>
      </c>
      <c r="E63" s="376">
        <v>0.20699999999999999</v>
      </c>
      <c r="F63" s="376">
        <v>4.3889796342280928E-2</v>
      </c>
      <c r="G63" s="376">
        <v>0.1018891875988386</v>
      </c>
      <c r="H63" s="376">
        <v>0.20624619752585679</v>
      </c>
      <c r="I63" s="377">
        <v>0.39908431896222812</v>
      </c>
      <c r="J63" s="377">
        <v>0.69734511302918445</v>
      </c>
      <c r="K63" s="377">
        <v>1.300993571011104</v>
      </c>
      <c r="L63" s="378">
        <v>6.077639154652098E-2</v>
      </c>
      <c r="M63" s="378">
        <v>6.4796486930816855E-2</v>
      </c>
      <c r="N63" s="378">
        <v>7.5773405475795474E-2</v>
      </c>
      <c r="O63" s="377">
        <v>0.33364962063693782</v>
      </c>
      <c r="P63" s="377">
        <v>0.64839784326420036</v>
      </c>
      <c r="Q63" s="377">
        <v>1.0578482767992581</v>
      </c>
      <c r="R63" s="378">
        <v>0.1164069660861595</v>
      </c>
      <c r="S63" s="378">
        <v>0.38684210526315788</v>
      </c>
      <c r="T63" s="378">
        <v>0.58837636858117448</v>
      </c>
    </row>
    <row r="64" spans="1:20">
      <c r="A64" s="374" t="s">
        <v>690</v>
      </c>
      <c r="B64" s="375">
        <v>853</v>
      </c>
      <c r="C64" s="376">
        <v>2.8500000000000001E-3</v>
      </c>
      <c r="D64" s="376">
        <v>0.111</v>
      </c>
      <c r="E64" s="376">
        <v>0.28899999999999998</v>
      </c>
      <c r="F64" s="376">
        <v>-3.8</v>
      </c>
      <c r="G64" s="376">
        <v>-3.7873134328358211E-3</v>
      </c>
      <c r="H64" s="376">
        <v>0.16228070175438589</v>
      </c>
      <c r="I64" s="377">
        <v>0</v>
      </c>
      <c r="J64" s="377">
        <v>0</v>
      </c>
      <c r="K64" s="377">
        <v>0.24519230769230771</v>
      </c>
      <c r="L64" s="378">
        <v>8.6166589170329266E-2</v>
      </c>
      <c r="M64" s="378">
        <v>8.6419998110875737E-2</v>
      </c>
      <c r="N64" s="378">
        <v>8.6419998110875737E-2</v>
      </c>
      <c r="O64" s="377">
        <v>0.57973450632765233</v>
      </c>
      <c r="P64" s="377">
        <v>1.0404101687657521</v>
      </c>
      <c r="Q64" s="377">
        <v>1.546835077351937</v>
      </c>
      <c r="R64" s="378">
        <v>0</v>
      </c>
      <c r="S64" s="378">
        <v>4.542379433652266E-3</v>
      </c>
      <c r="T64" s="378">
        <v>8.7173466392720861E-2</v>
      </c>
    </row>
    <row r="65" spans="1:20">
      <c r="A65" s="374" t="s">
        <v>691</v>
      </c>
      <c r="B65" s="375">
        <v>205</v>
      </c>
      <c r="C65" s="376">
        <v>-1.3100000000000001E-2</v>
      </c>
      <c r="D65" s="376">
        <v>4.4699999999999997E-2</v>
      </c>
      <c r="E65" s="376">
        <v>0.109</v>
      </c>
      <c r="F65" s="376">
        <v>-3.2207792207792213E-2</v>
      </c>
      <c r="G65" s="376">
        <v>4.6142754607703798E-2</v>
      </c>
      <c r="H65" s="376">
        <v>0.10583016476552599</v>
      </c>
      <c r="I65" s="377">
        <v>0.70868824531516184</v>
      </c>
      <c r="J65" s="377">
        <v>1.439854191980559</v>
      </c>
      <c r="K65" s="377">
        <v>2.88</v>
      </c>
      <c r="L65" s="378">
        <v>8.9592268368903286E-2</v>
      </c>
      <c r="M65" s="378">
        <v>9.3891598370615323E-2</v>
      </c>
      <c r="N65" s="378">
        <v>0.11172473391519901</v>
      </c>
      <c r="O65" s="377">
        <v>0.42991478521986382</v>
      </c>
      <c r="P65" s="377">
        <v>0.91087555613190863</v>
      </c>
      <c r="Q65" s="377">
        <v>1.429335001488834</v>
      </c>
      <c r="R65" s="378">
        <v>4.244205027750571E-3</v>
      </c>
      <c r="S65" s="378">
        <v>5.9703920611680492E-2</v>
      </c>
      <c r="T65" s="378">
        <v>0.31248889678450881</v>
      </c>
    </row>
    <row r="66" spans="1:20">
      <c r="A66" s="374" t="s">
        <v>692</v>
      </c>
      <c r="B66" s="375">
        <v>633</v>
      </c>
      <c r="C66" s="376">
        <v>1.14E-2</v>
      </c>
      <c r="D66" s="376">
        <v>6.9800000000000001E-2</v>
      </c>
      <c r="E66" s="376">
        <v>0.17399999999999999</v>
      </c>
      <c r="F66" s="376">
        <v>0.1851258046809299</v>
      </c>
      <c r="G66" s="376">
        <v>0.49888143176733779</v>
      </c>
      <c r="H66" s="376">
        <v>0.66</v>
      </c>
      <c r="I66" s="377">
        <v>5.7774358256976979E-2</v>
      </c>
      <c r="J66" s="377">
        <v>8.0942458727360153E-2</v>
      </c>
      <c r="K66" s="377">
        <v>0.1239614709873887</v>
      </c>
      <c r="L66" s="378">
        <v>5.9481609840902089E-2</v>
      </c>
      <c r="M66" s="378">
        <v>6.3224970471649489E-2</v>
      </c>
      <c r="N66" s="378">
        <v>7.3606567086354269E-2</v>
      </c>
      <c r="O66" s="377">
        <v>0.41653383020341778</v>
      </c>
      <c r="P66" s="377">
        <v>0.79177970402656994</v>
      </c>
      <c r="Q66" s="377">
        <v>1.151029223390879</v>
      </c>
      <c r="R66" s="378">
        <v>0.23554788610871441</v>
      </c>
      <c r="S66" s="378">
        <v>0.4142739680973524</v>
      </c>
      <c r="T66" s="378">
        <v>0.59593345656192231</v>
      </c>
    </row>
    <row r="67" spans="1:20">
      <c r="A67" s="374" t="s">
        <v>693</v>
      </c>
      <c r="B67" s="375">
        <v>884</v>
      </c>
      <c r="C67" s="376">
        <v>-0.109</v>
      </c>
      <c r="D67" s="376">
        <v>4.7600000000000003E-2</v>
      </c>
      <c r="E67" s="376">
        <v>0.23899999999999999</v>
      </c>
      <c r="F67" s="376">
        <v>-7.2955974842767293E-2</v>
      </c>
      <c r="G67" s="376">
        <v>8.8947368421052636E-2</v>
      </c>
      <c r="H67" s="376">
        <v>0.20433946717934631</v>
      </c>
      <c r="I67" s="377">
        <v>0.1020055325034578</v>
      </c>
      <c r="J67" s="377">
        <v>0.24153253033042191</v>
      </c>
      <c r="K67" s="377">
        <v>0.52198855961176061</v>
      </c>
      <c r="L67" s="378">
        <v>6.3375311219926719E-2</v>
      </c>
      <c r="M67" s="378">
        <v>6.9508695111987415E-2</v>
      </c>
      <c r="N67" s="378">
        <v>7.4228987830804061E-2</v>
      </c>
      <c r="O67" s="377">
        <v>0.42872482733273898</v>
      </c>
      <c r="P67" s="377">
        <v>0.92622774591393442</v>
      </c>
      <c r="Q67" s="377">
        <v>1.416268449372267</v>
      </c>
      <c r="R67" s="378">
        <v>8.5162601626016257E-2</v>
      </c>
      <c r="S67" s="378">
        <v>0.40995319554322163</v>
      </c>
      <c r="T67" s="378">
        <v>0.72408536585365857</v>
      </c>
    </row>
    <row r="68" spans="1:20">
      <c r="A68" s="374" t="s">
        <v>694</v>
      </c>
      <c r="B68" s="375">
        <v>336</v>
      </c>
      <c r="C68" s="376">
        <v>-6.0199999999999997E-2</v>
      </c>
      <c r="D68" s="376">
        <v>7.1000000000000008E-2</v>
      </c>
      <c r="E68" s="376">
        <v>0.20699999999999999</v>
      </c>
      <c r="F68" s="376">
        <v>5.3667953667953672E-3</v>
      </c>
      <c r="G68" s="376">
        <v>0.13971850326124269</v>
      </c>
      <c r="H68" s="376">
        <v>0.31264144843194308</v>
      </c>
      <c r="I68" s="377">
        <v>7.6790248857287954E-2</v>
      </c>
      <c r="J68" s="377">
        <v>0.17561112672098911</v>
      </c>
      <c r="K68" s="377">
        <v>0.44520547945205469</v>
      </c>
      <c r="L68" s="378">
        <v>6.504057564192911E-2</v>
      </c>
      <c r="M68" s="378">
        <v>6.8477570833974585E-2</v>
      </c>
      <c r="N68" s="378">
        <v>7.9693490381645693E-2</v>
      </c>
      <c r="O68" s="377">
        <v>0.43270754352638158</v>
      </c>
      <c r="P68" s="377">
        <v>0.90656162081525404</v>
      </c>
      <c r="Q68" s="377">
        <v>1.347493740467411</v>
      </c>
      <c r="R68" s="378">
        <v>9.8043517788797038E-2</v>
      </c>
      <c r="S68" s="378">
        <v>0.42452597882295001</v>
      </c>
      <c r="T68" s="378">
        <v>0.63526912181303119</v>
      </c>
    </row>
    <row r="69" spans="1:20">
      <c r="A69" s="374" t="s">
        <v>695</v>
      </c>
      <c r="B69" s="375">
        <v>748</v>
      </c>
      <c r="C69" s="376">
        <v>-8.8999999999999999E-3</v>
      </c>
      <c r="D69" s="376">
        <v>8.5600000000000009E-2</v>
      </c>
      <c r="E69" s="376">
        <v>0.217</v>
      </c>
      <c r="F69" s="376">
        <v>3.9164007915296513E-2</v>
      </c>
      <c r="G69" s="376">
        <v>0.24888574141893349</v>
      </c>
      <c r="H69" s="376">
        <v>0.55886524822695038</v>
      </c>
      <c r="I69" s="377">
        <v>6.2065017625259858E-2</v>
      </c>
      <c r="J69" s="377">
        <v>0.114455884389861</v>
      </c>
      <c r="K69" s="377">
        <v>0.40470522335807307</v>
      </c>
      <c r="L69" s="378">
        <v>6.3699537930841876E-2</v>
      </c>
      <c r="M69" s="378">
        <v>6.9017345382925199E-2</v>
      </c>
      <c r="N69" s="378">
        <v>7.6001967295689754E-2</v>
      </c>
      <c r="O69" s="377">
        <v>0.24000722037665451</v>
      </c>
      <c r="P69" s="377">
        <v>0.75325132599579625</v>
      </c>
      <c r="Q69" s="377">
        <v>1.3878304612404451</v>
      </c>
      <c r="R69" s="378">
        <v>1.7010329071151551E-2</v>
      </c>
      <c r="S69" s="378">
        <v>0.32308154678421158</v>
      </c>
      <c r="T69" s="378">
        <v>0.5860375169212918</v>
      </c>
    </row>
    <row r="70" spans="1:20">
      <c r="A70" s="374" t="s">
        <v>696</v>
      </c>
      <c r="B70" s="375">
        <v>326</v>
      </c>
      <c r="C70" s="376">
        <v>2.76E-2</v>
      </c>
      <c r="D70" s="376">
        <v>0.111</v>
      </c>
      <c r="E70" s="376">
        <v>0.221</v>
      </c>
      <c r="F70" s="376">
        <v>-1.7171717171717171E-2</v>
      </c>
      <c r="G70" s="376">
        <v>7.3288590604026843E-2</v>
      </c>
      <c r="H70" s="376">
        <v>0.15302491103202839</v>
      </c>
      <c r="I70" s="377">
        <v>0.59234608985024961</v>
      </c>
      <c r="J70" s="377">
        <v>1.152364273204904</v>
      </c>
      <c r="K70" s="377">
        <v>2.0393120393120392</v>
      </c>
      <c r="L70" s="378">
        <v>8.0039371440511528E-2</v>
      </c>
      <c r="M70" s="378">
        <v>8.5838909031615215E-2</v>
      </c>
      <c r="N70" s="378">
        <v>8.8957667812332039E-2</v>
      </c>
      <c r="O70" s="377">
        <v>0.49248821353849581</v>
      </c>
      <c r="P70" s="377">
        <v>1.0215299753558169</v>
      </c>
      <c r="Q70" s="377">
        <v>1.4430485862898921</v>
      </c>
      <c r="R70" s="378">
        <v>3.3153584981026572E-2</v>
      </c>
      <c r="S70" s="378">
        <v>0.15628281414070699</v>
      </c>
      <c r="T70" s="378">
        <v>0.39432989690721648</v>
      </c>
    </row>
    <row r="71" spans="1:20">
      <c r="A71" s="374" t="s">
        <v>697</v>
      </c>
      <c r="B71" s="375">
        <v>34</v>
      </c>
      <c r="C71" s="376">
        <v>3.9100000000000003E-2</v>
      </c>
      <c r="D71" s="376">
        <v>8.3400000000000002E-2</v>
      </c>
      <c r="E71" s="376">
        <v>0.14399999999999999</v>
      </c>
      <c r="F71" s="376">
        <v>7.7487391104997722E-2</v>
      </c>
      <c r="G71" s="376">
        <v>0.10256482697894739</v>
      </c>
      <c r="H71" s="376">
        <v>0.15725047080979279</v>
      </c>
      <c r="I71" s="377">
        <v>0.82341925534258653</v>
      </c>
      <c r="J71" s="377">
        <v>1.260978043912176</v>
      </c>
      <c r="K71" s="377">
        <v>2.1537758830694269</v>
      </c>
      <c r="L71" s="378">
        <v>9.7940903291376155E-2</v>
      </c>
      <c r="M71" s="378">
        <v>0.1077752683169365</v>
      </c>
      <c r="N71" s="378">
        <v>0.11953067228079151</v>
      </c>
      <c r="O71" s="377">
        <v>0.64493288996689391</v>
      </c>
      <c r="P71" s="377">
        <v>1.0485471773958119</v>
      </c>
      <c r="Q71" s="377">
        <v>1.432393592985552</v>
      </c>
      <c r="R71" s="378">
        <v>7.3060088601961998E-5</v>
      </c>
      <c r="S71" s="378">
        <v>0.15210071430461899</v>
      </c>
      <c r="T71" s="378">
        <v>0.28999273162182582</v>
      </c>
    </row>
    <row r="72" spans="1:20">
      <c r="A72" s="374" t="s">
        <v>698</v>
      </c>
      <c r="B72" s="375">
        <v>394</v>
      </c>
      <c r="C72" s="376">
        <v>1.7899999999999999E-2</v>
      </c>
      <c r="D72" s="376">
        <v>9.5899999999999999E-2</v>
      </c>
      <c r="E72" s="376">
        <v>0.17899999999999999</v>
      </c>
      <c r="F72" s="376">
        <v>-1.884905590244753E-2</v>
      </c>
      <c r="G72" s="376">
        <v>3.4403669724770637E-2</v>
      </c>
      <c r="H72" s="376">
        <v>8.5287514338112838E-2</v>
      </c>
      <c r="I72" s="377">
        <v>1.238805970149254</v>
      </c>
      <c r="J72" s="377">
        <v>2.003274073190966</v>
      </c>
      <c r="K72" s="377">
        <v>3.3239831697054689</v>
      </c>
      <c r="L72" s="378">
        <v>7.7647838866700625E-2</v>
      </c>
      <c r="M72" s="378">
        <v>8.3865100905391815E-2</v>
      </c>
      <c r="N72" s="378">
        <v>8.6317421086582441E-2</v>
      </c>
      <c r="O72" s="377">
        <v>0.4306930231827682</v>
      </c>
      <c r="P72" s="377">
        <v>0.80487294393842557</v>
      </c>
      <c r="Q72" s="377">
        <v>1.3828173326685711</v>
      </c>
      <c r="R72" s="378">
        <v>9.8814367775516401E-2</v>
      </c>
      <c r="S72" s="378">
        <v>0.23566477630749841</v>
      </c>
      <c r="T72" s="378">
        <v>0.43759999999999999</v>
      </c>
    </row>
    <row r="73" spans="1:20">
      <c r="A73" s="374" t="s">
        <v>699</v>
      </c>
      <c r="B73" s="375">
        <v>204</v>
      </c>
      <c r="C73" s="376">
        <v>3.9E-2</v>
      </c>
      <c r="D73" s="376">
        <v>0.11700000000000001</v>
      </c>
      <c r="E73" s="376">
        <v>0.20499999999999999</v>
      </c>
      <c r="F73" s="376">
        <v>6.9640847854514484E-4</v>
      </c>
      <c r="G73" s="376">
        <v>2.8998242530755711E-2</v>
      </c>
      <c r="H73" s="376">
        <v>5.6745436306521603E-2</v>
      </c>
      <c r="I73" s="377">
        <v>1.509438359356793</v>
      </c>
      <c r="J73" s="377">
        <v>2.5226428239665579</v>
      </c>
      <c r="K73" s="377">
        <v>4.593055065301801</v>
      </c>
      <c r="L73" s="378">
        <v>7.149466568881499E-2</v>
      </c>
      <c r="M73" s="378">
        <v>7.6814514082902796E-2</v>
      </c>
      <c r="N73" s="378">
        <v>9.2640425743400936E-2</v>
      </c>
      <c r="O73" s="377">
        <v>0.39879873138626359</v>
      </c>
      <c r="P73" s="377">
        <v>0.87015063374642387</v>
      </c>
      <c r="Q73" s="377">
        <v>1.396339251109677</v>
      </c>
      <c r="R73" s="378">
        <v>0.1118655948387362</v>
      </c>
      <c r="S73" s="378">
        <v>0.36859582542694502</v>
      </c>
      <c r="T73" s="378">
        <v>0.61788061160332586</v>
      </c>
    </row>
    <row r="74" spans="1:20">
      <c r="A74" s="374" t="s">
        <v>700</v>
      </c>
      <c r="B74" s="375">
        <v>120</v>
      </c>
      <c r="C74" s="376">
        <v>-3.6900000000000001E-3</v>
      </c>
      <c r="D74" s="376">
        <v>5.28E-2</v>
      </c>
      <c r="E74" s="376">
        <v>0.11</v>
      </c>
      <c r="F74" s="376">
        <v>1.6724738675958192E-2</v>
      </c>
      <c r="G74" s="376">
        <v>4.1516245487364621E-2</v>
      </c>
      <c r="H74" s="376">
        <v>0.112881473660064</v>
      </c>
      <c r="I74" s="377">
        <v>1.293890538837104</v>
      </c>
      <c r="J74" s="377">
        <v>1.9372332656940721</v>
      </c>
      <c r="K74" s="377">
        <v>3.7225170583775591</v>
      </c>
      <c r="L74" s="378">
        <v>8.0847810676623874E-2</v>
      </c>
      <c r="M74" s="378">
        <v>8.8554527072575301E-2</v>
      </c>
      <c r="N74" s="378">
        <v>0.1044138033791024</v>
      </c>
      <c r="O74" s="377">
        <v>0.57329256819100305</v>
      </c>
      <c r="P74" s="377">
        <v>0.9935419811848315</v>
      </c>
      <c r="Q74" s="377">
        <v>1.563840635206271</v>
      </c>
      <c r="R74" s="378">
        <v>0.10358565737051791</v>
      </c>
      <c r="S74" s="378">
        <v>0.29865925893634521</v>
      </c>
      <c r="T74" s="378">
        <v>0.51141147795258146</v>
      </c>
    </row>
    <row r="75" spans="1:20">
      <c r="A75" s="374" t="s">
        <v>701</v>
      </c>
      <c r="B75" s="375">
        <v>1028</v>
      </c>
      <c r="C75" s="376">
        <v>5.8599999999999998E-3</v>
      </c>
      <c r="D75" s="376">
        <v>8.2899999999999988E-2</v>
      </c>
      <c r="E75" s="376">
        <v>0.19500000000000001</v>
      </c>
      <c r="F75" s="376">
        <v>0</v>
      </c>
      <c r="G75" s="376">
        <v>3.5869459755766123E-2</v>
      </c>
      <c r="H75" s="376">
        <v>8.9366515837104074E-2</v>
      </c>
      <c r="I75" s="377">
        <v>0.72392638036809809</v>
      </c>
      <c r="J75" s="377">
        <v>1.830220713073005</v>
      </c>
      <c r="K75" s="377">
        <v>3.384887777951362</v>
      </c>
      <c r="L75" s="378">
        <v>6.8468769782548927E-2</v>
      </c>
      <c r="M75" s="378">
        <v>7.2293050002270584E-2</v>
      </c>
      <c r="N75" s="378">
        <v>8.4014751384094422E-2</v>
      </c>
      <c r="O75" s="377">
        <v>0.28580845660354609</v>
      </c>
      <c r="P75" s="377">
        <v>0.77280051730096577</v>
      </c>
      <c r="Q75" s="377">
        <v>1.2466393104526821</v>
      </c>
      <c r="R75" s="378">
        <v>1.7285878500010839E-2</v>
      </c>
      <c r="S75" s="378">
        <v>0.15924826904055389</v>
      </c>
      <c r="T75" s="378">
        <v>0.43095072866065232</v>
      </c>
    </row>
    <row r="76" spans="1:20">
      <c r="A76" s="374" t="s">
        <v>629</v>
      </c>
      <c r="B76" s="375">
        <v>256</v>
      </c>
      <c r="C76" s="376">
        <v>-7.7600000000000002E-2</v>
      </c>
      <c r="D76" s="376">
        <v>2.5399999999999999E-2</v>
      </c>
      <c r="E76" s="376">
        <v>0.111</v>
      </c>
      <c r="F76" s="376">
        <v>-9.2028254288597407E-3</v>
      </c>
      <c r="G76" s="376">
        <v>3.9183829900711613E-2</v>
      </c>
      <c r="H76" s="376">
        <v>8.6924532268236293E-2</v>
      </c>
      <c r="I76" s="377">
        <v>0.69201228878648224</v>
      </c>
      <c r="J76" s="377">
        <v>1.828811105749601</v>
      </c>
      <c r="K76" s="377">
        <v>3.3473735319253168</v>
      </c>
      <c r="L76" s="378">
        <v>8.2986760928724423E-2</v>
      </c>
      <c r="M76" s="378">
        <v>8.9362196316224662E-2</v>
      </c>
      <c r="N76" s="378">
        <v>9.2882864533665996E-2</v>
      </c>
      <c r="O76" s="377">
        <v>0.54106656581927171</v>
      </c>
      <c r="P76" s="377">
        <v>0.92803832948880505</v>
      </c>
      <c r="Q76" s="377">
        <v>1.405315979839749</v>
      </c>
      <c r="R76" s="378">
        <v>8.8151174668028603E-2</v>
      </c>
      <c r="S76" s="378">
        <v>0.26510752066915638</v>
      </c>
      <c r="T76" s="378">
        <v>0.57067649381416163</v>
      </c>
    </row>
    <row r="77" spans="1:20">
      <c r="A77" s="374" t="s">
        <v>702</v>
      </c>
      <c r="B77" s="375">
        <v>201</v>
      </c>
      <c r="C77" s="376">
        <v>-1.83E-3</v>
      </c>
      <c r="D77" s="376">
        <v>4.82E-2</v>
      </c>
      <c r="E77" s="376">
        <v>0.11700000000000001</v>
      </c>
      <c r="F77" s="376">
        <v>1.449814126394052E-2</v>
      </c>
      <c r="G77" s="376">
        <v>3.219404698305136E-2</v>
      </c>
      <c r="H77" s="376">
        <v>4.9797596987658253E-2</v>
      </c>
      <c r="I77" s="377">
        <v>2.2313175227861679</v>
      </c>
      <c r="J77" s="377">
        <v>3.2014652014652021</v>
      </c>
      <c r="K77" s="377">
        <v>4.6938294865756012</v>
      </c>
      <c r="L77" s="378">
        <v>6.5765152711012673E-2</v>
      </c>
      <c r="M77" s="378">
        <v>6.79152189118815E-2</v>
      </c>
      <c r="N77" s="378">
        <v>7.3132723099417735E-2</v>
      </c>
      <c r="O77" s="377">
        <v>0.32960637094520218</v>
      </c>
      <c r="P77" s="377">
        <v>0.56405823579270031</v>
      </c>
      <c r="Q77" s="377">
        <v>0.90966209256994079</v>
      </c>
      <c r="R77" s="378">
        <v>0.1104667026734389</v>
      </c>
      <c r="S77" s="378">
        <v>0.29022155427352497</v>
      </c>
      <c r="T77" s="378">
        <v>0.44469991809732468</v>
      </c>
    </row>
    <row r="78" spans="1:20">
      <c r="A78" s="374" t="s">
        <v>871</v>
      </c>
      <c r="B78" s="375">
        <v>123</v>
      </c>
      <c r="C78" s="376">
        <v>1.35E-2</v>
      </c>
      <c r="D78" s="376">
        <v>5.3199999999999997E-2</v>
      </c>
      <c r="E78" s="376">
        <v>0.12</v>
      </c>
      <c r="F78" s="376">
        <v>0.39862542955326458</v>
      </c>
      <c r="G78" s="376">
        <v>0.55976331360946752</v>
      </c>
      <c r="H78" s="376">
        <v>0.67736486486486491</v>
      </c>
      <c r="I78" s="377">
        <v>7.4796378622189075E-2</v>
      </c>
      <c r="J78" s="377">
        <v>9.7135061276964599E-2</v>
      </c>
      <c r="K78" s="377">
        <v>0.1232116788321168</v>
      </c>
      <c r="L78" s="378">
        <v>6.2657273264776672E-2</v>
      </c>
      <c r="M78" s="378">
        <v>6.6429718754341935E-2</v>
      </c>
      <c r="N78" s="378">
        <v>7.5384298269321443E-2</v>
      </c>
      <c r="O78" s="377">
        <v>0.57039866729441513</v>
      </c>
      <c r="P78" s="377">
        <v>0.91393622702165489</v>
      </c>
      <c r="Q78" s="377">
        <v>1.298589233613985</v>
      </c>
      <c r="R78" s="378">
        <v>0.33572596423634699</v>
      </c>
      <c r="S78" s="378">
        <v>0.44398136798234861</v>
      </c>
      <c r="T78" s="378">
        <v>0.56147400820793447</v>
      </c>
    </row>
    <row r="79" spans="1:20">
      <c r="A79" s="374" t="s">
        <v>703</v>
      </c>
      <c r="B79" s="375">
        <v>639</v>
      </c>
      <c r="C79" s="376">
        <v>7.000000000000001E-4</v>
      </c>
      <c r="D79" s="376">
        <v>7.2099999999999997E-2</v>
      </c>
      <c r="E79" s="376">
        <v>0.155</v>
      </c>
      <c r="F79" s="376">
        <v>-9.6470445683352179E-3</v>
      </c>
      <c r="G79" s="376">
        <v>3.7822014051522253E-2</v>
      </c>
      <c r="H79" s="376">
        <v>8.8241858930157679E-2</v>
      </c>
      <c r="I79" s="377">
        <v>1.5008876143656971</v>
      </c>
      <c r="J79" s="377">
        <v>2.505426167540544</v>
      </c>
      <c r="K79" s="377">
        <v>4.0348387096774179</v>
      </c>
      <c r="L79" s="378">
        <v>8.3347129691659055E-2</v>
      </c>
      <c r="M79" s="378">
        <v>9.0290010745572066E-2</v>
      </c>
      <c r="N79" s="378">
        <v>9.4576713533445878E-2</v>
      </c>
      <c r="O79" s="377">
        <v>0.59112515360494478</v>
      </c>
      <c r="P79" s="377">
        <v>0.97724684358767111</v>
      </c>
      <c r="Q79" s="377">
        <v>1.4797782516918061</v>
      </c>
      <c r="R79" s="378">
        <v>5.7053446414970177E-2</v>
      </c>
      <c r="S79" s="378">
        <v>0.2220438253318559</v>
      </c>
      <c r="T79" s="378">
        <v>0.47420315337162461</v>
      </c>
    </row>
    <row r="80" spans="1:20">
      <c r="A80" s="374" t="s">
        <v>704</v>
      </c>
      <c r="B80" s="375">
        <v>89</v>
      </c>
      <c r="C80" s="376">
        <v>5.0199999999999988E-2</v>
      </c>
      <c r="D80" s="376">
        <v>0.125</v>
      </c>
      <c r="E80" s="376">
        <v>0.17399999999999999</v>
      </c>
      <c r="F80" s="376">
        <v>3.8447058823529411E-2</v>
      </c>
      <c r="G80" s="376">
        <v>6.6505441354292621E-2</v>
      </c>
      <c r="H80" s="376">
        <v>9.7063730397063716E-2</v>
      </c>
      <c r="I80" s="377">
        <v>0.89117868811259104</v>
      </c>
      <c r="J80" s="377">
        <v>1.2448047002502449</v>
      </c>
      <c r="K80" s="377">
        <v>1.6248138805487009</v>
      </c>
      <c r="L80" s="378">
        <v>8.3225080297708864E-2</v>
      </c>
      <c r="M80" s="378">
        <v>9.1629385791780468E-2</v>
      </c>
      <c r="N80" s="378">
        <v>0.1050026281815768</v>
      </c>
      <c r="O80" s="377">
        <v>0.62745172770998814</v>
      </c>
      <c r="P80" s="377">
        <v>1.0901714185903471</v>
      </c>
      <c r="Q80" s="377">
        <v>1.3820510889037141</v>
      </c>
      <c r="R80" s="378">
        <v>8.2506638991483777E-2</v>
      </c>
      <c r="S80" s="378">
        <v>0.23076923076923081</v>
      </c>
      <c r="T80" s="378">
        <v>0.45530740225838401</v>
      </c>
    </row>
    <row r="81" spans="1:20">
      <c r="A81" s="374" t="s">
        <v>705</v>
      </c>
      <c r="B81" s="375">
        <v>647</v>
      </c>
      <c r="C81" s="376">
        <v>-2.7300000000000001E-2</v>
      </c>
      <c r="D81" s="376">
        <v>7.51E-2</v>
      </c>
      <c r="E81" s="376">
        <v>0.20799999999999999</v>
      </c>
      <c r="F81" s="376">
        <v>-0.1291711517761033</v>
      </c>
      <c r="G81" s="376">
        <v>1.6090669646420301E-2</v>
      </c>
      <c r="H81" s="376">
        <v>0.1102148059371255</v>
      </c>
      <c r="I81" s="377">
        <v>0.5772338482117424</v>
      </c>
      <c r="J81" s="377">
        <v>0.94017335588170348</v>
      </c>
      <c r="K81" s="377">
        <v>1.5921681397217411</v>
      </c>
      <c r="L81" s="378">
        <v>0.1245526186995488</v>
      </c>
      <c r="M81" s="378">
        <v>0.12864727599597811</v>
      </c>
      <c r="N81" s="378">
        <v>0.1300069104193769</v>
      </c>
      <c r="O81" s="377">
        <v>1.1354869577204529</v>
      </c>
      <c r="P81" s="377">
        <v>1.5897351674892799</v>
      </c>
      <c r="Q81" s="377">
        <v>2.2103832026168888</v>
      </c>
      <c r="R81" s="378">
        <v>4.636922326004482E-3</v>
      </c>
      <c r="S81" s="378">
        <v>5.1249470563320618E-2</v>
      </c>
      <c r="T81" s="378">
        <v>0.1706295691674356</v>
      </c>
    </row>
    <row r="82" spans="1:20">
      <c r="A82" s="374" t="s">
        <v>706</v>
      </c>
      <c r="B82" s="375">
        <v>367</v>
      </c>
      <c r="C82" s="376">
        <v>8.3099999999999997E-3</v>
      </c>
      <c r="D82" s="376">
        <v>0.125</v>
      </c>
      <c r="E82" s="376">
        <v>0.254</v>
      </c>
      <c r="F82" s="376">
        <v>1.2637362637362639E-2</v>
      </c>
      <c r="G82" s="376">
        <v>9.6600000000000005E-2</v>
      </c>
      <c r="H82" s="376">
        <v>0.18473828224609001</v>
      </c>
      <c r="I82" s="377">
        <v>0.74375031692104854</v>
      </c>
      <c r="J82" s="377">
        <v>1.152439024390244</v>
      </c>
      <c r="K82" s="377">
        <v>1.7471871012643549</v>
      </c>
      <c r="L82" s="378">
        <v>0.13919191584172261</v>
      </c>
      <c r="M82" s="378">
        <v>0.14318430250820721</v>
      </c>
      <c r="N82" s="378">
        <v>0.1470322636012131</v>
      </c>
      <c r="O82" s="377">
        <v>1.299608294458068</v>
      </c>
      <c r="P82" s="377">
        <v>1.959755909254536</v>
      </c>
      <c r="Q82" s="377">
        <v>2.5751902920126302</v>
      </c>
      <c r="R82" s="378">
        <v>9.802950787206657E-3</v>
      </c>
      <c r="S82" s="378">
        <v>6.5410075171098397E-2</v>
      </c>
      <c r="T82" s="378">
        <v>0.1733181299885975</v>
      </c>
    </row>
    <row r="83" spans="1:20">
      <c r="A83" s="374" t="s">
        <v>707</v>
      </c>
      <c r="B83" s="375">
        <v>348</v>
      </c>
      <c r="C83" s="376">
        <v>4.8800000000000003E-2</v>
      </c>
      <c r="D83" s="376">
        <v>0.11600000000000001</v>
      </c>
      <c r="E83" s="376">
        <v>0.19</v>
      </c>
      <c r="F83" s="376">
        <v>6.260683760683762E-2</v>
      </c>
      <c r="G83" s="376">
        <v>0.14571428571428571</v>
      </c>
      <c r="H83" s="376">
        <v>0.26240391334730961</v>
      </c>
      <c r="I83" s="377">
        <v>0.31668901956738538</v>
      </c>
      <c r="J83" s="377">
        <v>0.59942614724198673</v>
      </c>
      <c r="K83" s="377">
        <v>1.0382285356172971</v>
      </c>
      <c r="L83" s="378">
        <v>8.17372818979578E-2</v>
      </c>
      <c r="M83" s="378">
        <v>8.7015137507967716E-2</v>
      </c>
      <c r="N83" s="378">
        <v>0.10488429589138749</v>
      </c>
      <c r="O83" s="377">
        <v>0.48569709678570172</v>
      </c>
      <c r="P83" s="377">
        <v>0.86760639393729433</v>
      </c>
      <c r="Q83" s="377">
        <v>1.3364441315155371</v>
      </c>
      <c r="R83" s="378">
        <v>8.0586461474472279E-2</v>
      </c>
      <c r="S83" s="378">
        <v>0.25472404805692828</v>
      </c>
      <c r="T83" s="378">
        <v>0.48100306085198391</v>
      </c>
    </row>
    <row r="84" spans="1:20">
      <c r="A84" s="374" t="s">
        <v>708</v>
      </c>
      <c r="B84" s="375">
        <v>85</v>
      </c>
      <c r="C84" s="376">
        <v>-2.0500000000000001E-2</v>
      </c>
      <c r="D84" s="376">
        <v>8.8699999999999987E-2</v>
      </c>
      <c r="E84" s="376">
        <v>0.19700000000000001</v>
      </c>
      <c r="F84" s="376">
        <v>-3.8802322028719832E-2</v>
      </c>
      <c r="G84" s="376">
        <v>6.9354838709677416E-2</v>
      </c>
      <c r="H84" s="376">
        <v>0.10719026548672569</v>
      </c>
      <c r="I84" s="377">
        <v>0.80960957643419917</v>
      </c>
      <c r="J84" s="377">
        <v>1.3375544123466561</v>
      </c>
      <c r="K84" s="377">
        <v>1.8299052432272711</v>
      </c>
      <c r="L84" s="378">
        <v>8.3546536247911571E-2</v>
      </c>
      <c r="M84" s="378">
        <v>8.6796341575525224E-2</v>
      </c>
      <c r="N84" s="378">
        <v>0.1058361300461733</v>
      </c>
      <c r="O84" s="377">
        <v>0.26188787458685042</v>
      </c>
      <c r="P84" s="377">
        <v>0.89594114958574467</v>
      </c>
      <c r="Q84" s="377">
        <v>1.427592145866355</v>
      </c>
      <c r="R84" s="378">
        <v>2.5221469515372592E-2</v>
      </c>
      <c r="S84" s="378">
        <v>0.13153083755050299</v>
      </c>
      <c r="T84" s="378">
        <v>0.38256583946192169</v>
      </c>
    </row>
    <row r="85" spans="1:20">
      <c r="A85" s="374" t="s">
        <v>709</v>
      </c>
      <c r="B85" s="375">
        <v>317</v>
      </c>
      <c r="C85" s="376">
        <v>8.9899999999999997E-3</v>
      </c>
      <c r="D85" s="376">
        <v>0.13300000000000001</v>
      </c>
      <c r="E85" s="376">
        <v>0.25600000000000001</v>
      </c>
      <c r="F85" s="376">
        <v>-0.27525423728813558</v>
      </c>
      <c r="G85" s="376">
        <v>1.6951644048883809E-2</v>
      </c>
      <c r="H85" s="376">
        <v>0.14157706093189959</v>
      </c>
      <c r="I85" s="377">
        <v>0.91224247226624389</v>
      </c>
      <c r="J85" s="377">
        <v>2.5496183206106871</v>
      </c>
      <c r="K85" s="377">
        <v>5.7998713906980379</v>
      </c>
      <c r="L85" s="378">
        <v>0.1007463724299459</v>
      </c>
      <c r="M85" s="378">
        <v>0.1085721408462354</v>
      </c>
      <c r="N85" s="378">
        <v>0.1146544256520548</v>
      </c>
      <c r="O85" s="377">
        <v>0.76193732058256947</v>
      </c>
      <c r="P85" s="377">
        <v>1.3086136878697161</v>
      </c>
      <c r="Q85" s="377">
        <v>1.785023602020636</v>
      </c>
      <c r="R85" s="378">
        <v>3.0534056101496751E-3</v>
      </c>
      <c r="S85" s="378">
        <v>4.1322314049586778E-2</v>
      </c>
      <c r="T85" s="378">
        <v>0.19467101685698751</v>
      </c>
    </row>
    <row r="86" spans="1:20">
      <c r="A86" s="374" t="s">
        <v>710</v>
      </c>
      <c r="B86" s="375">
        <v>151</v>
      </c>
      <c r="C86" s="376">
        <v>3.4299999999999997E-2</v>
      </c>
      <c r="D86" s="376">
        <v>0.10100000000000001</v>
      </c>
      <c r="E86" s="376">
        <v>0.28499999999999998</v>
      </c>
      <c r="F86" s="376">
        <v>-0.23154981549815501</v>
      </c>
      <c r="G86" s="376">
        <v>-1.9433091842255001E-2</v>
      </c>
      <c r="H86" s="376">
        <v>8.6965230967256238E-2</v>
      </c>
      <c r="I86" s="377">
        <v>0.54626532887402457</v>
      </c>
      <c r="J86" s="377">
        <v>1.515500159795462</v>
      </c>
      <c r="K86" s="377">
        <v>2.9000384707827598</v>
      </c>
      <c r="L86" s="378">
        <v>9.6376205645205354E-2</v>
      </c>
      <c r="M86" s="378">
        <v>0.1048327872776708</v>
      </c>
      <c r="N86" s="378">
        <v>0.1096618806784429</v>
      </c>
      <c r="O86" s="377">
        <v>0.74253372156598074</v>
      </c>
      <c r="P86" s="377">
        <v>1.2056987862135571</v>
      </c>
      <c r="Q86" s="377">
        <v>1.8772240434414049</v>
      </c>
      <c r="R86" s="378">
        <v>1.7836890401072281E-2</v>
      </c>
      <c r="S86" s="378">
        <v>8.7999999999999995E-2</v>
      </c>
      <c r="T86" s="378">
        <v>0.25531914893617019</v>
      </c>
    </row>
    <row r="87" spans="1:20">
      <c r="A87" s="374" t="s">
        <v>711</v>
      </c>
      <c r="B87" s="375">
        <v>1616</v>
      </c>
      <c r="C87" s="376">
        <v>2.41E-2</v>
      </c>
      <c r="D87" s="376">
        <v>0.111</v>
      </c>
      <c r="E87" s="376">
        <v>0.23799999999999999</v>
      </c>
      <c r="F87" s="376">
        <v>-0.37198067632850251</v>
      </c>
      <c r="G87" s="376">
        <v>-2.5851851851851852E-2</v>
      </c>
      <c r="H87" s="376">
        <v>9.610491289880603E-2</v>
      </c>
      <c r="I87" s="377">
        <v>0.73765702600058436</v>
      </c>
      <c r="J87" s="377">
        <v>1.7767879237812421</v>
      </c>
      <c r="K87" s="377">
        <v>3.9872340425531911</v>
      </c>
      <c r="L87" s="378">
        <v>9.744367380212228E-2</v>
      </c>
      <c r="M87" s="378">
        <v>0.1053022598065645</v>
      </c>
      <c r="N87" s="378">
        <v>0.1106470044818328</v>
      </c>
      <c r="O87" s="377">
        <v>0.68995320026392704</v>
      </c>
      <c r="P87" s="377">
        <v>1.157974733301631</v>
      </c>
      <c r="Q87" s="377">
        <v>1.734772861380218</v>
      </c>
      <c r="R87" s="378">
        <v>2.6785290065092409E-3</v>
      </c>
      <c r="S87" s="378">
        <v>2.9409973817207571E-2</v>
      </c>
      <c r="T87" s="378">
        <v>0.14481645824929409</v>
      </c>
    </row>
    <row r="88" spans="1:20">
      <c r="A88" s="374" t="s">
        <v>712</v>
      </c>
      <c r="B88" s="375">
        <v>718</v>
      </c>
      <c r="C88" s="376">
        <v>7.0400000000000004E-2</v>
      </c>
      <c r="D88" s="376">
        <v>0.14499999999999999</v>
      </c>
      <c r="E88" s="376">
        <v>0.24299999999999999</v>
      </c>
      <c r="F88" s="376">
        <v>-2.836269875376021E-3</v>
      </c>
      <c r="G88" s="376">
        <v>4.0440579897980528E-2</v>
      </c>
      <c r="H88" s="376">
        <v>9.8270391339513471E-2</v>
      </c>
      <c r="I88" s="377">
        <v>0.88267424076906265</v>
      </c>
      <c r="J88" s="377">
        <v>1.39622641509434</v>
      </c>
      <c r="K88" s="377">
        <v>2.1490196078431372</v>
      </c>
      <c r="L88" s="378">
        <v>8.7923345208853837E-2</v>
      </c>
      <c r="M88" s="378">
        <v>9.3824426168008276E-2</v>
      </c>
      <c r="N88" s="378">
        <v>0.114034389437253</v>
      </c>
      <c r="O88" s="377">
        <v>0.6168803328960546</v>
      </c>
      <c r="P88" s="377">
        <v>1.1441809357529169</v>
      </c>
      <c r="Q88" s="377">
        <v>1.614821422538262</v>
      </c>
      <c r="R88" s="378">
        <v>4.342190537913157E-2</v>
      </c>
      <c r="S88" s="378">
        <v>0.23367560022511749</v>
      </c>
      <c r="T88" s="378">
        <v>0.46398659966499162</v>
      </c>
    </row>
    <row r="89" spans="1:20">
      <c r="A89" s="374" t="s">
        <v>713</v>
      </c>
      <c r="B89" s="375">
        <v>98</v>
      </c>
      <c r="C89" s="376">
        <v>1.77E-2</v>
      </c>
      <c r="D89" s="376">
        <v>5.6300000000000003E-2</v>
      </c>
      <c r="E89" s="376">
        <v>0.11899999999999999</v>
      </c>
      <c r="F89" s="376">
        <v>4.1473892927957702E-2</v>
      </c>
      <c r="G89" s="376">
        <v>0.13287367643437581</v>
      </c>
      <c r="H89" s="376">
        <v>0.19470138175174151</v>
      </c>
      <c r="I89" s="377">
        <v>0.57517241379310335</v>
      </c>
      <c r="J89" s="377">
        <v>0.97610325949409249</v>
      </c>
      <c r="K89" s="377">
        <v>1.698482215822086</v>
      </c>
      <c r="L89" s="378">
        <v>6.806752705099503E-2</v>
      </c>
      <c r="M89" s="378">
        <v>7.4531356092882889E-2</v>
      </c>
      <c r="N89" s="378">
        <v>8.7458804560113179E-2</v>
      </c>
      <c r="O89" s="377">
        <v>0.35604025679875873</v>
      </c>
      <c r="P89" s="377">
        <v>0.70005951045207115</v>
      </c>
      <c r="Q89" s="377">
        <v>1.142183985941259</v>
      </c>
      <c r="R89" s="378">
        <v>4.6743453676299243E-2</v>
      </c>
      <c r="S89" s="378">
        <v>0.22711259948680029</v>
      </c>
      <c r="T89" s="378">
        <v>0.41267602266478592</v>
      </c>
    </row>
    <row r="90" spans="1:20">
      <c r="A90" s="374" t="s">
        <v>714</v>
      </c>
      <c r="B90" s="375">
        <v>453</v>
      </c>
      <c r="C90" s="376">
        <v>-3.7499999999999999E-2</v>
      </c>
      <c r="D90" s="376">
        <v>4.7899999999999998E-2</v>
      </c>
      <c r="E90" s="376">
        <v>0.14699999999999999</v>
      </c>
      <c r="F90" s="376">
        <v>-0.1044444444444444</v>
      </c>
      <c r="G90" s="376">
        <v>1.5758131012368299E-2</v>
      </c>
      <c r="H90" s="376">
        <v>9.3375394321766558E-2</v>
      </c>
      <c r="I90" s="377">
        <v>0.76195955942791394</v>
      </c>
      <c r="J90" s="377">
        <v>1.330755502676978</v>
      </c>
      <c r="K90" s="377">
        <v>2.1664337899140249</v>
      </c>
      <c r="L90" s="378">
        <v>9.291137856426393E-2</v>
      </c>
      <c r="M90" s="378">
        <v>0.1021127163557362</v>
      </c>
      <c r="N90" s="378">
        <v>0.1044950010005805</v>
      </c>
      <c r="O90" s="377">
        <v>0.65289832235417944</v>
      </c>
      <c r="P90" s="377">
        <v>1.099982499945418</v>
      </c>
      <c r="Q90" s="377">
        <v>1.656834221410225</v>
      </c>
      <c r="R90" s="378">
        <v>1.331319044471721E-2</v>
      </c>
      <c r="S90" s="378">
        <v>8.8424437299035374E-2</v>
      </c>
      <c r="T90" s="378">
        <v>0.26403326403326399</v>
      </c>
    </row>
    <row r="91" spans="1:20">
      <c r="A91" s="374" t="s">
        <v>715</v>
      </c>
      <c r="B91" s="375">
        <v>288</v>
      </c>
      <c r="C91" s="376">
        <v>7.4000000000000003E-3</v>
      </c>
      <c r="D91" s="376">
        <v>6.3600000000000004E-2</v>
      </c>
      <c r="E91" s="376">
        <v>0.16700000000000001</v>
      </c>
      <c r="F91" s="376">
        <v>-2.1141649048625789E-4</v>
      </c>
      <c r="G91" s="376">
        <v>9.4412992508720761E-2</v>
      </c>
      <c r="H91" s="376">
        <v>0.195330338071739</v>
      </c>
      <c r="I91" s="377">
        <v>0.55616170305538803</v>
      </c>
      <c r="J91" s="377">
        <v>0.89120825147347738</v>
      </c>
      <c r="K91" s="377">
        <v>1.7151709786218761</v>
      </c>
      <c r="L91" s="378">
        <v>6.3306443607924853E-2</v>
      </c>
      <c r="M91" s="378">
        <v>6.8797445653512521E-2</v>
      </c>
      <c r="N91" s="378">
        <v>8.0930078828441124E-2</v>
      </c>
      <c r="O91" s="377">
        <v>0.35978012444400848</v>
      </c>
      <c r="P91" s="377">
        <v>0.77696964572808702</v>
      </c>
      <c r="Q91" s="377">
        <v>1.191754966383076</v>
      </c>
      <c r="R91" s="378">
        <v>8.2671081677704206E-2</v>
      </c>
      <c r="S91" s="378">
        <v>0.22747337164892881</v>
      </c>
      <c r="T91" s="378">
        <v>0.45170866868980081</v>
      </c>
    </row>
    <row r="92" spans="1:20">
      <c r="A92" s="374" t="s">
        <v>716</v>
      </c>
      <c r="B92" s="375">
        <v>56</v>
      </c>
      <c r="C92" s="376">
        <v>2.7E-2</v>
      </c>
      <c r="D92" s="376">
        <v>6.13E-2</v>
      </c>
      <c r="E92" s="376">
        <v>0.14899999999999999</v>
      </c>
      <c r="F92" s="376">
        <v>-5.7561869844179646E-3</v>
      </c>
      <c r="G92" s="376">
        <v>0.1680473372781065</v>
      </c>
      <c r="H92" s="376">
        <v>0.31424676209952279</v>
      </c>
      <c r="I92" s="377">
        <v>0.88928657266742983</v>
      </c>
      <c r="J92" s="377">
        <v>1.5232952984179311</v>
      </c>
      <c r="K92" s="377">
        <v>2.5112715142068418</v>
      </c>
      <c r="L92" s="378">
        <v>6.4434761052560963E-2</v>
      </c>
      <c r="M92" s="378">
        <v>7.3550808124212164E-2</v>
      </c>
      <c r="N92" s="378">
        <v>9.3588186459963238E-2</v>
      </c>
      <c r="O92" s="377">
        <v>0.2152123835857444</v>
      </c>
      <c r="P92" s="377">
        <v>0.52770193962985767</v>
      </c>
      <c r="Q92" s="377">
        <v>0.97679020026969876</v>
      </c>
      <c r="R92" s="378">
        <v>1.5979790827408691E-3</v>
      </c>
      <c r="S92" s="378">
        <v>6.7222511724856701E-2</v>
      </c>
      <c r="T92" s="378">
        <v>0.34136546184738958</v>
      </c>
    </row>
    <row r="93" spans="1:20">
      <c r="A93" s="374" t="s">
        <v>717</v>
      </c>
      <c r="B93" s="375">
        <v>814</v>
      </c>
      <c r="C93" s="376">
        <v>3.2799999999999999E-3</v>
      </c>
      <c r="D93" s="376">
        <v>7.8600000000000003E-2</v>
      </c>
      <c r="E93" s="376">
        <v>0.17299999999999999</v>
      </c>
      <c r="F93" s="376">
        <v>-1.719280184845445E-2</v>
      </c>
      <c r="G93" s="376">
        <v>5.5543501844217837E-2</v>
      </c>
      <c r="H93" s="376">
        <v>0.12873795773456281</v>
      </c>
      <c r="I93" s="377">
        <v>0.65441176470588236</v>
      </c>
      <c r="J93" s="377">
        <v>1.413583655438984</v>
      </c>
      <c r="K93" s="377">
        <v>2.6115447624554311</v>
      </c>
      <c r="L93" s="378">
        <v>7.6982671315744461E-2</v>
      </c>
      <c r="M93" s="378">
        <v>8.3694649533337398E-2</v>
      </c>
      <c r="N93" s="378">
        <v>9.5678860125602075E-2</v>
      </c>
      <c r="O93" s="377">
        <v>0.4445828375427921</v>
      </c>
      <c r="P93" s="377">
        <v>0.89793959464436157</v>
      </c>
      <c r="Q93" s="377">
        <v>1.3996333238073571</v>
      </c>
      <c r="R93" s="378">
        <v>2.1092820930086999E-2</v>
      </c>
      <c r="S93" s="378">
        <v>0.15514958962139261</v>
      </c>
      <c r="T93" s="378">
        <v>0.396484375</v>
      </c>
    </row>
    <row r="94" spans="1:20">
      <c r="A94" s="374" t="s">
        <v>718</v>
      </c>
      <c r="B94" s="375">
        <v>49</v>
      </c>
      <c r="C94" s="376">
        <v>2.69E-2</v>
      </c>
      <c r="D94" s="376">
        <v>6.2399999999999997E-2</v>
      </c>
      <c r="E94" s="376">
        <v>0.115</v>
      </c>
      <c r="F94" s="376">
        <v>7.2937968643490114E-2</v>
      </c>
      <c r="G94" s="376">
        <v>0.1074263472592782</v>
      </c>
      <c r="H94" s="376">
        <v>0.2047713717693837</v>
      </c>
      <c r="I94" s="377">
        <v>0.35995574515169021</v>
      </c>
      <c r="J94" s="377">
        <v>0.45822971868698342</v>
      </c>
      <c r="K94" s="377">
        <v>0.73738172897206344</v>
      </c>
      <c r="L94" s="378">
        <v>6.1181193997834137E-2</v>
      </c>
      <c r="M94" s="378">
        <v>6.4249206156019339E-2</v>
      </c>
      <c r="N94" s="378">
        <v>6.648754230255649E-2</v>
      </c>
      <c r="O94" s="377">
        <v>0.1828397917521003</v>
      </c>
      <c r="P94" s="377">
        <v>0.60289337874070326</v>
      </c>
      <c r="Q94" s="377">
        <v>0.99060351374927791</v>
      </c>
      <c r="R94" s="378">
        <v>0.1724910394265233</v>
      </c>
      <c r="S94" s="378">
        <v>0.42714933527646631</v>
      </c>
      <c r="T94" s="378">
        <v>0.57267687227526665</v>
      </c>
    </row>
    <row r="95" spans="1:20">
      <c r="A95" s="374" t="s">
        <v>719</v>
      </c>
      <c r="B95" s="375">
        <v>106</v>
      </c>
      <c r="C95" s="376">
        <v>-9.9100000000000021E-3</v>
      </c>
      <c r="D95" s="376">
        <v>5.91E-2</v>
      </c>
      <c r="E95" s="376">
        <v>0.14699999999999999</v>
      </c>
      <c r="F95" s="376">
        <v>2.324730001830496E-2</v>
      </c>
      <c r="G95" s="376">
        <v>5.7416381611338267E-2</v>
      </c>
      <c r="H95" s="376">
        <v>9.0476190476190474E-2</v>
      </c>
      <c r="I95" s="377">
        <v>0.97795715616268231</v>
      </c>
      <c r="J95" s="377">
        <v>1.6555941276270749</v>
      </c>
      <c r="K95" s="377">
        <v>2.6651056321817279</v>
      </c>
      <c r="L95" s="378">
        <v>7.6758863519314019E-2</v>
      </c>
      <c r="M95" s="378">
        <v>8.2899416827063879E-2</v>
      </c>
      <c r="N95" s="378">
        <v>0.10207022133157161</v>
      </c>
      <c r="O95" s="377">
        <v>0.53139540684447273</v>
      </c>
      <c r="P95" s="377">
        <v>0.9499119195296295</v>
      </c>
      <c r="Q95" s="377">
        <v>1.30838292779792</v>
      </c>
      <c r="R95" s="378">
        <v>0.14049586776859499</v>
      </c>
      <c r="S95" s="378">
        <v>0.26570232204035021</v>
      </c>
      <c r="T95" s="378">
        <v>0.46540880503144649</v>
      </c>
    </row>
    <row r="96" spans="1:20">
      <c r="A96" s="374" t="s">
        <v>720</v>
      </c>
      <c r="B96" s="375">
        <v>50</v>
      </c>
      <c r="C96" s="376">
        <v>6.3600000000000004E-2</v>
      </c>
      <c r="D96" s="376">
        <v>0.13400000000000001</v>
      </c>
      <c r="E96" s="376">
        <v>0.2</v>
      </c>
      <c r="F96" s="376">
        <v>5.5472019092001189E-2</v>
      </c>
      <c r="G96" s="376">
        <v>0.15404112523204341</v>
      </c>
      <c r="H96" s="376">
        <v>0.20719035743973399</v>
      </c>
      <c r="I96" s="377">
        <v>0.31826333083916769</v>
      </c>
      <c r="J96" s="377">
        <v>0.40771287734785272</v>
      </c>
      <c r="K96" s="377">
        <v>1.6940998251717709</v>
      </c>
      <c r="L96" s="378">
        <v>5.6833019360899663E-2</v>
      </c>
      <c r="M96" s="378">
        <v>5.9233082509394117E-2</v>
      </c>
      <c r="N96" s="378">
        <v>6.4311306181435879E-2</v>
      </c>
      <c r="O96" s="377">
        <v>0.46776055321473348</v>
      </c>
      <c r="P96" s="377">
        <v>0.61028496769552487</v>
      </c>
      <c r="Q96" s="377">
        <v>0.99220631416867067</v>
      </c>
      <c r="R96" s="378">
        <v>0.33759567328859408</v>
      </c>
      <c r="S96" s="378">
        <v>0.45991751291026928</v>
      </c>
      <c r="T96" s="378">
        <v>0.54773558842491221</v>
      </c>
    </row>
    <row r="97" spans="1:20">
      <c r="A97" s="374" t="s">
        <v>721</v>
      </c>
      <c r="B97" s="375">
        <v>102</v>
      </c>
      <c r="C97" s="376">
        <v>1.5499999999999999E-3</v>
      </c>
      <c r="D97" s="376">
        <v>6.88E-2</v>
      </c>
      <c r="E97" s="376">
        <v>0.13100000000000001</v>
      </c>
      <c r="F97" s="376">
        <v>7.2075782537067548E-2</v>
      </c>
      <c r="G97" s="376">
        <v>0.20313374370453269</v>
      </c>
      <c r="H97" s="376">
        <v>0.27598566308243733</v>
      </c>
      <c r="I97" s="377">
        <v>0.21020326570295339</v>
      </c>
      <c r="J97" s="377">
        <v>0.34106955107971998</v>
      </c>
      <c r="K97" s="377">
        <v>0.59236205192047164</v>
      </c>
      <c r="L97" s="378">
        <v>5.8785843027534417E-2</v>
      </c>
      <c r="M97" s="378">
        <v>6.2298382866052451E-2</v>
      </c>
      <c r="N97" s="378">
        <v>6.6846834618071171E-2</v>
      </c>
      <c r="O97" s="377">
        <v>0.42112366776804272</v>
      </c>
      <c r="P97" s="377">
        <v>0.60386720043366293</v>
      </c>
      <c r="Q97" s="377">
        <v>0.91490263520858495</v>
      </c>
      <c r="R97" s="378">
        <v>6.6705790297339584E-2</v>
      </c>
      <c r="S97" s="378">
        <v>0.32335259572001562</v>
      </c>
      <c r="T97" s="378">
        <v>0.60800759613862954</v>
      </c>
    </row>
  </sheetData>
  <mergeCells count="5">
    <mergeCell ref="C1:E1"/>
    <mergeCell ref="F1:H1"/>
    <mergeCell ref="I1:K1"/>
    <mergeCell ref="L1:N1"/>
    <mergeCell ref="P1:R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5"/>
  <sheetViews>
    <sheetView workbookViewId="0">
      <selection sqref="A1:F4"/>
    </sheetView>
  </sheetViews>
  <sheetFormatPr defaultColWidth="11" defaultRowHeight="11.4"/>
  <cols>
    <col min="1" max="1" width="34" bestFit="1" customWidth="1"/>
    <col min="2" max="2" width="16" style="90" customWidth="1"/>
    <col min="3" max="3" width="19.875" style="90" bestFit="1" customWidth="1"/>
    <col min="4" max="4" width="22.125" style="90" bestFit="1" customWidth="1"/>
    <col min="5" max="5" width="14.125" bestFit="1" customWidth="1"/>
  </cols>
  <sheetData>
    <row r="1" spans="1:6">
      <c r="A1" s="662" t="s">
        <v>899</v>
      </c>
      <c r="B1" s="663"/>
      <c r="C1" s="663"/>
      <c r="D1" s="663"/>
      <c r="E1" s="663"/>
      <c r="F1" s="664"/>
    </row>
    <row r="2" spans="1:6">
      <c r="A2" s="665"/>
      <c r="B2" s="666"/>
      <c r="C2" s="666"/>
      <c r="D2" s="666"/>
      <c r="E2" s="666"/>
      <c r="F2" s="667"/>
    </row>
    <row r="3" spans="1:6">
      <c r="A3" s="665"/>
      <c r="B3" s="666"/>
      <c r="C3" s="666"/>
      <c r="D3" s="666"/>
      <c r="E3" s="666"/>
      <c r="F3" s="667"/>
    </row>
    <row r="4" spans="1:6" ht="12" thickBot="1">
      <c r="A4" s="668"/>
      <c r="B4" s="669"/>
      <c r="C4" s="669"/>
      <c r="D4" s="669"/>
      <c r="E4" s="669"/>
      <c r="F4" s="670"/>
    </row>
    <row r="6" spans="1:6">
      <c r="B6" s="78" t="s">
        <v>898</v>
      </c>
      <c r="C6" s="78" t="s">
        <v>401</v>
      </c>
      <c r="D6" s="78" t="s">
        <v>402</v>
      </c>
      <c r="E6" s="78" t="s">
        <v>373</v>
      </c>
    </row>
    <row r="7" spans="1:6" ht="12.6">
      <c r="A7" s="36" t="s">
        <v>5</v>
      </c>
      <c r="B7" s="94">
        <v>15794.34</v>
      </c>
      <c r="C7" s="94">
        <v>7608.13</v>
      </c>
      <c r="D7" s="94">
        <v>9444.11</v>
      </c>
      <c r="E7" s="95">
        <f>B7-C7+D7</f>
        <v>17630.32</v>
      </c>
    </row>
    <row r="8" spans="1:6" ht="12.6">
      <c r="A8" s="36" t="s">
        <v>589</v>
      </c>
      <c r="B8" s="94">
        <v>1221.81</v>
      </c>
      <c r="C8" s="94">
        <v>581.41</v>
      </c>
      <c r="D8" s="94">
        <v>756</v>
      </c>
      <c r="E8" s="95">
        <f>B8-C8+D8</f>
        <v>1396.4</v>
      </c>
    </row>
    <row r="9" spans="1:6" ht="12.6">
      <c r="A9" s="36" t="s">
        <v>23</v>
      </c>
      <c r="B9" s="94">
        <v>1605.23</v>
      </c>
      <c r="C9" s="94">
        <v>908.79</v>
      </c>
      <c r="D9" s="94">
        <v>1165.5</v>
      </c>
      <c r="E9" s="95">
        <f>B9-C9+D9</f>
        <v>1861.94</v>
      </c>
    </row>
    <row r="10" spans="1:6" ht="12.6">
      <c r="A10" s="36" t="s">
        <v>411</v>
      </c>
      <c r="B10" s="94">
        <v>420.49</v>
      </c>
      <c r="C10" s="94">
        <v>182.82</v>
      </c>
      <c r="D10" s="94">
        <v>287.56</v>
      </c>
      <c r="E10" s="95">
        <f>B10-C10+D10</f>
        <v>525.23</v>
      </c>
    </row>
    <row r="11" spans="1:6" ht="12.6">
      <c r="A11" s="36" t="s">
        <v>24</v>
      </c>
      <c r="B11" s="94">
        <v>5238.7700000000004</v>
      </c>
      <c r="C11" s="94"/>
      <c r="D11" s="94">
        <v>6105.55</v>
      </c>
      <c r="E11" s="95"/>
    </row>
    <row r="12" spans="1:6" ht="12.6">
      <c r="A12" s="36" t="s">
        <v>25</v>
      </c>
      <c r="B12" s="94">
        <v>10360</v>
      </c>
      <c r="C12" s="94"/>
      <c r="D12" s="94">
        <v>12594.14</v>
      </c>
      <c r="E12" s="95"/>
    </row>
    <row r="13" spans="1:6" ht="12.6">
      <c r="A13" s="36" t="s">
        <v>225</v>
      </c>
      <c r="B13" s="94"/>
      <c r="C13" s="94"/>
      <c r="D13" s="94"/>
      <c r="E13" s="95"/>
    </row>
    <row r="14" spans="1:6" ht="12.6">
      <c r="A14" s="36" t="s">
        <v>226</v>
      </c>
      <c r="B14" s="94">
        <v>3794.48</v>
      </c>
      <c r="C14" s="94"/>
      <c r="D14" s="94">
        <v>5004.25</v>
      </c>
      <c r="E14" s="95"/>
    </row>
    <row r="15" spans="1:6" ht="12.6">
      <c r="A15" s="36" t="s">
        <v>365</v>
      </c>
      <c r="B15" s="94">
        <v>0</v>
      </c>
      <c r="C15" s="94"/>
      <c r="D15" s="94">
        <v>0</v>
      </c>
      <c r="E15" s="95"/>
    </row>
    <row r="16" spans="1:6" ht="12.6">
      <c r="A16" s="36" t="s">
        <v>369</v>
      </c>
      <c r="B16" s="94">
        <v>0</v>
      </c>
      <c r="C16" s="94"/>
      <c r="D16" s="94">
        <v>0</v>
      </c>
      <c r="E16" s="95"/>
    </row>
    <row r="17" spans="1:5" ht="12.6">
      <c r="A17" s="36" t="s">
        <v>26</v>
      </c>
      <c r="B17" s="94"/>
      <c r="C17" s="94"/>
      <c r="D17" s="94"/>
      <c r="E17" s="95"/>
    </row>
    <row r="18" spans="1:5" ht="12.6">
      <c r="A18" s="36" t="s">
        <v>27</v>
      </c>
      <c r="B18" s="96"/>
      <c r="C18" s="94"/>
      <c r="D18" s="94"/>
      <c r="E18" s="95"/>
    </row>
    <row r="19" spans="1:5" ht="12.6">
      <c r="A19" s="36" t="s">
        <v>94</v>
      </c>
      <c r="B19" s="91">
        <f>15885/61372</f>
        <v>0.25883138890699342</v>
      </c>
      <c r="C19" s="91">
        <f>6965/27030</f>
        <v>0.25767665556788755</v>
      </c>
      <c r="D19" s="91">
        <f>3941/23906</f>
        <v>0.16485401154521878</v>
      </c>
      <c r="E19" s="1"/>
    </row>
    <row r="20" spans="1:5" ht="12.6">
      <c r="A20" s="36" t="s">
        <v>95</v>
      </c>
      <c r="B20" s="78"/>
      <c r="C20" s="78"/>
      <c r="D20" s="78"/>
      <c r="E20" s="1"/>
    </row>
    <row r="21" spans="1:5" s="2" customFormat="1" ht="12.6">
      <c r="A21" s="37" t="s">
        <v>374</v>
      </c>
      <c r="B21" s="99"/>
      <c r="C21" s="99"/>
      <c r="D21" s="99"/>
      <c r="E21" s="100"/>
    </row>
    <row r="22" spans="1:5" ht="12.6">
      <c r="A22" s="35" t="s">
        <v>375</v>
      </c>
      <c r="B22" s="141">
        <v>172.47</v>
      </c>
      <c r="C22" s="97"/>
      <c r="D22" s="97" t="s">
        <v>88</v>
      </c>
      <c r="E22" s="98"/>
    </row>
    <row r="23" spans="1:5" ht="12.6">
      <c r="A23" s="35" t="s">
        <v>376</v>
      </c>
      <c r="B23" s="141">
        <v>139.4</v>
      </c>
      <c r="C23" s="661" t="s">
        <v>531</v>
      </c>
      <c r="D23" s="97" t="s">
        <v>88</v>
      </c>
      <c r="E23" s="98"/>
    </row>
    <row r="24" spans="1:5" ht="12.6">
      <c r="A24" s="35" t="s">
        <v>377</v>
      </c>
      <c r="B24" s="141">
        <v>145.18</v>
      </c>
      <c r="C24" s="661"/>
      <c r="D24" s="97" t="s">
        <v>88</v>
      </c>
      <c r="E24" s="98"/>
    </row>
    <row r="25" spans="1:5" ht="12.6">
      <c r="A25" s="35" t="s">
        <v>378</v>
      </c>
      <c r="B25" s="141">
        <v>156.53</v>
      </c>
      <c r="C25" s="661"/>
      <c r="D25" s="97" t="s">
        <v>88</v>
      </c>
      <c r="E25" s="98"/>
    </row>
    <row r="26" spans="1:5" ht="12.6">
      <c r="A26" s="35" t="s">
        <v>379</v>
      </c>
      <c r="B26" s="141">
        <v>151.19999999999999</v>
      </c>
      <c r="C26" s="661"/>
      <c r="D26" s="97" t="s">
        <v>88</v>
      </c>
      <c r="E26" s="98"/>
    </row>
    <row r="27" spans="1:5" ht="13.8">
      <c r="A27" s="35" t="s">
        <v>380</v>
      </c>
      <c r="B27" s="140">
        <v>943.63</v>
      </c>
      <c r="C27" s="661"/>
      <c r="D27" s="97" t="s">
        <v>88</v>
      </c>
      <c r="E27" s="98"/>
    </row>
    <row r="28" spans="1:5">
      <c r="B28" s="92"/>
      <c r="C28" s="661"/>
    </row>
    <row r="30" spans="1:5" ht="12.6">
      <c r="A30" s="35" t="s">
        <v>530</v>
      </c>
      <c r="B30" s="139">
        <v>107</v>
      </c>
    </row>
    <row r="34" spans="1:5">
      <c r="D34" s="94">
        <v>75872</v>
      </c>
    </row>
    <row r="35" spans="1:5">
      <c r="D35" s="94">
        <v>2404</v>
      </c>
    </row>
    <row r="36" spans="1:5">
      <c r="D36" s="94">
        <v>24171</v>
      </c>
    </row>
    <row r="37" spans="1:5">
      <c r="D37" s="94">
        <v>276</v>
      </c>
    </row>
    <row r="41" spans="1:5">
      <c r="A41" t="s">
        <v>590</v>
      </c>
      <c r="B41" s="90">
        <v>630.29</v>
      </c>
      <c r="C41" s="90">
        <v>286.14</v>
      </c>
      <c r="D41" s="90">
        <v>426.61</v>
      </c>
      <c r="E41">
        <f>B41-C41+D41</f>
        <v>770.76</v>
      </c>
    </row>
    <row r="42" spans="1:5">
      <c r="A42" t="s">
        <v>591</v>
      </c>
      <c r="B42" s="90">
        <v>2369.4699999999998</v>
      </c>
      <c r="C42" s="90">
        <v>1128.78</v>
      </c>
      <c r="D42" s="90">
        <v>1219.73</v>
      </c>
      <c r="E42">
        <f>B42-C42+D42</f>
        <v>2460.42</v>
      </c>
    </row>
    <row r="43" spans="1:5">
      <c r="A43" t="s">
        <v>592</v>
      </c>
      <c r="B43" s="90">
        <v>9967.5400000000009</v>
      </c>
      <c r="C43" s="90">
        <v>4703.01</v>
      </c>
      <c r="D43" s="90">
        <v>5876.21</v>
      </c>
      <c r="E43">
        <f>B43-C43+D43</f>
        <v>11140.740000000002</v>
      </c>
    </row>
    <row r="45" spans="1:5">
      <c r="A45" t="s">
        <v>593</v>
      </c>
      <c r="B45" s="90">
        <v>13043</v>
      </c>
      <c r="C45" s="90">
        <v>6020.47</v>
      </c>
      <c r="D45" s="90">
        <v>6322.85</v>
      </c>
      <c r="E45">
        <f>B45-C45+D45</f>
        <v>13345.380000000001</v>
      </c>
    </row>
  </sheetData>
  <mergeCells count="2">
    <mergeCell ref="C23:C28"/>
    <mergeCell ref="A1:F4"/>
  </mergeCells>
  <pageMargins left="0.75" right="0.75" top="1" bottom="1" header="0.5" footer="0.5"/>
  <pageSetup orientation="landscape" horizontalDpi="4294967292" verticalDpi="429496729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6"/>
  <sheetViews>
    <sheetView workbookViewId="0">
      <selection activeCell="H4" sqref="H4"/>
    </sheetView>
  </sheetViews>
  <sheetFormatPr defaultColWidth="11" defaultRowHeight="11.4"/>
  <cols>
    <col min="1" max="1" width="6.375" bestFit="1" customWidth="1"/>
    <col min="2" max="2" width="16.5" bestFit="1" customWidth="1"/>
    <col min="3" max="3" width="18.375" bestFit="1" customWidth="1"/>
    <col min="4" max="5" width="12.375" bestFit="1" customWidth="1"/>
    <col min="6" max="6" width="17.625" bestFit="1" customWidth="1"/>
    <col min="9" max="9" width="20.375" customWidth="1"/>
    <col min="10" max="10" width="18.875" customWidth="1"/>
  </cols>
  <sheetData>
    <row r="1" spans="1:10" s="144" customFormat="1" ht="12">
      <c r="A1" s="144" t="s">
        <v>222</v>
      </c>
      <c r="B1" s="144" t="s">
        <v>223</v>
      </c>
      <c r="C1" s="144" t="s">
        <v>413</v>
      </c>
      <c r="D1" s="144" t="s">
        <v>421</v>
      </c>
      <c r="E1" s="144" t="s">
        <v>423</v>
      </c>
      <c r="F1" s="144" t="s">
        <v>447</v>
      </c>
      <c r="G1" t="s">
        <v>213</v>
      </c>
      <c r="H1" s="144" t="s">
        <v>335</v>
      </c>
      <c r="I1" s="144" t="s">
        <v>733</v>
      </c>
      <c r="J1" s="144" t="s">
        <v>840</v>
      </c>
    </row>
    <row r="2" spans="1:10">
      <c r="A2" t="s">
        <v>49</v>
      </c>
      <c r="B2" t="s">
        <v>92</v>
      </c>
      <c r="C2" t="s">
        <v>414</v>
      </c>
      <c r="D2" t="s">
        <v>422</v>
      </c>
      <c r="E2">
        <v>1</v>
      </c>
      <c r="F2" t="s">
        <v>422</v>
      </c>
      <c r="G2" t="s">
        <v>442</v>
      </c>
      <c r="H2" s="379" t="s">
        <v>895</v>
      </c>
      <c r="I2" t="s">
        <v>741</v>
      </c>
      <c r="J2" s="78">
        <v>0</v>
      </c>
    </row>
    <row r="3" spans="1:10">
      <c r="A3" t="s">
        <v>44</v>
      </c>
      <c r="B3" t="s">
        <v>219</v>
      </c>
      <c r="C3" t="s">
        <v>417</v>
      </c>
      <c r="D3" t="s">
        <v>423</v>
      </c>
      <c r="E3">
        <v>2</v>
      </c>
      <c r="F3" t="s">
        <v>452</v>
      </c>
      <c r="G3" t="s">
        <v>441</v>
      </c>
      <c r="H3" s="380" t="s">
        <v>897</v>
      </c>
      <c r="I3" t="s">
        <v>734</v>
      </c>
      <c r="J3" s="78">
        <v>1</v>
      </c>
    </row>
    <row r="4" spans="1:10">
      <c r="C4" t="s">
        <v>415</v>
      </c>
      <c r="D4" t="s">
        <v>424</v>
      </c>
      <c r="F4" t="s">
        <v>453</v>
      </c>
      <c r="G4" t="s">
        <v>440</v>
      </c>
      <c r="H4" s="380" t="s">
        <v>738</v>
      </c>
      <c r="I4" t="s">
        <v>742</v>
      </c>
      <c r="J4" s="78">
        <v>2</v>
      </c>
    </row>
    <row r="5" spans="1:10">
      <c r="C5" t="s">
        <v>416</v>
      </c>
      <c r="F5" t="s">
        <v>454</v>
      </c>
      <c r="G5" t="s">
        <v>439</v>
      </c>
      <c r="H5" s="380" t="s">
        <v>739</v>
      </c>
      <c r="I5" t="s">
        <v>743</v>
      </c>
      <c r="J5" s="78">
        <v>3</v>
      </c>
    </row>
    <row r="6" spans="1:10">
      <c r="F6" t="s">
        <v>451</v>
      </c>
      <c r="G6" t="s">
        <v>438</v>
      </c>
      <c r="H6" s="380" t="s">
        <v>896</v>
      </c>
    </row>
    <row r="7" spans="1:10">
      <c r="G7" t="s">
        <v>437</v>
      </c>
    </row>
    <row r="8" spans="1:10">
      <c r="G8" t="s">
        <v>436</v>
      </c>
    </row>
    <row r="9" spans="1:10">
      <c r="G9" t="s">
        <v>435</v>
      </c>
    </row>
    <row r="10" spans="1:10">
      <c r="G10" t="s">
        <v>434</v>
      </c>
    </row>
    <row r="11" spans="1:10">
      <c r="G11" t="s">
        <v>433</v>
      </c>
    </row>
    <row r="12" spans="1:10">
      <c r="G12" t="s">
        <v>432</v>
      </c>
    </row>
    <row r="13" spans="1:10">
      <c r="G13" t="s">
        <v>431</v>
      </c>
    </row>
    <row r="14" spans="1:10">
      <c r="G14" t="s">
        <v>430</v>
      </c>
    </row>
    <row r="15" spans="1:10">
      <c r="G15" t="s">
        <v>429</v>
      </c>
    </row>
    <row r="16" spans="1:10">
      <c r="G16" t="s">
        <v>428</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
  <sheetViews>
    <sheetView tabSelected="1" topLeftCell="C1" zoomScale="97" zoomScaleNormal="100" workbookViewId="0">
      <selection activeCell="K35" sqref="K35"/>
    </sheetView>
  </sheetViews>
  <sheetFormatPr defaultColWidth="10.875" defaultRowHeight="10.199999999999999"/>
  <cols>
    <col min="1" max="1" width="73.625" style="3" customWidth="1"/>
    <col min="2" max="2" width="26.5" style="3" customWidth="1"/>
    <col min="3" max="3" width="23.125" style="3" customWidth="1"/>
    <col min="4" max="4" width="19.625" style="3" customWidth="1"/>
    <col min="5" max="7" width="10.875" style="3"/>
    <col min="8" max="8" width="11" style="3" bestFit="1" customWidth="1"/>
    <col min="9" max="9" width="21.875" style="3" customWidth="1"/>
    <col min="10" max="10" width="15" style="3" bestFit="1" customWidth="1"/>
    <col min="11" max="11" width="17.5" style="3" bestFit="1" customWidth="1"/>
    <col min="12" max="16384" width="10.875" style="3"/>
  </cols>
  <sheetData>
    <row r="1" spans="1:10" s="189" customFormat="1" ht="15">
      <c r="B1" s="222"/>
      <c r="C1" s="189" t="s">
        <v>747</v>
      </c>
      <c r="D1" s="223"/>
      <c r="E1" s="189" t="s">
        <v>748</v>
      </c>
    </row>
    <row r="2" spans="1:10" s="190" customFormat="1" ht="15.6"/>
    <row r="3" spans="1:10" s="190" customFormat="1" ht="15.6">
      <c r="A3" s="191" t="s">
        <v>364</v>
      </c>
      <c r="B3" s="192">
        <v>44074</v>
      </c>
      <c r="C3" s="390" t="s">
        <v>903</v>
      </c>
      <c r="D3" s="391"/>
      <c r="E3" s="391"/>
      <c r="F3" s="391"/>
      <c r="G3" s="391"/>
      <c r="H3" s="391"/>
      <c r="I3" s="391"/>
      <c r="J3" s="392"/>
    </row>
    <row r="4" spans="1:10" s="190" customFormat="1" ht="16.2" thickBot="1">
      <c r="A4" s="191" t="s">
        <v>28</v>
      </c>
      <c r="B4" s="399" t="s">
        <v>990</v>
      </c>
      <c r="C4" s="393" t="s">
        <v>90</v>
      </c>
      <c r="D4" s="394"/>
      <c r="E4" s="394"/>
      <c r="F4" s="394"/>
      <c r="G4" s="394"/>
      <c r="H4" s="394"/>
      <c r="I4" s="394"/>
      <c r="J4" s="395"/>
    </row>
    <row r="5" spans="1:10" s="190" customFormat="1" ht="16.2" thickBot="1">
      <c r="A5" s="561" t="s">
        <v>904</v>
      </c>
      <c r="B5" s="562"/>
      <c r="C5" s="562"/>
      <c r="D5" s="562"/>
      <c r="E5" s="562"/>
      <c r="F5" s="562"/>
      <c r="G5" s="562"/>
      <c r="H5" s="562"/>
      <c r="I5" s="562"/>
      <c r="J5" s="563"/>
    </row>
    <row r="6" spans="1:10" s="190" customFormat="1" ht="16.2" thickBot="1">
      <c r="A6" s="191" t="s">
        <v>905</v>
      </c>
      <c r="B6" s="191"/>
      <c r="C6" s="191"/>
      <c r="E6"/>
      <c r="F6"/>
      <c r="G6"/>
      <c r="H6"/>
      <c r="I6"/>
      <c r="J6"/>
    </row>
    <row r="7" spans="1:10" s="190" customFormat="1" ht="15.6">
      <c r="A7" s="190" t="s">
        <v>417</v>
      </c>
      <c r="B7" s="193" t="s">
        <v>272</v>
      </c>
      <c r="C7" s="191"/>
      <c r="F7" s="575" t="s">
        <v>981</v>
      </c>
      <c r="G7" s="576"/>
      <c r="H7" s="576"/>
      <c r="I7" s="577"/>
    </row>
    <row r="8" spans="1:10" s="190" customFormat="1" ht="15.6">
      <c r="A8" s="190" t="s">
        <v>989</v>
      </c>
      <c r="B8" s="193" t="s">
        <v>639</v>
      </c>
      <c r="F8" s="578"/>
      <c r="G8" s="579"/>
      <c r="H8" s="579"/>
      <c r="I8" s="580"/>
    </row>
    <row r="9" spans="1:10" s="190" customFormat="1" ht="15.6">
      <c r="A9" s="190" t="s">
        <v>409</v>
      </c>
      <c r="B9" s="193" t="s">
        <v>639</v>
      </c>
      <c r="C9"/>
      <c r="D9"/>
      <c r="F9" s="578"/>
      <c r="G9" s="579"/>
      <c r="H9" s="579"/>
      <c r="I9" s="580"/>
    </row>
    <row r="10" spans="1:10" s="190" customFormat="1" ht="15.6">
      <c r="B10" s="342" t="s">
        <v>902</v>
      </c>
      <c r="C10" s="342" t="s">
        <v>980</v>
      </c>
      <c r="D10" s="397" t="s">
        <v>497</v>
      </c>
      <c r="F10" s="578"/>
      <c r="G10" s="579"/>
      <c r="H10" s="579"/>
      <c r="I10" s="580"/>
    </row>
    <row r="11" spans="1:10" s="190" customFormat="1" ht="16.2" thickBot="1">
      <c r="A11" s="195" t="s">
        <v>5</v>
      </c>
      <c r="B11" s="491">
        <v>98597.5</v>
      </c>
      <c r="C11" s="493">
        <v>75445.600000000006</v>
      </c>
      <c r="D11" s="574">
        <v>1</v>
      </c>
      <c r="F11" s="581"/>
      <c r="G11" s="582"/>
      <c r="H11" s="582"/>
      <c r="I11" s="583"/>
    </row>
    <row r="12" spans="1:10" s="190" customFormat="1" ht="15.6">
      <c r="A12" s="195" t="s">
        <v>23</v>
      </c>
      <c r="B12" s="491">
        <v>88688.4</v>
      </c>
      <c r="C12" s="493">
        <v>65573.27</v>
      </c>
      <c r="D12" s="574"/>
    </row>
    <row r="13" spans="1:10" s="190" customFormat="1" ht="15.6">
      <c r="A13" s="195" t="s">
        <v>410</v>
      </c>
      <c r="B13" s="491">
        <v>6316.44</v>
      </c>
      <c r="C13" s="493">
        <v>8758.83</v>
      </c>
      <c r="D13" s="574"/>
    </row>
    <row r="14" spans="1:10" s="190" customFormat="1" ht="15.6">
      <c r="A14" s="195" t="s">
        <v>24</v>
      </c>
      <c r="B14" s="491">
        <v>-32316.07</v>
      </c>
      <c r="C14" s="493">
        <v>-42884.32</v>
      </c>
      <c r="D14" s="574"/>
    </row>
    <row r="15" spans="1:10" s="190" customFormat="1" ht="15.6">
      <c r="A15" s="195" t="s">
        <v>25</v>
      </c>
      <c r="B15" s="491">
        <v>129349.04</v>
      </c>
      <c r="C15" s="493">
        <v>131264.29999999999</v>
      </c>
      <c r="D15" s="574"/>
    </row>
    <row r="16" spans="1:10" s="190" customFormat="1" ht="15.6">
      <c r="A16" s="195" t="s">
        <v>400</v>
      </c>
      <c r="B16" s="197" t="s">
        <v>44</v>
      </c>
      <c r="C16" s="398" t="s">
        <v>842</v>
      </c>
      <c r="D16" s="196"/>
    </row>
    <row r="17" spans="1:14" s="190" customFormat="1" ht="15.6">
      <c r="A17" s="195" t="s">
        <v>225</v>
      </c>
      <c r="B17" s="197" t="s">
        <v>44</v>
      </c>
      <c r="C17" s="196" t="s">
        <v>843</v>
      </c>
      <c r="D17" s="196"/>
    </row>
    <row r="18" spans="1:14" s="190" customFormat="1" ht="15.6">
      <c r="A18" s="195" t="s">
        <v>483</v>
      </c>
      <c r="B18" s="491">
        <v>323.36</v>
      </c>
      <c r="C18" s="491">
        <v>95.79</v>
      </c>
      <c r="D18" s="196"/>
    </row>
    <row r="19" spans="1:14" s="190" customFormat="1" ht="15.6">
      <c r="A19" s="195" t="s">
        <v>484</v>
      </c>
      <c r="B19" s="492">
        <v>27.37</v>
      </c>
      <c r="C19" s="491">
        <v>20.9</v>
      </c>
      <c r="D19" s="196"/>
    </row>
    <row r="20" spans="1:14" s="190" customFormat="1" ht="16.2" thickBot="1">
      <c r="A20" s="195" t="s">
        <v>369</v>
      </c>
      <c r="B20" s="492">
        <v>0</v>
      </c>
      <c r="C20" s="491">
        <v>0</v>
      </c>
      <c r="D20" s="196"/>
    </row>
    <row r="21" spans="1:14" s="190" customFormat="1" ht="15.6">
      <c r="A21" s="195" t="s">
        <v>26</v>
      </c>
      <c r="B21" s="198">
        <v>1042.5999999999999</v>
      </c>
      <c r="C21" s="196"/>
      <c r="E21" s="571" t="s">
        <v>224</v>
      </c>
      <c r="F21" s="572"/>
      <c r="G21" s="572"/>
      <c r="H21" s="572"/>
      <c r="I21" s="572"/>
      <c r="J21" s="572"/>
      <c r="K21" s="572"/>
      <c r="L21" s="572"/>
      <c r="M21" s="572"/>
      <c r="N21" s="573"/>
    </row>
    <row r="22" spans="1:14" s="190" customFormat="1" ht="15.6">
      <c r="A22" s="195" t="s">
        <v>27</v>
      </c>
      <c r="B22" s="491">
        <v>58.99</v>
      </c>
      <c r="C22" s="196"/>
      <c r="E22" s="408" t="s">
        <v>403</v>
      </c>
      <c r="N22" s="409"/>
    </row>
    <row r="23" spans="1:14" s="190" customFormat="1" ht="15.6">
      <c r="A23" s="190" t="s">
        <v>94</v>
      </c>
      <c r="B23" s="199">
        <v>0.19</v>
      </c>
      <c r="C23" s="196"/>
      <c r="E23" s="410"/>
      <c r="J23" s="194" t="s">
        <v>408</v>
      </c>
      <c r="K23" s="194" t="s">
        <v>409</v>
      </c>
      <c r="L23" s="569" t="s">
        <v>830</v>
      </c>
      <c r="M23" s="569"/>
      <c r="N23" s="570"/>
    </row>
    <row r="24" spans="1:14" s="190" customFormat="1" ht="15.6">
      <c r="A24" s="190" t="s">
        <v>95</v>
      </c>
      <c r="B24" s="199">
        <v>0.3</v>
      </c>
      <c r="C24" s="196"/>
      <c r="E24" s="410"/>
      <c r="I24" s="428" t="s">
        <v>221</v>
      </c>
      <c r="J24" s="423" t="s">
        <v>829</v>
      </c>
      <c r="K24" s="342" t="s">
        <v>829</v>
      </c>
      <c r="L24" s="342" t="s">
        <v>831</v>
      </c>
      <c r="M24" s="342" t="s">
        <v>738</v>
      </c>
      <c r="N24" s="411" t="s">
        <v>832</v>
      </c>
    </row>
    <row r="25" spans="1:14" s="190" customFormat="1" ht="15.6">
      <c r="A25" s="191" t="s">
        <v>29</v>
      </c>
      <c r="B25" s="200"/>
      <c r="C25" s="196"/>
      <c r="E25" s="412" t="s">
        <v>159</v>
      </c>
      <c r="I25" s="429">
        <f>IF(C11&gt;0,(B11/C11)^(1/D11)-1, "NA")</f>
        <v>0.30686879022766056</v>
      </c>
      <c r="J25" s="424">
        <f>VLOOKUP(B8,'Industry Averages(US)'!A2:S95,3)</f>
        <v>2.9028333333333337E-2</v>
      </c>
      <c r="K25" s="344">
        <f>VLOOKUP(B9,'Industry Average Beta (Global)'!A2:N95,3)</f>
        <v>2.4834959999999982E-2</v>
      </c>
      <c r="L25" s="343">
        <f>VLOOKUP($B$9,'Input Stat Distributioons'!$A$3:$R$96,3,FALSE)</f>
        <v>9.2100000000000015E-2</v>
      </c>
      <c r="M25" s="343">
        <f>VLOOKUP($B$9,'Input Stat Distributioons'!$A$3:$R$96,4,FALSE)</f>
        <v>0.188</v>
      </c>
      <c r="N25" s="413">
        <f>VLOOKUP($B$9,'Input Stat Distributioons'!$A$3:$R$96,5,FALSE)</f>
        <v>0.311</v>
      </c>
    </row>
    <row r="26" spans="1:14" s="190" customFormat="1" ht="15.6">
      <c r="A26" s="203" t="s">
        <v>601</v>
      </c>
      <c r="B26" s="204">
        <v>0.20699999999999999</v>
      </c>
      <c r="C26" s="196" t="s">
        <v>864</v>
      </c>
      <c r="E26" s="412" t="s">
        <v>160</v>
      </c>
      <c r="I26" s="429">
        <f>'Valuation output'!B4</f>
        <v>0.89949948020994441</v>
      </c>
      <c r="J26" s="425">
        <f>VLOOKUP(B8,'Industry Averages(US)'!A2:AA95,4)</f>
        <v>6.8956114823073109E-2</v>
      </c>
      <c r="K26" s="344">
        <f>VLOOKUP(B9,'Industry Average Beta (Global)'!A2:N95,4)</f>
        <v>7.2832786186452711E-2</v>
      </c>
      <c r="L26" s="344">
        <f>VLOOKUP($B$9,'Input Stat Distributioons'!$A$3:$R$96,6,FALSE)</f>
        <v>-3.3665262351589433E-2</v>
      </c>
      <c r="M26" s="344">
        <f>VLOOKUP($B$9,'Input Stat Distributioons'!$A$3:$R$96,7,FALSE)</f>
        <v>8.6426014615391789E-2</v>
      </c>
      <c r="N26" s="414">
        <f>VLOOKUP($B$9,'Input Stat Distributioons'!$A$3:$R$96,8,FALSE)</f>
        <v>0.15355805243445689</v>
      </c>
    </row>
    <row r="27" spans="1:14" s="190" customFormat="1" ht="15.6">
      <c r="A27" s="203" t="s">
        <v>603</v>
      </c>
      <c r="B27" s="204">
        <v>0.112</v>
      </c>
      <c r="C27" s="196" t="s">
        <v>867</v>
      </c>
      <c r="E27" s="412" t="s">
        <v>161</v>
      </c>
      <c r="I27" s="430">
        <f>B11/'Valuation output'!B39</f>
        <v>1.0195212244160636</v>
      </c>
      <c r="J27" s="426">
        <f>VLOOKUP(B8,'Industry Averages(US)'!A2:S95,14)</f>
        <v>1.7773199625336142</v>
      </c>
      <c r="K27" s="345">
        <f>VLOOKUP(B9,'Industry Average Beta (Global)'!A2:N95,14)</f>
        <v>1.1974037614368915</v>
      </c>
      <c r="L27" s="345">
        <f>VLOOKUP($B$9,'Input Stat Distributioons'!$A$3:$R$96,9,FALSE)</f>
        <v>0.48226149534892232</v>
      </c>
      <c r="M27" s="345">
        <f>VLOOKUP($B$9,'Input Stat Distributioons'!$A$3:$R$96,10,FALSE)</f>
        <v>0.98182341102889681</v>
      </c>
      <c r="N27" s="415">
        <f>VLOOKUP($B$9,'Input Stat Distributioons'!$A$3:$R$96,11,FALSE)</f>
        <v>2.1586646661665418</v>
      </c>
    </row>
    <row r="28" spans="1:14" s="190" customFormat="1" ht="15.6">
      <c r="A28" s="195" t="s">
        <v>602</v>
      </c>
      <c r="B28" s="205">
        <v>0.2</v>
      </c>
      <c r="C28" s="196" t="s">
        <v>865</v>
      </c>
      <c r="E28" s="412" t="s">
        <v>834</v>
      </c>
      <c r="I28" s="430">
        <f>IF(('Input sheet'!B11-'Input sheet'!C11)/(('Input sheet'!B14+'Input sheet'!B15-'Input sheet'!B18)-('Input sheet'!C14+'Input sheet'!C15-'Input sheet'!C18))&gt;0,('Input sheet'!B11-'Input sheet'!C11)/(('Input sheet'!B14+'Input sheet'!B15-'Input sheet'!B18)-('Input sheet'!C14+'Input sheet'!C15-'Input sheet'!C18)),"NA")</f>
        <v>2.7478630145440772</v>
      </c>
      <c r="J28" s="427"/>
      <c r="K28" s="396"/>
      <c r="L28" s="211"/>
      <c r="M28" s="211"/>
      <c r="N28" s="416"/>
    </row>
    <row r="29" spans="1:14" s="190" customFormat="1" ht="15.6">
      <c r="A29" s="195" t="s">
        <v>841</v>
      </c>
      <c r="B29" s="205">
        <v>1.08</v>
      </c>
      <c r="C29" s="196" t="s">
        <v>866</v>
      </c>
      <c r="E29" s="412" t="s">
        <v>162</v>
      </c>
      <c r="I29" s="431">
        <f>'Valuation output'!B7/'Valuation output'!B39</f>
        <v>0.74281763725445704</v>
      </c>
      <c r="J29" s="425">
        <f>VLOOKUP(B8,'Industry Averages(US)'!A2:S95,5)</f>
        <v>0.1092325173386668</v>
      </c>
      <c r="K29" s="344">
        <f>VLOOKUP(B9,'Industry Average Beta (Global)'!A2:N95,5)</f>
        <v>7.6090439467841317E-2</v>
      </c>
      <c r="L29"/>
      <c r="M29"/>
      <c r="N29" s="417"/>
    </row>
    <row r="30" spans="1:14" s="190" customFormat="1" ht="15.6">
      <c r="A30" s="195" t="s">
        <v>723</v>
      </c>
      <c r="B30" s="206">
        <v>3</v>
      </c>
      <c r="C30" s="196" t="s">
        <v>536</v>
      </c>
      <c r="E30" s="412" t="s">
        <v>363</v>
      </c>
      <c r="I30" s="432"/>
      <c r="J30" s="425">
        <f>VLOOKUP(B8,'Industry Averages(US)'!A2:S95,10)</f>
        <v>0.44650998921901031</v>
      </c>
      <c r="K30" s="344">
        <f>VLOOKUP(B8,'Industry Average Beta (Global)'!A2:Z95,10)</f>
        <v>0.30061794269989933</v>
      </c>
      <c r="L30"/>
      <c r="M30"/>
      <c r="N30" s="417"/>
    </row>
    <row r="31" spans="1:14" s="190" customFormat="1" ht="16.2" thickBot="1">
      <c r="A31" s="195" t="s">
        <v>833</v>
      </c>
      <c r="B31" s="206">
        <v>1.2</v>
      </c>
      <c r="C31" s="196" t="s">
        <v>862</v>
      </c>
      <c r="E31" s="418" t="s">
        <v>362</v>
      </c>
      <c r="F31" s="419"/>
      <c r="G31" s="419"/>
      <c r="H31" s="419"/>
      <c r="I31" s="431">
        <f>B35</f>
        <v>0.11879999999999999</v>
      </c>
      <c r="J31" s="422">
        <f>VLOOKUP(B8,'Industry Averages(US)'!A2:S95,13)</f>
        <v>6.062196095222791E-2</v>
      </c>
      <c r="K31" s="420">
        <f>VLOOKUP(B8,'Industry Average Beta (Global)'!A2:Z95,13)</f>
        <v>8.3966243925460468E-2</v>
      </c>
      <c r="L31" s="420">
        <f>VLOOKUP($B$9,'Input Stat Distributioons'!$A$3:$R$96,12,FALSE)</f>
        <v>7.5486342708616927E-2</v>
      </c>
      <c r="M31" s="420">
        <f>VLOOKUP($B$9,'Input Stat Distributioons'!$A$3:$R$96,13,FALSE)</f>
        <v>8.078841968038647E-2</v>
      </c>
      <c r="N31" s="421">
        <f>VLOOKUP($B$9,'Input Stat Distributioons'!$A$3:$R$96,14,FALSE)</f>
        <v>9.5110904223329629E-2</v>
      </c>
    </row>
    <row r="32" spans="1:14" s="190" customFormat="1" ht="16.2" thickBot="1">
      <c r="A32" s="195" t="s">
        <v>622</v>
      </c>
      <c r="B32" s="206">
        <v>1.2</v>
      </c>
      <c r="C32" s="196" t="s">
        <v>863</v>
      </c>
    </row>
    <row r="33" spans="1:14" s="190" customFormat="1" ht="15.6">
      <c r="A33" s="191" t="s">
        <v>30</v>
      </c>
      <c r="B33" s="208"/>
      <c r="C33" s="196"/>
      <c r="E33" s="564" t="s">
        <v>485</v>
      </c>
      <c r="F33" s="565"/>
      <c r="G33" s="565"/>
      <c r="H33" s="565"/>
      <c r="I33" s="565"/>
      <c r="J33" s="566"/>
    </row>
    <row r="34" spans="1:14" s="190" customFormat="1" ht="15.6">
      <c r="A34" s="195" t="s">
        <v>21</v>
      </c>
      <c r="B34" s="205">
        <v>7.3599999999999999E-2</v>
      </c>
      <c r="C34" s="196"/>
      <c r="E34" s="201" t="s">
        <v>486</v>
      </c>
      <c r="J34" s="496">
        <f>'Valuation output'!M3</f>
        <v>474441.01856609865</v>
      </c>
    </row>
    <row r="35" spans="1:14" s="190" customFormat="1" ht="25.05" customHeight="1">
      <c r="A35" s="337" t="s">
        <v>32</v>
      </c>
      <c r="B35" s="338">
        <f>'Cost of capital worksheet'!B13</f>
        <v>0.11879999999999999</v>
      </c>
      <c r="C35" s="567" t="s">
        <v>744</v>
      </c>
      <c r="D35" s="568"/>
      <c r="E35" s="201" t="s">
        <v>488</v>
      </c>
      <c r="J35" s="496">
        <f>'Valuation output'!M5</f>
        <v>512396.30005138658</v>
      </c>
    </row>
    <row r="36" spans="1:14" s="190" customFormat="1" ht="15.6">
      <c r="A36" s="191" t="s">
        <v>80</v>
      </c>
      <c r="B36" s="210"/>
      <c r="C36" s="210"/>
      <c r="D36" s="196"/>
      <c r="E36" s="201" t="s">
        <v>487</v>
      </c>
      <c r="J36" s="202">
        <f>'Valuation output'!L40</f>
        <v>0.91330844722343918</v>
      </c>
    </row>
    <row r="37" spans="1:14" s="190" customFormat="1" ht="16.2" thickBot="1">
      <c r="A37" s="190" t="s">
        <v>227</v>
      </c>
      <c r="B37" s="197" t="s">
        <v>44</v>
      </c>
      <c r="C37" s="188"/>
      <c r="D37" s="196"/>
      <c r="E37" s="318" t="s">
        <v>489</v>
      </c>
      <c r="F37" s="207"/>
      <c r="G37" s="207"/>
      <c r="H37" s="207"/>
      <c r="I37" s="207"/>
      <c r="J37" s="209"/>
    </row>
    <row r="38" spans="1:14" s="190" customFormat="1" ht="15.6">
      <c r="A38" s="190" t="s">
        <v>81</v>
      </c>
      <c r="B38" s="206"/>
      <c r="C38" s="211"/>
      <c r="D38" s="196"/>
    </row>
    <row r="39" spans="1:14" s="214" customFormat="1" ht="15.6">
      <c r="A39" s="190" t="s">
        <v>82</v>
      </c>
      <c r="B39" s="212"/>
      <c r="C39" s="213"/>
      <c r="D39" s="196"/>
      <c r="E39" s="190"/>
      <c r="F39" s="190"/>
      <c r="G39" s="190"/>
      <c r="H39" s="190"/>
      <c r="I39" s="190"/>
      <c r="J39" s="190"/>
      <c r="K39" s="190"/>
      <c r="L39" s="190"/>
      <c r="M39" s="190"/>
      <c r="N39" s="190"/>
    </row>
    <row r="40" spans="1:14" s="190" customFormat="1" ht="15.6">
      <c r="A40" s="190" t="s">
        <v>83</v>
      </c>
      <c r="B40" s="206"/>
      <c r="C40" s="211"/>
      <c r="D40" s="196"/>
    </row>
    <row r="41" spans="1:14" s="190" customFormat="1" ht="15.6">
      <c r="A41" s="190" t="s">
        <v>84</v>
      </c>
      <c r="B41" s="205">
        <v>0.7</v>
      </c>
      <c r="C41" s="196"/>
      <c r="E41" s="214"/>
      <c r="F41" s="214"/>
      <c r="G41" s="214"/>
    </row>
    <row r="42" spans="1:14" s="214" customFormat="1" ht="15.6">
      <c r="A42" s="190"/>
      <c r="B42" s="215"/>
      <c r="C42" s="210"/>
      <c r="D42" s="196"/>
      <c r="E42" s="190"/>
      <c r="F42" s="190"/>
      <c r="G42" s="190"/>
      <c r="H42" s="190"/>
      <c r="I42" s="190"/>
      <c r="J42" s="190"/>
      <c r="K42" s="190"/>
      <c r="L42" s="190"/>
      <c r="M42" s="190"/>
      <c r="N42" s="190"/>
    </row>
    <row r="43" spans="1:14" s="190" customFormat="1" ht="15.6">
      <c r="A43" s="560" t="s">
        <v>96</v>
      </c>
      <c r="B43" s="560"/>
      <c r="C43" s="216"/>
      <c r="D43" s="196"/>
      <c r="N43" s="214"/>
    </row>
    <row r="44" spans="1:14" s="190" customFormat="1" ht="15.6">
      <c r="A44" s="214" t="s">
        <v>97</v>
      </c>
      <c r="B44" s="214"/>
      <c r="C44" s="217"/>
      <c r="D44" s="196"/>
      <c r="E44" s="214"/>
      <c r="F44" s="214"/>
      <c r="G44" s="214"/>
      <c r="H44" s="214"/>
      <c r="I44" s="214"/>
      <c r="J44" s="214"/>
      <c r="K44" s="214"/>
      <c r="L44" s="214"/>
      <c r="M44" s="214"/>
    </row>
    <row r="45" spans="1:14" s="190" customFormat="1" ht="15.6">
      <c r="A45" s="190" t="s">
        <v>33</v>
      </c>
      <c r="B45" s="383" t="s">
        <v>44</v>
      </c>
      <c r="C45" s="196" t="s">
        <v>47</v>
      </c>
    </row>
    <row r="46" spans="1:14" s="190" customFormat="1" ht="15.6">
      <c r="A46" s="190" t="s">
        <v>35</v>
      </c>
      <c r="B46" s="205">
        <v>0.08</v>
      </c>
      <c r="C46" s="196" t="s">
        <v>623</v>
      </c>
      <c r="N46" s="214"/>
    </row>
    <row r="47" spans="1:14" s="190" customFormat="1" ht="15.6">
      <c r="A47" s="214" t="s">
        <v>98</v>
      </c>
      <c r="B47" s="214"/>
      <c r="C47" s="196"/>
      <c r="D47" s="214"/>
      <c r="H47" s="214"/>
      <c r="I47" s="214"/>
      <c r="J47" s="214"/>
      <c r="K47" s="214"/>
      <c r="L47" s="214"/>
      <c r="M47" s="214"/>
    </row>
    <row r="48" spans="1:14" s="190" customFormat="1" ht="15.6">
      <c r="A48" s="190" t="s">
        <v>33</v>
      </c>
      <c r="B48" s="383" t="s">
        <v>44</v>
      </c>
      <c r="C48" s="196" t="s">
        <v>46</v>
      </c>
    </row>
    <row r="49" spans="1:14" s="190" customFormat="1" ht="15.6">
      <c r="A49" s="190" t="s">
        <v>34</v>
      </c>
      <c r="B49" s="218">
        <v>0.15</v>
      </c>
      <c r="C49" s="196" t="s">
        <v>133</v>
      </c>
    </row>
    <row r="50" spans="1:14" s="190" customFormat="1" ht="15.6">
      <c r="A50" s="214" t="s">
        <v>129</v>
      </c>
      <c r="C50" s="196"/>
    </row>
    <row r="51" spans="1:14" s="190" customFormat="1" ht="15.6">
      <c r="A51" s="190" t="s">
        <v>33</v>
      </c>
      <c r="B51" s="383" t="s">
        <v>44</v>
      </c>
      <c r="C51" s="196" t="s">
        <v>104</v>
      </c>
    </row>
    <row r="52" spans="1:14" s="190" customFormat="1" ht="15.6">
      <c r="A52" s="190" t="s">
        <v>99</v>
      </c>
      <c r="B52" s="218"/>
      <c r="C52" s="196" t="s">
        <v>749</v>
      </c>
    </row>
    <row r="53" spans="1:14" s="190" customFormat="1" ht="15.6">
      <c r="A53" s="190" t="s">
        <v>102</v>
      </c>
      <c r="B53" s="218" t="s">
        <v>219</v>
      </c>
      <c r="C53" s="196" t="s">
        <v>93</v>
      </c>
    </row>
    <row r="54" spans="1:14" s="190" customFormat="1" ht="15.6">
      <c r="A54" s="190" t="s">
        <v>220</v>
      </c>
      <c r="B54" s="218">
        <v>0.5</v>
      </c>
      <c r="C54" s="196" t="s">
        <v>103</v>
      </c>
    </row>
    <row r="55" spans="1:14" s="190" customFormat="1" ht="15.6">
      <c r="A55" s="190" t="s">
        <v>837</v>
      </c>
      <c r="B55" s="347"/>
      <c r="C55" s="196"/>
    </row>
    <row r="56" spans="1:14" s="190" customFormat="1" ht="15.6">
      <c r="A56" s="190" t="s">
        <v>838</v>
      </c>
      <c r="B56" s="383" t="s">
        <v>44</v>
      </c>
      <c r="C56" s="196"/>
    </row>
    <row r="57" spans="1:14" s="190" customFormat="1" ht="15.6">
      <c r="A57" s="190" t="s">
        <v>839</v>
      </c>
      <c r="B57" s="348">
        <v>1</v>
      </c>
      <c r="C57" s="196"/>
    </row>
    <row r="58" spans="1:14" s="190" customFormat="1" ht="15.6">
      <c r="A58" s="214" t="s">
        <v>131</v>
      </c>
      <c r="B58" s="219"/>
      <c r="C58" s="196"/>
    </row>
    <row r="59" spans="1:14" s="190" customFormat="1" ht="15.6">
      <c r="A59" s="190" t="s">
        <v>33</v>
      </c>
      <c r="B59" s="197" t="s">
        <v>44</v>
      </c>
      <c r="C59" s="196"/>
    </row>
    <row r="60" spans="1:14" s="190" customFormat="1" ht="15.6">
      <c r="A60" s="214" t="s">
        <v>128</v>
      </c>
      <c r="C60" s="196"/>
    </row>
    <row r="61" spans="1:14" s="190" customFormat="1" ht="15.6">
      <c r="A61" s="190" t="s">
        <v>33</v>
      </c>
      <c r="B61" s="383" t="s">
        <v>44</v>
      </c>
      <c r="C61" s="196" t="s">
        <v>48</v>
      </c>
    </row>
    <row r="62" spans="1:14" s="190" customFormat="1" ht="15.6">
      <c r="A62" s="190" t="s">
        <v>42</v>
      </c>
      <c r="B62" s="494">
        <f>474.8+256.6</f>
        <v>731.40000000000009</v>
      </c>
      <c r="C62" s="196" t="s">
        <v>134</v>
      </c>
    </row>
    <row r="63" spans="1:14" s="190" customFormat="1" ht="15.6">
      <c r="A63" s="190" t="s">
        <v>596</v>
      </c>
      <c r="B63" s="220"/>
      <c r="C63" s="196"/>
    </row>
    <row r="64" spans="1:14" s="214" customFormat="1" ht="15.6">
      <c r="A64" s="190" t="s">
        <v>33</v>
      </c>
      <c r="B64" s="383" t="s">
        <v>44</v>
      </c>
      <c r="C64" s="196" t="s">
        <v>598</v>
      </c>
      <c r="D64" s="190"/>
      <c r="E64" s="190"/>
      <c r="F64" s="190"/>
      <c r="G64" s="190"/>
      <c r="H64" s="190"/>
      <c r="I64" s="190"/>
      <c r="J64" s="190"/>
      <c r="K64" s="190"/>
      <c r="L64" s="190"/>
      <c r="M64" s="190"/>
      <c r="N64" s="190"/>
    </row>
    <row r="65" spans="1:14" s="190" customFormat="1" ht="15.6">
      <c r="A65" s="190" t="s">
        <v>597</v>
      </c>
      <c r="B65" s="221">
        <v>0.02</v>
      </c>
      <c r="C65" s="196" t="s">
        <v>599</v>
      </c>
    </row>
    <row r="66" spans="1:14" s="190" customFormat="1" ht="15.6">
      <c r="A66" s="190" t="s">
        <v>493</v>
      </c>
      <c r="B66" s="213"/>
      <c r="C66" s="196"/>
      <c r="E66" s="214"/>
      <c r="F66" s="214"/>
      <c r="G66" s="214"/>
      <c r="H66" s="214"/>
      <c r="I66" s="214"/>
      <c r="J66" s="214"/>
      <c r="K66" s="214"/>
      <c r="L66" s="214"/>
      <c r="M66" s="214"/>
      <c r="N66" s="214"/>
    </row>
    <row r="67" spans="1:14" s="190" customFormat="1" ht="15.6">
      <c r="A67" s="190" t="s">
        <v>33</v>
      </c>
      <c r="B67" s="383" t="s">
        <v>44</v>
      </c>
      <c r="C67" s="196" t="s">
        <v>600</v>
      </c>
    </row>
    <row r="68" spans="1:14" s="190" customFormat="1" ht="15.6">
      <c r="A68" s="190" t="s">
        <v>494</v>
      </c>
      <c r="B68" s="221">
        <v>-0.05</v>
      </c>
      <c r="C68" s="196" t="s">
        <v>495</v>
      </c>
    </row>
    <row r="69" spans="1:14" s="190" customFormat="1" ht="15.6">
      <c r="A69" s="214" t="s">
        <v>498</v>
      </c>
      <c r="B69" s="214"/>
      <c r="C69" s="214"/>
      <c r="D69" s="214"/>
    </row>
    <row r="70" spans="1:14" s="190" customFormat="1" ht="15.6">
      <c r="A70" s="190" t="s">
        <v>490</v>
      </c>
      <c r="B70" s="383" t="s">
        <v>44</v>
      </c>
    </row>
    <row r="71" spans="1:14" s="190" customFormat="1" ht="15.6">
      <c r="A71" s="190" t="s">
        <v>501</v>
      </c>
      <c r="B71" s="495">
        <v>140000</v>
      </c>
      <c r="C71" s="196" t="s">
        <v>499</v>
      </c>
    </row>
    <row r="72" spans="1:14" s="190" customFormat="1" ht="15.6">
      <c r="A72" s="195" t="s">
        <v>491</v>
      </c>
      <c r="B72" s="218">
        <v>0.15</v>
      </c>
      <c r="C72" s="196" t="s">
        <v>500</v>
      </c>
    </row>
    <row r="73" spans="1:14" ht="15.6">
      <c r="A73" s="75"/>
      <c r="E73" s="190"/>
      <c r="F73" s="190"/>
      <c r="G73" s="190"/>
      <c r="H73" s="190"/>
      <c r="I73" s="190"/>
      <c r="J73" s="190"/>
      <c r="K73" s="190"/>
      <c r="L73" s="190"/>
      <c r="M73" s="190"/>
      <c r="N73" s="190"/>
    </row>
    <row r="74" spans="1:14" ht="15.6">
      <c r="E74" s="190"/>
      <c r="F74" s="190"/>
      <c r="G74" s="190"/>
      <c r="H74" s="190"/>
      <c r="I74" s="190"/>
      <c r="J74" s="190"/>
      <c r="K74" s="190"/>
      <c r="L74" s="190"/>
      <c r="M74" s="190"/>
      <c r="N74" s="190"/>
    </row>
  </sheetData>
  <mergeCells count="8">
    <mergeCell ref="A43:B43"/>
    <mergeCell ref="A5:J5"/>
    <mergeCell ref="E33:J33"/>
    <mergeCell ref="C35:D35"/>
    <mergeCell ref="L23:N23"/>
    <mergeCell ref="E21:N21"/>
    <mergeCell ref="D11:D15"/>
    <mergeCell ref="F7:I11"/>
  </mergeCells>
  <phoneticPr fontId="6" type="noConversion"/>
  <dataValidations count="2">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3" xr:uid="{00000000-0002-0000-0000-000000000000}">
      <formula1>0</formula1>
      <formula2>1</formula2>
    </dataValidation>
    <dataValidation allowBlank="1" showInputMessage="1" showErrorMessage="1" promptTitle="Do not input" prompt="If you want to directly input the cost of capital, go to the cost of capital worksheet built into this spreadsheet, and you will have the option to do so. If not, you can use one of three approaches in that worksheet to compute a cost of capital." sqref="B35" xr:uid="{00000000-0002-0000-0000-000001000000}"/>
  </dataValidations>
  <hyperlinks>
    <hyperlink ref="F7:I11" r:id="rId1" display="If you want a guide through this spreadsheet, try this YouTube video that takes you through each input cell: https://youtu.be/kyKfJ_7-mdg?si=FIeHhnLH2_2brag3 " xr:uid="{D12DE9EF-B7E8-7849-9118-A036984012EA}"/>
  </hyperlinks>
  <pageMargins left="0.75" right="0.75" top="1" bottom="1" header="0.5" footer="0.5"/>
  <pageSetup orientation="portrait" horizontalDpi="4294967292" verticalDpi="4294967292" r:id="rId2"/>
  <headerFooter alignWithMargins="0"/>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'Country equity risk premiums'!$A$5:$A$195</xm:f>
          </x14:formula1>
          <xm:sqref>B7</xm:sqref>
        </x14:dataValidation>
        <x14:dataValidation type="list" allowBlank="1" showInputMessage="1" showErrorMessage="1" xr:uid="{00000000-0002-0000-0000-000003000000}">
          <x14:formula1>
            <xm:f>'Industry Averages(US)'!$A$2:$A$95</xm:f>
          </x14:formula1>
          <xm:sqref>B8:B9</xm:sqref>
        </x14:dataValidation>
        <x14:dataValidation type="list" allowBlank="1" showInputMessage="1" showErrorMessage="1" xr:uid="{00000000-0002-0000-0000-000004000000}">
          <x14:formula1>
            <xm:f>'Answer keys'!$A$2:$A$3</xm:f>
          </x14:formula1>
          <xm:sqref>B16:B17 B37 B45 B48 B51 B56 B59 B61 B64 B67 B70</xm:sqref>
        </x14:dataValidation>
        <x14:dataValidation type="list" allowBlank="1" showInputMessage="1" showErrorMessage="1" xr:uid="{00000000-0002-0000-0000-000005000000}">
          <x14:formula1>
            <xm:f>'Answer keys'!$B$2:$B$3</xm:f>
          </x14:formula1>
          <xm:sqref>B53</xm:sqref>
        </x14:dataValidation>
        <x14:dataValidation type="list" allowBlank="1" showInputMessage="1" showErrorMessage="1" xr:uid="{00000000-0002-0000-0000-000006000000}">
          <x14:formula1>
            <xm:f>'Answer keys'!$J$2:$J$5</xm:f>
          </x14:formula1>
          <xm:sqref>B57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1C026-9F76-45AD-A46B-73A60CE72B67}">
  <dimension ref="A1"/>
  <sheetViews>
    <sheetView workbookViewId="0"/>
  </sheetViews>
  <sheetFormatPr defaultRowHeight="11.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zoomScale="77" zoomScaleNormal="125" workbookViewId="0">
      <selection activeCell="F25" sqref="F25"/>
    </sheetView>
  </sheetViews>
  <sheetFormatPr defaultColWidth="11" defaultRowHeight="15.6"/>
  <cols>
    <col min="1" max="1" width="23" style="31" bestFit="1" customWidth="1"/>
    <col min="2" max="2" width="16.625" style="31" customWidth="1"/>
    <col min="3" max="12" width="16.25" style="34" bestFit="1" customWidth="1"/>
    <col min="13" max="13" width="16.125" style="34" bestFit="1" customWidth="1"/>
    <col min="14" max="14" width="12.625" bestFit="1" customWidth="1"/>
  </cols>
  <sheetData>
    <row r="1" spans="1:14">
      <c r="A1" s="28"/>
      <c r="B1" s="29" t="s">
        <v>8</v>
      </c>
      <c r="C1" s="29">
        <v>1</v>
      </c>
      <c r="D1" s="29">
        <v>2</v>
      </c>
      <c r="E1" s="29">
        <v>3</v>
      </c>
      <c r="F1" s="29">
        <v>4</v>
      </c>
      <c r="G1" s="29">
        <v>5</v>
      </c>
      <c r="H1" s="29">
        <v>6</v>
      </c>
      <c r="I1" s="29">
        <v>7</v>
      </c>
      <c r="J1" s="29">
        <v>8</v>
      </c>
      <c r="K1" s="29">
        <v>9</v>
      </c>
      <c r="L1" s="29">
        <v>10</v>
      </c>
      <c r="M1" s="33" t="s">
        <v>38</v>
      </c>
    </row>
    <row r="2" spans="1:14">
      <c r="A2" s="31" t="s">
        <v>14</v>
      </c>
      <c r="B2" s="40"/>
      <c r="C2" s="41">
        <f>'Input sheet'!B26</f>
        <v>0.20699999999999999</v>
      </c>
      <c r="D2" s="41">
        <f>'Input sheet'!B28</f>
        <v>0.2</v>
      </c>
      <c r="E2" s="41">
        <f>D2</f>
        <v>0.2</v>
      </c>
      <c r="F2" s="41">
        <f>E2</f>
        <v>0.2</v>
      </c>
      <c r="G2" s="41">
        <f>F2</f>
        <v>0.2</v>
      </c>
      <c r="H2" s="41">
        <f>G2-((G2-$M$2)/5)</f>
        <v>0.17472000000000001</v>
      </c>
      <c r="I2" s="41">
        <f>G2-((G2-$M$2)/5)*2</f>
        <v>0.14944000000000002</v>
      </c>
      <c r="J2" s="41">
        <f>G2-((G2-$M$2)/5)*3</f>
        <v>0.12415999999999999</v>
      </c>
      <c r="K2" s="41">
        <f>G2-((G2-$M$2)/5)*4</f>
        <v>9.8879999999999996E-2</v>
      </c>
      <c r="L2" s="41">
        <f>G2-((G2-$M$2)/5)*5</f>
        <v>7.3599999999999999E-2</v>
      </c>
      <c r="M2" s="42">
        <f>IF('Input sheet'!B67="Yes",'Input sheet'!B68,IF('Input sheet'!B64="Yes",'Input sheet'!B65,'Input sheet'!B34))</f>
        <v>7.3599999999999999E-2</v>
      </c>
    </row>
    <row r="3" spans="1:14" ht="15" customHeight="1">
      <c r="A3" s="31" t="s">
        <v>5</v>
      </c>
      <c r="B3" s="497">
        <f>'Input sheet'!B11</f>
        <v>98597.5</v>
      </c>
      <c r="C3" s="498">
        <f>B3*(1+C2)</f>
        <v>119007.18250000001</v>
      </c>
      <c r="D3" s="498">
        <f t="shared" ref="D3:L3" si="0">C3*(1+D2)</f>
        <v>142808.61900000001</v>
      </c>
      <c r="E3" s="498">
        <f t="shared" si="0"/>
        <v>171370.34280000001</v>
      </c>
      <c r="F3" s="498">
        <f t="shared" si="0"/>
        <v>205644.41136</v>
      </c>
      <c r="G3" s="498">
        <f t="shared" si="0"/>
        <v>246773.29363199999</v>
      </c>
      <c r="H3" s="498">
        <f t="shared" si="0"/>
        <v>289889.52349538304</v>
      </c>
      <c r="I3" s="498">
        <f t="shared" si="0"/>
        <v>333210.61388653307</v>
      </c>
      <c r="J3" s="498">
        <f t="shared" si="0"/>
        <v>374582.04370668501</v>
      </c>
      <c r="K3" s="498">
        <f t="shared" si="0"/>
        <v>411620.71618840203</v>
      </c>
      <c r="L3" s="498">
        <f t="shared" si="0"/>
        <v>441916.00089986838</v>
      </c>
      <c r="M3" s="499">
        <f>L3*(1+M2)</f>
        <v>474441.01856609865</v>
      </c>
    </row>
    <row r="4" spans="1:14" ht="15" customHeight="1">
      <c r="A4" s="31" t="s">
        <v>20</v>
      </c>
      <c r="B4" s="44">
        <f>B5/B3</f>
        <v>0.89949948020994441</v>
      </c>
      <c r="C4" s="41">
        <f>'Input sheet'!B27</f>
        <v>0.112</v>
      </c>
      <c r="D4" s="41">
        <f>IF(D1&gt;'Input sheet'!$B$30,'Input sheet'!$B$29,'Input sheet'!$B$29-(('Input sheet'!$B$29-$C$4)/'Input sheet'!$B$30)*('Input sheet'!$B$30-D1))</f>
        <v>0.75733333333333341</v>
      </c>
      <c r="E4" s="41">
        <f>IF(E1&gt;'Input sheet'!$B$30,'Input sheet'!$B$29,'Input sheet'!$B$29-(('Input sheet'!$B$29-$C$4)/'Input sheet'!$B$30)*('Input sheet'!$B$30-E1))</f>
        <v>1.08</v>
      </c>
      <c r="F4" s="41">
        <f>IF(F1&gt;'Input sheet'!$B$30,'Input sheet'!$B$29,'Input sheet'!$B$29-(('Input sheet'!$B$29-$C$4)/'Input sheet'!$B$30)*('Input sheet'!$B$30-F1))</f>
        <v>1.08</v>
      </c>
      <c r="G4" s="41">
        <f>IF(G1&gt;'Input sheet'!$B$30,'Input sheet'!$B$29,'Input sheet'!$B$29-(('Input sheet'!$B$29-$C$4)/'Input sheet'!$B$30)*('Input sheet'!$B$30-G1))</f>
        <v>1.08</v>
      </c>
      <c r="H4" s="41">
        <f>IF(H1&gt;'Input sheet'!$B$30,'Input sheet'!$B$29,'Input sheet'!$B$29-(('Input sheet'!$B$29-$C$4)/'Input sheet'!$B$30)*('Input sheet'!$B$30-H1))</f>
        <v>1.08</v>
      </c>
      <c r="I4" s="41">
        <f>IF(I1&gt;'Input sheet'!$B$30,'Input sheet'!$B$29,'Input sheet'!$B$29-(('Input sheet'!$B$29-$C$4)/'Input sheet'!$B$30)*('Input sheet'!$B$30-I1))</f>
        <v>1.08</v>
      </c>
      <c r="J4" s="41">
        <f>IF(J1&gt;'Input sheet'!$B$30,'Input sheet'!$B$29,'Input sheet'!$B$29-(('Input sheet'!$B$29-$C$4)/'Input sheet'!$B$30)*('Input sheet'!$B$30-J1))</f>
        <v>1.08</v>
      </c>
      <c r="K4" s="41">
        <f>IF(K1&gt;'Input sheet'!$B$30,'Input sheet'!$B$29,'Input sheet'!$B$29-(('Input sheet'!$B$29-$C$4)/'Input sheet'!$B$30)*('Input sheet'!$B$30-K1))</f>
        <v>1.08</v>
      </c>
      <c r="L4" s="41">
        <f>IF(L1&gt;'Input sheet'!$B$30,'Input sheet'!$B$29,'Input sheet'!$B$29-(('Input sheet'!$B$29-$C$4)/'Input sheet'!$B$30)*('Input sheet'!$B$30-L1))</f>
        <v>1.08</v>
      </c>
      <c r="M4" s="42">
        <f>L4</f>
        <v>1.08</v>
      </c>
    </row>
    <row r="5" spans="1:14" ht="15" customHeight="1">
      <c r="A5" s="31" t="s">
        <v>19</v>
      </c>
      <c r="B5" s="497">
        <f>IF('Input sheet'!B17="Yes",IF('Input sheet'!B16="Yes",'Input sheet'!B12+'Operating lease converter'!F32+'R&amp; D converter'!D39,'Input sheet'!B12+'Operating lease converter'!F32),IF('Input sheet'!B16="Yes",'Input sheet'!B12+'R&amp; D converter'!D39,'Input sheet'!B12))</f>
        <v>88688.4</v>
      </c>
      <c r="C5" s="498">
        <f t="shared" ref="C5:M5" si="1">C4*C3</f>
        <v>13328.804440000002</v>
      </c>
      <c r="D5" s="498">
        <f t="shared" si="1"/>
        <v>108153.72745600002</v>
      </c>
      <c r="E5" s="498">
        <f t="shared" si="1"/>
        <v>185079.97022400002</v>
      </c>
      <c r="F5" s="498">
        <f t="shared" si="1"/>
        <v>222095.96426880002</v>
      </c>
      <c r="G5" s="498">
        <f t="shared" si="1"/>
        <v>266515.15712256002</v>
      </c>
      <c r="H5" s="498">
        <f t="shared" si="1"/>
        <v>313080.68537501368</v>
      </c>
      <c r="I5" s="498">
        <f t="shared" si="1"/>
        <v>359867.46299745573</v>
      </c>
      <c r="J5" s="498">
        <f t="shared" si="1"/>
        <v>404548.60720321984</v>
      </c>
      <c r="K5" s="498">
        <f t="shared" si="1"/>
        <v>444550.37348347425</v>
      </c>
      <c r="L5" s="498">
        <f t="shared" si="1"/>
        <v>477269.28097185789</v>
      </c>
      <c r="M5" s="499">
        <f t="shared" si="1"/>
        <v>512396.30005138658</v>
      </c>
      <c r="N5" s="346">
        <f>M5-B5</f>
        <v>423707.90005138656</v>
      </c>
    </row>
    <row r="6" spans="1:14" ht="15" customHeight="1">
      <c r="A6" s="31" t="s">
        <v>130</v>
      </c>
      <c r="B6" s="45">
        <f>'Input sheet'!B23</f>
        <v>0.19</v>
      </c>
      <c r="C6" s="46">
        <f>B6</f>
        <v>0.19</v>
      </c>
      <c r="D6" s="46">
        <f>C6</f>
        <v>0.19</v>
      </c>
      <c r="E6" s="46">
        <f>D6</f>
        <v>0.19</v>
      </c>
      <c r="F6" s="46">
        <f>E6</f>
        <v>0.19</v>
      </c>
      <c r="G6" s="46">
        <f>F6</f>
        <v>0.19</v>
      </c>
      <c r="H6" s="46">
        <f>G6+($M$6-$G$6)/5</f>
        <v>0.21199999999999999</v>
      </c>
      <c r="I6" s="46">
        <f>H6+($M$6-$G$6)/5</f>
        <v>0.23399999999999999</v>
      </c>
      <c r="J6" s="46">
        <f>I6+($M$6-$G$6)/5</f>
        <v>0.25600000000000001</v>
      </c>
      <c r="K6" s="46">
        <f>J6+($M$6-$G$6)/5</f>
        <v>0.27800000000000002</v>
      </c>
      <c r="L6" s="46">
        <f>K6+($M$6-$G$6)/5</f>
        <v>0.30000000000000004</v>
      </c>
      <c r="M6" s="46">
        <f>IF('Input sheet'!B59="Yes",'Input sheet'!B23,'Input sheet'!B24)</f>
        <v>0.3</v>
      </c>
    </row>
    <row r="7" spans="1:14" ht="15" customHeight="1">
      <c r="A7" s="31" t="s">
        <v>6</v>
      </c>
      <c r="B7" s="497">
        <f>IF(B5&gt;0,B5*(1-B6),B5)</f>
        <v>71837.604000000007</v>
      </c>
      <c r="C7" s="498">
        <f>IF(C5&gt;0,IF(C5&lt;B10,C5,C5-(C5-B10)*C6),C5)</f>
        <v>10796.331596400001</v>
      </c>
      <c r="D7" s="498">
        <f t="shared" ref="D7:L7" si="2">IF(D5&gt;0,IF(D5&lt;C10,D5,D5-(D5-C10)*D6),D5)</f>
        <v>87604.519239360015</v>
      </c>
      <c r="E7" s="498">
        <f t="shared" si="2"/>
        <v>149914.77588144003</v>
      </c>
      <c r="F7" s="498">
        <f t="shared" si="2"/>
        <v>179897.731057728</v>
      </c>
      <c r="G7" s="498">
        <f t="shared" si="2"/>
        <v>215877.27726927362</v>
      </c>
      <c r="H7" s="498">
        <f t="shared" si="2"/>
        <v>246707.58007551078</v>
      </c>
      <c r="I7" s="498">
        <f t="shared" si="2"/>
        <v>275658.47665605112</v>
      </c>
      <c r="J7" s="498">
        <f t="shared" si="2"/>
        <v>300984.1637591956</v>
      </c>
      <c r="K7" s="498">
        <f t="shared" si="2"/>
        <v>320965.36965506838</v>
      </c>
      <c r="L7" s="498">
        <f t="shared" si="2"/>
        <v>334088.49668030051</v>
      </c>
      <c r="M7" s="498">
        <f>M5*(1-M6)</f>
        <v>358677.41003597056</v>
      </c>
    </row>
    <row r="8" spans="1:14" ht="15" customHeight="1">
      <c r="A8" s="31" t="s">
        <v>9</v>
      </c>
      <c r="B8" s="43"/>
      <c r="C8" s="498">
        <f>IF('Input sheet'!$B$56="No",(D3-C3)/C38,IF('Input sheet'!$B$57=0,(C3-B3)/C38,IF('Input sheet'!$B$57=2,(E3-D3)/C38,IF('Input sheet'!$B$57=3,(F3-E3)/C38,(D3-C3)/C38))))</f>
        <v>19834.530416666665</v>
      </c>
      <c r="D8" s="498">
        <f>IF('Input sheet'!$B$56="No",(E3-D3)/D38,IF('Input sheet'!$B$57=0,(D3-C3)/D38,IF('Input sheet'!$B$57=2,(F3-E3)/D38,IF('Input sheet'!$B$57=3,(G3-F3)/D38,(E3-D3)/D38))))</f>
        <v>23801.436500000007</v>
      </c>
      <c r="E8" s="498">
        <f>IF('Input sheet'!$B$56="No",(F3-E3)/E38,IF('Input sheet'!$B$57=0,(E3-D3)/E38,IF('Input sheet'!$B$57=2,(G3-F3)/E38,IF('Input sheet'!$B$57=3,(H3-G3)/E38,(F3-E3)/E38))))</f>
        <v>28561.723799999989</v>
      </c>
      <c r="F8" s="498">
        <f>IF('Input sheet'!$B$56="No",(G3-F3)/F38,IF('Input sheet'!$B$57=0,(F3-E3)/F38,IF('Input sheet'!$B$57=2,(H3-G3)/F38,IF('Input sheet'!$B$57=3,(I3-H3)/F38,(G3-F3)/F38))))</f>
        <v>34274.068559999992</v>
      </c>
      <c r="G8" s="498">
        <f>IF('Input sheet'!$B$56="No",(H3-G3)/G38,IF('Input sheet'!$B$57=0,(G3-F3)/G38,IF('Input sheet'!$B$57=2,(I3-H3)/G38,IF('Input sheet'!$B$57=3,(J3-I3)/G38,(H3-G3)/G38))))</f>
        <v>35930.191552819211</v>
      </c>
      <c r="H8" s="498">
        <f>IF('Input sheet'!$B$56="No",(I3-H3)/H38,IF('Input sheet'!$B$57=0,(H3-G3)/H38,IF('Input sheet'!$B$57=2,(J3-I3)/H38,IF('Input sheet'!$B$57=3,(K3-J3)/H38,(I3-H3)/H38))))</f>
        <v>36100.908659291701</v>
      </c>
      <c r="I8" s="498">
        <f>IF('Input sheet'!$B$56="No",(J3-I3)/I38,IF('Input sheet'!$B$57=0,(I3-H3)/I38,IF('Input sheet'!$B$57=2,(K3-J3)/I38,IF('Input sheet'!$B$57=3,(L3-K3)/I38,(J3-I3)/I38))))</f>
        <v>34476.191516793289</v>
      </c>
      <c r="J8" s="498">
        <f>IF('Input sheet'!$B$56="No",(K3-J3)/J38,IF('Input sheet'!$B$57=0,(J3-I3)/J38,IF('Input sheet'!$B$57=2,(L3-K3)/J38,IF('Input sheet'!$B$57=3,(M3-L3)/J38,(K3-J3)/J38))))</f>
        <v>30865.560401430848</v>
      </c>
      <c r="K8" s="498">
        <f>IF('Input sheet'!$B$56="No",(L3-K3)/K38,IF('Input sheet'!$B$57=0,(K3-J3)/K38,IF('Input sheet'!$B$57=2,L3*L2/K38,IF('Input sheet'!$B$57=3,M3*M2/K38,(L3-K3)/K38))))</f>
        <v>25246.070592888624</v>
      </c>
      <c r="L8" s="498">
        <f>IF('Input sheet'!$B$56="No",(M3-L3)/L38,IF('Input sheet'!$B$57=0,(L3-K3)/L38,IF('Input sheet'!$B$57=2,M3*M2/L38,IF('Input sheet'!$B$57=3,K8*(1+M2),(M3-L3)/L38))))</f>
        <v>27104.181388525227</v>
      </c>
      <c r="M8" s="500">
        <f>IF(M2&gt;0,(M2/M40)*M7,0)</f>
        <v>230153.94401610666</v>
      </c>
      <c r="N8" s="346">
        <f>SUM(C8:M8)</f>
        <v>526348.8074045222</v>
      </c>
    </row>
    <row r="9" spans="1:14" ht="15" customHeight="1">
      <c r="A9" s="31" t="s">
        <v>10</v>
      </c>
      <c r="B9" s="43"/>
      <c r="C9" s="498">
        <f t="shared" ref="C9:L9" si="3">C7-C8</f>
        <v>-9038.1988202666635</v>
      </c>
      <c r="D9" s="498">
        <f t="shared" si="3"/>
        <v>63803.082739360005</v>
      </c>
      <c r="E9" s="498">
        <f t="shared" si="3"/>
        <v>121353.05208144004</v>
      </c>
      <c r="F9" s="498">
        <f t="shared" si="3"/>
        <v>145623.66249772802</v>
      </c>
      <c r="G9" s="498">
        <f t="shared" si="3"/>
        <v>179947.0857164544</v>
      </c>
      <c r="H9" s="498">
        <f t="shared" si="3"/>
        <v>210606.67141621909</v>
      </c>
      <c r="I9" s="498">
        <f t="shared" si="3"/>
        <v>241182.28513925785</v>
      </c>
      <c r="J9" s="498">
        <f t="shared" si="3"/>
        <v>270118.60335776478</v>
      </c>
      <c r="K9" s="498">
        <f t="shared" si="3"/>
        <v>295719.29906217975</v>
      </c>
      <c r="L9" s="498">
        <f t="shared" si="3"/>
        <v>306984.31529177527</v>
      </c>
      <c r="M9" s="500">
        <f>M7-M8</f>
        <v>128523.4660198639</v>
      </c>
    </row>
    <row r="10" spans="1:14" ht="15" customHeight="1">
      <c r="A10" s="31" t="s">
        <v>41</v>
      </c>
      <c r="B10" s="497">
        <f>IF('Input sheet'!B61="Yes",'Input sheet'!B62,0)</f>
        <v>0</v>
      </c>
      <c r="C10" s="498">
        <f>IF(C5&lt;0,B10-C5,IF(B10&gt;C5,B10-C5,0))</f>
        <v>0</v>
      </c>
      <c r="D10" s="498">
        <f t="shared" ref="D10:M10" si="4">IF(D5&lt;0,C10-D5,IF(C10&gt;D5,C10-D5,0))</f>
        <v>0</v>
      </c>
      <c r="E10" s="498">
        <f t="shared" si="4"/>
        <v>0</v>
      </c>
      <c r="F10" s="498">
        <f t="shared" si="4"/>
        <v>0</v>
      </c>
      <c r="G10" s="498">
        <f t="shared" si="4"/>
        <v>0</v>
      </c>
      <c r="H10" s="498">
        <f t="shared" si="4"/>
        <v>0</v>
      </c>
      <c r="I10" s="498">
        <f t="shared" si="4"/>
        <v>0</v>
      </c>
      <c r="J10" s="498">
        <f t="shared" si="4"/>
        <v>0</v>
      </c>
      <c r="K10" s="498">
        <f t="shared" si="4"/>
        <v>0</v>
      </c>
      <c r="L10" s="498">
        <f t="shared" si="4"/>
        <v>0</v>
      </c>
      <c r="M10" s="498">
        <f t="shared" si="4"/>
        <v>0</v>
      </c>
    </row>
    <row r="11" spans="1:14" ht="15" customHeight="1">
      <c r="B11" s="40"/>
      <c r="C11" s="47"/>
      <c r="D11" s="47"/>
      <c r="E11" s="47"/>
      <c r="F11" s="47"/>
      <c r="G11" s="47"/>
      <c r="H11" s="47"/>
      <c r="I11" s="47"/>
      <c r="J11" s="47"/>
      <c r="K11" s="47"/>
      <c r="L11" s="47"/>
      <c r="M11" s="47"/>
    </row>
    <row r="12" spans="1:14" ht="15" customHeight="1">
      <c r="A12" s="31" t="s">
        <v>135</v>
      </c>
      <c r="B12" s="44"/>
      <c r="C12" s="41">
        <f>'Input sheet'!B35</f>
        <v>0.11879999999999999</v>
      </c>
      <c r="D12" s="41">
        <f>C12</f>
        <v>0.11879999999999999</v>
      </c>
      <c r="E12" s="41">
        <f>D12</f>
        <v>0.11879999999999999</v>
      </c>
      <c r="F12" s="41">
        <f>E12</f>
        <v>0.11879999999999999</v>
      </c>
      <c r="G12" s="41">
        <f>F12</f>
        <v>0.11879999999999999</v>
      </c>
      <c r="H12" s="41">
        <f>G12-($G$12-$M$12)/5</f>
        <v>0.11797999999999999</v>
      </c>
      <c r="I12" s="41">
        <f>H12-($G$12-$M$12)/5</f>
        <v>0.11715999999999999</v>
      </c>
      <c r="J12" s="41">
        <f>I12-($G$12-$M$12)/5</f>
        <v>0.11633999999999999</v>
      </c>
      <c r="K12" s="41">
        <f>J12-($G$12-$M$12)/5</f>
        <v>0.11551999999999998</v>
      </c>
      <c r="L12" s="41">
        <f>K12-($G$12-$M$12)/5</f>
        <v>0.11469999999999998</v>
      </c>
      <c r="M12" s="42">
        <f>IF('Input sheet'!B45="Yes",'Input sheet'!B46,IF('Input sheet'!B64="Yes",'Input sheet'!B65+'Country equity risk premiums'!B1,'Input sheet'!B34+'Country equity risk premiums'!B1))</f>
        <v>0.1147</v>
      </c>
    </row>
    <row r="13" spans="1:14" ht="15" customHeight="1">
      <c r="A13" s="31" t="s">
        <v>136</v>
      </c>
      <c r="B13" s="40"/>
      <c r="C13" s="77">
        <f>1/(1+C12)</f>
        <v>0.89381480157311399</v>
      </c>
      <c r="D13" s="77">
        <f>C13*(1/(1+D12))</f>
        <v>0.79890489951118515</v>
      </c>
      <c r="E13" s="77">
        <f t="shared" ref="E13:L13" si="5">D13*(1/(1+E12))</f>
        <v>0.71407302423237851</v>
      </c>
      <c r="F13" s="77">
        <f t="shared" si="5"/>
        <v>0.63824903846297676</v>
      </c>
      <c r="G13" s="77">
        <f t="shared" si="5"/>
        <v>0.57047643766801637</v>
      </c>
      <c r="H13" s="77">
        <f t="shared" si="5"/>
        <v>0.51027427831268579</v>
      </c>
      <c r="I13" s="77">
        <f t="shared" si="5"/>
        <v>0.45676024769297668</v>
      </c>
      <c r="J13" s="77">
        <f t="shared" si="5"/>
        <v>0.40915872197805031</v>
      </c>
      <c r="K13" s="77">
        <f t="shared" si="5"/>
        <v>0.36678743722931934</v>
      </c>
      <c r="L13" s="77">
        <f t="shared" si="5"/>
        <v>0.32904587532907448</v>
      </c>
      <c r="M13" s="47"/>
    </row>
    <row r="14" spans="1:14" ht="15" customHeight="1">
      <c r="A14" s="31" t="s">
        <v>15</v>
      </c>
      <c r="B14" s="40"/>
      <c r="C14" s="498">
        <f t="shared" ref="C14:L14" si="6">C9*C13</f>
        <v>-8078.4758851150009</v>
      </c>
      <c r="D14" s="498">
        <f t="shared" si="6"/>
        <v>50972.595404392239</v>
      </c>
      <c r="E14" s="498">
        <f t="shared" si="6"/>
        <v>86654.940899623223</v>
      </c>
      <c r="F14" s="498">
        <f t="shared" si="6"/>
        <v>92944.16256663196</v>
      </c>
      <c r="G14" s="498">
        <f t="shared" si="6"/>
        <v>102655.5724282641</v>
      </c>
      <c r="H14" s="498">
        <f t="shared" si="6"/>
        <v>107467.16726474815</v>
      </c>
      <c r="I14" s="498">
        <f t="shared" si="6"/>
        <v>110162.48029936555</v>
      </c>
      <c r="J14" s="498">
        <f t="shared" si="6"/>
        <v>110521.38253235893</v>
      </c>
      <c r="K14" s="498">
        <f t="shared" si="6"/>
        <v>108466.12384226757</v>
      </c>
      <c r="L14" s="498">
        <f t="shared" si="6"/>
        <v>101011.92273747877</v>
      </c>
      <c r="M14" s="47"/>
    </row>
    <row r="15" spans="1:14" ht="15" customHeight="1"/>
    <row r="16" spans="1:14" ht="15" customHeight="1">
      <c r="A16" s="30" t="s">
        <v>16</v>
      </c>
      <c r="B16" s="43">
        <f>M9</f>
        <v>128523.4660198639</v>
      </c>
    </row>
    <row r="17" spans="1:13" ht="15" customHeight="1">
      <c r="A17" s="30" t="s">
        <v>132</v>
      </c>
      <c r="B17" s="44">
        <f>M12</f>
        <v>0.1147</v>
      </c>
      <c r="D17" s="349"/>
    </row>
    <row r="18" spans="1:13">
      <c r="A18" s="30" t="s">
        <v>17</v>
      </c>
      <c r="B18" s="43">
        <f>B16/(B17-M2)</f>
        <v>3127091.630653623</v>
      </c>
      <c r="D18" s="350"/>
      <c r="M18" s="349"/>
    </row>
    <row r="19" spans="1:13">
      <c r="A19" s="30" t="s">
        <v>18</v>
      </c>
      <c r="B19" s="48">
        <f>B18*L13</f>
        <v>1028956.6028426442</v>
      </c>
      <c r="D19" s="349"/>
    </row>
    <row r="20" spans="1:13">
      <c r="A20" s="30" t="s">
        <v>39</v>
      </c>
      <c r="B20" s="48">
        <f>SUM(C14:L14)</f>
        <v>862777.87209001556</v>
      </c>
    </row>
    <row r="21" spans="1:13">
      <c r="A21" s="30" t="s">
        <v>40</v>
      </c>
      <c r="B21" s="48">
        <f>B19+B20</f>
        <v>1891734.4749326599</v>
      </c>
    </row>
    <row r="22" spans="1:13">
      <c r="A22" s="30" t="s">
        <v>100</v>
      </c>
      <c r="B22" s="49">
        <f>IF('Input sheet'!B51="Yes",'Input sheet'!B52,0)</f>
        <v>0</v>
      </c>
      <c r="E22" s="349"/>
    </row>
    <row r="23" spans="1:13">
      <c r="A23" s="30" t="s">
        <v>101</v>
      </c>
      <c r="B23" s="50">
        <f>IF('Input sheet'!B53="B",('Input sheet'!B14+'Input sheet'!B15)*'Input sheet'!B54,'Valuation output'!B21*'Input sheet'!B54)</f>
        <v>945867.23746632994</v>
      </c>
    </row>
    <row r="24" spans="1:13">
      <c r="A24" s="30" t="s">
        <v>37</v>
      </c>
      <c r="B24" s="43">
        <f>B21*(1-B22)+B23*B22</f>
        <v>1891734.4749326599</v>
      </c>
    </row>
    <row r="25" spans="1:13">
      <c r="A25" s="30" t="s">
        <v>368</v>
      </c>
      <c r="B25" s="43">
        <f>IF('Input sheet'!B17="Yes",'Input sheet'!B15+'Operating lease converter'!C28,'Input sheet'!B15)</f>
        <v>129349.04</v>
      </c>
    </row>
    <row r="26" spans="1:13">
      <c r="A26" s="30" t="s">
        <v>370</v>
      </c>
      <c r="B26" s="43">
        <f>'Input sheet'!B20</f>
        <v>0</v>
      </c>
    </row>
    <row r="27" spans="1:13" ht="16.05" customHeight="1">
      <c r="A27" s="30" t="s">
        <v>367</v>
      </c>
      <c r="B27" s="43">
        <f>IF('Input sheet'!B70="YES",'Input sheet'!B18-'Input sheet'!B71*('Input sheet'!B24-'Input sheet'!B72),'Input sheet'!B18)</f>
        <v>323.36</v>
      </c>
      <c r="D27" s="584" t="s">
        <v>979</v>
      </c>
      <c r="E27" s="584"/>
      <c r="F27" s="584"/>
    </row>
    <row r="28" spans="1:13">
      <c r="A28" s="30" t="s">
        <v>366</v>
      </c>
      <c r="B28" s="43">
        <f>'Input sheet'!B19</f>
        <v>27.37</v>
      </c>
      <c r="D28" s="584"/>
      <c r="E28" s="584"/>
      <c r="F28" s="584"/>
    </row>
    <row r="29" spans="1:13">
      <c r="A29" s="30" t="s">
        <v>45</v>
      </c>
      <c r="B29" s="48">
        <f>B24-B25-B26+B27+B28</f>
        <v>1762736.1649326601</v>
      </c>
      <c r="D29" s="584"/>
      <c r="E29" s="584"/>
      <c r="F29" s="584"/>
    </row>
    <row r="30" spans="1:13">
      <c r="A30" s="30" t="s">
        <v>50</v>
      </c>
      <c r="B30" s="51">
        <f>IF('Input sheet'!B37="No",0,'Option value'!B29)</f>
        <v>0</v>
      </c>
      <c r="D30" s="584"/>
      <c r="E30" s="584"/>
      <c r="F30" s="584"/>
    </row>
    <row r="31" spans="1:13">
      <c r="A31" s="30" t="s">
        <v>51</v>
      </c>
      <c r="B31" s="48">
        <f>B29-B30</f>
        <v>1762736.1649326601</v>
      </c>
      <c r="D31" s="584"/>
      <c r="E31" s="584"/>
      <c r="F31" s="584"/>
    </row>
    <row r="32" spans="1:13">
      <c r="A32" s="30" t="s">
        <v>7</v>
      </c>
      <c r="B32" s="52">
        <f>'Input sheet'!B21</f>
        <v>1042.5999999999999</v>
      </c>
      <c r="D32" s="584"/>
      <c r="E32" s="584"/>
      <c r="F32" s="584"/>
    </row>
    <row r="33" spans="1:13">
      <c r="A33" s="30" t="s">
        <v>85</v>
      </c>
      <c r="B33" s="53">
        <f>B31/B32</f>
        <v>1690.7118405262422</v>
      </c>
    </row>
    <row r="34" spans="1:13">
      <c r="A34" s="30" t="s">
        <v>91</v>
      </c>
      <c r="B34" s="43">
        <f>'Input sheet'!B22</f>
        <v>58.99</v>
      </c>
    </row>
    <row r="35" spans="1:13">
      <c r="A35" s="30" t="s">
        <v>43</v>
      </c>
      <c r="B35" s="45">
        <f>B34/B33</f>
        <v>3.4890629252137421E-2</v>
      </c>
    </row>
    <row r="37" spans="1:13" ht="16.2">
      <c r="A37" s="32" t="s">
        <v>11</v>
      </c>
      <c r="B37" s="40"/>
      <c r="C37" s="47"/>
      <c r="D37" s="47"/>
      <c r="E37" s="47"/>
      <c r="F37" s="47"/>
      <c r="G37" s="47"/>
      <c r="H37" s="47"/>
      <c r="I37" s="47"/>
      <c r="J37" s="47"/>
      <c r="K37" s="47"/>
      <c r="L37" s="47"/>
      <c r="M37" s="47" t="s">
        <v>36</v>
      </c>
    </row>
    <row r="38" spans="1:13">
      <c r="A38" s="30" t="s">
        <v>31</v>
      </c>
      <c r="B38" s="40"/>
      <c r="C38" s="54">
        <f>'Input sheet'!B31</f>
        <v>1.2</v>
      </c>
      <c r="D38" s="54">
        <f>'Input sheet'!B31</f>
        <v>1.2</v>
      </c>
      <c r="E38" s="54">
        <f t="shared" ref="E38:L38" si="7">D38</f>
        <v>1.2</v>
      </c>
      <c r="F38" s="54">
        <f t="shared" si="7"/>
        <v>1.2</v>
      </c>
      <c r="G38" s="54">
        <f>F38</f>
        <v>1.2</v>
      </c>
      <c r="H38" s="54">
        <f>'Input sheet'!B32</f>
        <v>1.2</v>
      </c>
      <c r="I38" s="54">
        <f t="shared" si="7"/>
        <v>1.2</v>
      </c>
      <c r="J38" s="54">
        <f t="shared" si="7"/>
        <v>1.2</v>
      </c>
      <c r="K38" s="54">
        <f t="shared" si="7"/>
        <v>1.2</v>
      </c>
      <c r="L38" s="54">
        <f t="shared" si="7"/>
        <v>1.2</v>
      </c>
      <c r="M38" s="47"/>
    </row>
    <row r="39" spans="1:13">
      <c r="A39" s="30" t="s">
        <v>12</v>
      </c>
      <c r="B39" s="55">
        <f>IF('Input sheet'!B17="Yes",IF('Input sheet'!B16="Yes",'Input sheet'!B14+'Input sheet'!B15-'Input sheet'!B18+'Operating lease converter'!F33+'R&amp; D converter'!D35,'Input sheet'!B14+'Input sheet'!B15-'Input sheet'!B18+'Operating lease converter'!F33),IF('Input sheet'!B16="Yes",'Input sheet'!B14+'Input sheet'!B15-'Input sheet'!B18+'R&amp; D converter'!D35,'Input sheet'!B14+'Input sheet'!B15-'Input sheet'!B18))</f>
        <v>96709.61</v>
      </c>
      <c r="C39" s="56">
        <f t="shared" ref="C39:L39" si="8">B39+C8</f>
        <v>116544.14041666666</v>
      </c>
      <c r="D39" s="56">
        <f t="shared" si="8"/>
        <v>140345.57691666667</v>
      </c>
      <c r="E39" s="56">
        <f t="shared" si="8"/>
        <v>168907.30071666665</v>
      </c>
      <c r="F39" s="56">
        <f t="shared" si="8"/>
        <v>203181.36927666664</v>
      </c>
      <c r="G39" s="56">
        <f t="shared" si="8"/>
        <v>239111.56082948585</v>
      </c>
      <c r="H39" s="56">
        <f t="shared" si="8"/>
        <v>275212.46948877757</v>
      </c>
      <c r="I39" s="56">
        <f t="shared" si="8"/>
        <v>309688.66100557084</v>
      </c>
      <c r="J39" s="56">
        <f t="shared" si="8"/>
        <v>340554.22140700172</v>
      </c>
      <c r="K39" s="56">
        <f t="shared" si="8"/>
        <v>365800.29199989035</v>
      </c>
      <c r="L39" s="56">
        <f t="shared" si="8"/>
        <v>392904.47338841559</v>
      </c>
      <c r="M39" s="47"/>
    </row>
    <row r="40" spans="1:13">
      <c r="A40" s="30" t="s">
        <v>13</v>
      </c>
      <c r="B40" s="44">
        <f>B7/B39</f>
        <v>0.74281763725445704</v>
      </c>
      <c r="C40" s="41">
        <f>C7/B39</f>
        <v>0.11163659533318356</v>
      </c>
      <c r="D40" s="41">
        <f t="shared" ref="D40:L40" si="9">D7/C39</f>
        <v>0.75168531790751392</v>
      </c>
      <c r="E40" s="41">
        <f t="shared" si="9"/>
        <v>1.0681831175232213</v>
      </c>
      <c r="F40" s="41">
        <f t="shared" si="9"/>
        <v>1.0650678229681572</v>
      </c>
      <c r="G40" s="41">
        <f t="shared" si="9"/>
        <v>1.062485591261664</v>
      </c>
      <c r="H40" s="41">
        <f t="shared" si="9"/>
        <v>1.0317676787340355</v>
      </c>
      <c r="I40" s="41">
        <f t="shared" si="9"/>
        <v>1.0016205921486843</v>
      </c>
      <c r="J40" s="41">
        <f t="shared" si="9"/>
        <v>0.97189274796787384</v>
      </c>
      <c r="K40" s="41">
        <f t="shared" si="9"/>
        <v>0.94247949219069471</v>
      </c>
      <c r="L40" s="41">
        <f t="shared" si="9"/>
        <v>0.91330844722343918</v>
      </c>
      <c r="M40" s="41">
        <f>IF('Input sheet'!B48="Yes",'Input sheet'!B49,'Valuation output'!L12)</f>
        <v>0.11469999999999998</v>
      </c>
    </row>
  </sheetData>
  <mergeCells count="1">
    <mergeCell ref="D27:F32"/>
  </mergeCells>
  <phoneticPr fontId="6" type="noConversion"/>
  <pageMargins left="0.75" right="0.75" top="1" bottom="1" header="0.5" footer="0.5"/>
  <pageSetup orientation="landscape" horizontalDpi="4294967292" verticalDpi="4294967292"/>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
  <sheetViews>
    <sheetView zoomScale="88" zoomScaleNormal="88" workbookViewId="0">
      <selection activeCell="I47" sqref="I47"/>
    </sheetView>
  </sheetViews>
  <sheetFormatPr defaultColWidth="11" defaultRowHeight="13.2"/>
  <cols>
    <col min="1" max="1" width="27.875" style="294" customWidth="1"/>
    <col min="2" max="2" width="13" style="294" customWidth="1"/>
    <col min="3" max="3" width="10.875" style="294"/>
    <col min="4" max="4" width="16.125" style="294" customWidth="1"/>
    <col min="5" max="5" width="12.625" style="294" bestFit="1" customWidth="1"/>
    <col min="6" max="10" width="11.5" style="294" bestFit="1" customWidth="1"/>
    <col min="11" max="13" width="13" style="294" bestFit="1" customWidth="1"/>
    <col min="14" max="14" width="13.625" style="294" bestFit="1" customWidth="1"/>
    <col min="15" max="15" width="16" style="294" customWidth="1"/>
    <col min="16" max="16" width="10.875" style="294"/>
  </cols>
  <sheetData>
    <row r="1" spans="1:16" s="2" customFormat="1">
      <c r="A1" s="293" t="s">
        <v>855</v>
      </c>
      <c r="B1" s="293"/>
      <c r="C1" s="293"/>
      <c r="D1" s="293"/>
      <c r="E1" s="293"/>
      <c r="F1" s="293"/>
      <c r="G1" s="293"/>
      <c r="H1" s="293"/>
      <c r="I1" s="293"/>
      <c r="J1" s="293"/>
      <c r="K1" s="293"/>
      <c r="L1" s="293"/>
      <c r="M1" s="293"/>
      <c r="N1" s="293"/>
      <c r="O1" s="293"/>
      <c r="P1" s="293"/>
    </row>
    <row r="2" spans="1:16" s="2" customFormat="1" ht="13.8" thickBot="1">
      <c r="A2" s="293"/>
      <c r="B2" s="293"/>
      <c r="C2" s="293"/>
      <c r="D2" s="293"/>
      <c r="E2" s="293"/>
      <c r="F2" s="293"/>
      <c r="G2" s="293"/>
      <c r="H2" s="293"/>
      <c r="I2" s="293"/>
      <c r="J2" s="293"/>
      <c r="K2" s="293"/>
      <c r="L2" s="293"/>
      <c r="M2" s="293"/>
      <c r="N2" s="293"/>
      <c r="O2" s="293"/>
      <c r="P2" s="293"/>
    </row>
    <row r="3" spans="1:16" ht="16.2" thickBot="1">
      <c r="A3" s="593" t="str">
        <f>'Input sheet'!B4</f>
        <v>Spicejet</v>
      </c>
      <c r="B3" s="594"/>
      <c r="C3" s="594"/>
      <c r="D3" s="594"/>
      <c r="E3" s="594"/>
      <c r="F3" s="594"/>
      <c r="G3" s="594"/>
      <c r="H3" s="594"/>
      <c r="I3" s="594"/>
      <c r="J3" s="594"/>
      <c r="K3" s="594"/>
      <c r="L3" s="594"/>
      <c r="M3" s="594"/>
      <c r="N3" s="595"/>
      <c r="O3" s="585">
        <f>'Input sheet'!B3</f>
        <v>44074</v>
      </c>
      <c r="P3" s="586"/>
    </row>
    <row r="4" spans="1:16" ht="13.8" thickBot="1">
      <c r="A4" s="436"/>
      <c r="P4" s="437"/>
    </row>
    <row r="5" spans="1:16" ht="13.8" thickBot="1">
      <c r="A5" s="603" t="s">
        <v>853</v>
      </c>
      <c r="B5" s="604"/>
      <c r="C5" s="605"/>
      <c r="E5" s="598" t="s">
        <v>849</v>
      </c>
      <c r="F5" s="599"/>
      <c r="H5" s="598" t="s">
        <v>850</v>
      </c>
      <c r="I5" s="599"/>
      <c r="K5" s="598" t="s">
        <v>851</v>
      </c>
      <c r="L5" s="599"/>
      <c r="P5" s="437"/>
    </row>
    <row r="6" spans="1:16" ht="13.95" customHeight="1">
      <c r="A6" s="436"/>
      <c r="B6" s="367" t="s">
        <v>221</v>
      </c>
      <c r="C6" s="367" t="s">
        <v>852</v>
      </c>
      <c r="E6" s="587" t="str">
        <f>'Stories to Numbers'!G9</f>
        <v>Disruption platform in multiple businesses</v>
      </c>
      <c r="F6" s="588"/>
      <c r="H6" s="587" t="str">
        <f>'Stories to Numbers'!G10</f>
        <v>Margins improve, aided by cloud business &amp; continued economies of scale.</v>
      </c>
      <c r="I6" s="588"/>
      <c r="K6" s="587" t="str">
        <f>'Stories to Numbers'!G12</f>
        <v>Maintained at Amazon's current level</v>
      </c>
      <c r="L6" s="588"/>
      <c r="O6" s="596" t="s">
        <v>535</v>
      </c>
      <c r="P6" s="597"/>
    </row>
    <row r="7" spans="1:16">
      <c r="A7" s="438" t="s">
        <v>844</v>
      </c>
      <c r="B7" s="353">
        <f>'Input sheet'!I25</f>
        <v>0.30686879022766056</v>
      </c>
      <c r="C7" s="353">
        <f>'Input sheet'!K25</f>
        <v>2.4834959999999982E-2</v>
      </c>
      <c r="E7" s="589"/>
      <c r="F7" s="590"/>
      <c r="H7" s="589"/>
      <c r="I7" s="590"/>
      <c r="K7" s="589"/>
      <c r="L7" s="590"/>
      <c r="O7" s="351" t="s">
        <v>848</v>
      </c>
      <c r="P7" s="439">
        <f>O16</f>
        <v>7.3599999999999999E-2</v>
      </c>
    </row>
    <row r="8" spans="1:16">
      <c r="A8" s="438" t="s">
        <v>845</v>
      </c>
      <c r="B8" s="361">
        <f>'Valuation output'!B3</f>
        <v>98597.5</v>
      </c>
      <c r="E8" s="589"/>
      <c r="F8" s="590"/>
      <c r="H8" s="589"/>
      <c r="I8" s="590"/>
      <c r="K8" s="589"/>
      <c r="L8" s="590"/>
      <c r="O8" s="351" t="s">
        <v>135</v>
      </c>
      <c r="P8" s="439">
        <f>'Valuation output'!M12</f>
        <v>0.1147</v>
      </c>
    </row>
    <row r="9" spans="1:16">
      <c r="A9" s="438" t="s">
        <v>505</v>
      </c>
      <c r="B9" s="353">
        <f>'Valuation output'!B4</f>
        <v>0.89949948020994441</v>
      </c>
      <c r="C9" s="353">
        <f>'Input sheet'!K26</f>
        <v>7.2832786186452711E-2</v>
      </c>
      <c r="E9" s="589"/>
      <c r="F9" s="590"/>
      <c r="H9" s="589"/>
      <c r="I9" s="590"/>
      <c r="K9" s="589"/>
      <c r="L9" s="590"/>
      <c r="O9" s="351" t="s">
        <v>525</v>
      </c>
      <c r="P9" s="439">
        <f>'Valuation output'!M40</f>
        <v>0.11469999999999998</v>
      </c>
    </row>
    <row r="10" spans="1:16">
      <c r="A10" s="438" t="s">
        <v>846</v>
      </c>
      <c r="B10" s="361">
        <f>'Valuation output'!B5</f>
        <v>88688.4</v>
      </c>
      <c r="E10" s="589"/>
      <c r="F10" s="590"/>
      <c r="H10" s="589"/>
      <c r="I10" s="590"/>
      <c r="K10" s="589"/>
      <c r="L10" s="590"/>
      <c r="O10" s="351" t="s">
        <v>471</v>
      </c>
      <c r="P10" s="439">
        <f>P7/P9</f>
        <v>0.64167393199651268</v>
      </c>
    </row>
    <row r="11" spans="1:16">
      <c r="A11" s="438" t="s">
        <v>507</v>
      </c>
      <c r="B11" s="361">
        <f>'Valuation output'!B7</f>
        <v>71837.604000000007</v>
      </c>
      <c r="E11" s="589"/>
      <c r="F11" s="590"/>
      <c r="H11" s="589"/>
      <c r="I11" s="590"/>
      <c r="K11" s="589"/>
      <c r="L11" s="590"/>
      <c r="P11" s="440"/>
    </row>
    <row r="12" spans="1:16">
      <c r="A12" s="436"/>
      <c r="E12" s="591"/>
      <c r="F12" s="592"/>
      <c r="H12" s="591"/>
      <c r="I12" s="592"/>
      <c r="K12" s="591"/>
      <c r="L12" s="592"/>
      <c r="P12" s="440"/>
    </row>
    <row r="13" spans="1:16">
      <c r="A13" s="436"/>
      <c r="P13" s="440"/>
    </row>
    <row r="14" spans="1:16" ht="13.8" thickBot="1">
      <c r="A14" s="436"/>
      <c r="P14" s="437"/>
    </row>
    <row r="15" spans="1:16">
      <c r="A15" s="441" t="str">
        <f>'Valuation output'!A19</f>
        <v>PV(Terminal value)</v>
      </c>
      <c r="B15" s="362">
        <f>'Valuation output'!B19</f>
        <v>1028956.6028426442</v>
      </c>
      <c r="D15" s="351"/>
      <c r="E15" s="354">
        <f>'Valuation output'!C1</f>
        <v>1</v>
      </c>
      <c r="F15" s="354">
        <f>'Valuation output'!D1</f>
        <v>2</v>
      </c>
      <c r="G15" s="354">
        <f>'Valuation output'!E1</f>
        <v>3</v>
      </c>
      <c r="H15" s="354">
        <f>'Valuation output'!F1</f>
        <v>4</v>
      </c>
      <c r="I15" s="354">
        <f>'Valuation output'!G1</f>
        <v>5</v>
      </c>
      <c r="J15" s="354">
        <f>'Valuation output'!H1</f>
        <v>6</v>
      </c>
      <c r="K15" s="354">
        <f>'Valuation output'!I1</f>
        <v>7</v>
      </c>
      <c r="L15" s="354">
        <f>'Valuation output'!J1</f>
        <v>8</v>
      </c>
      <c r="M15" s="354">
        <f>'Valuation output'!K1</f>
        <v>9</v>
      </c>
      <c r="N15" s="354">
        <f>'Valuation output'!L1</f>
        <v>10</v>
      </c>
      <c r="O15" s="355" t="str">
        <f>'Valuation output'!M1</f>
        <v>Terminal year</v>
      </c>
      <c r="P15" s="442"/>
    </row>
    <row r="16" spans="1:16">
      <c r="A16" s="443" t="str">
        <f>'Valuation output'!A20</f>
        <v>PV (CF over next 10 years)</v>
      </c>
      <c r="B16" s="363">
        <f>'Valuation output'!B20</f>
        <v>862777.87209001556</v>
      </c>
      <c r="D16" s="351" t="s">
        <v>844</v>
      </c>
      <c r="E16" s="353">
        <f>'Valuation output'!C2</f>
        <v>0.20699999999999999</v>
      </c>
      <c r="F16" s="353">
        <f>'Valuation output'!D2</f>
        <v>0.2</v>
      </c>
      <c r="G16" s="353">
        <f>'Valuation output'!E2</f>
        <v>0.2</v>
      </c>
      <c r="H16" s="353">
        <f>'Valuation output'!F2</f>
        <v>0.2</v>
      </c>
      <c r="I16" s="353">
        <f>'Valuation output'!G2</f>
        <v>0.2</v>
      </c>
      <c r="J16" s="353">
        <f>'Valuation output'!H2</f>
        <v>0.17472000000000001</v>
      </c>
      <c r="K16" s="353">
        <f>'Valuation output'!I2</f>
        <v>0.14944000000000002</v>
      </c>
      <c r="L16" s="353">
        <f>'Valuation output'!J2</f>
        <v>0.12415999999999999</v>
      </c>
      <c r="M16" s="353">
        <f>'Valuation output'!K2</f>
        <v>9.8879999999999996E-2</v>
      </c>
      <c r="N16" s="353">
        <f>'Valuation output'!L2</f>
        <v>7.3599999999999999E-2</v>
      </c>
      <c r="O16" s="356">
        <f>'Valuation output'!M2</f>
        <v>7.3599999999999999E-2</v>
      </c>
      <c r="P16" s="437"/>
    </row>
    <row r="17" spans="1:16">
      <c r="A17" s="444" t="str">
        <f>'Valuation output'!A22</f>
        <v>Probability of failure =</v>
      </c>
      <c r="B17" s="364">
        <f>'Valuation output'!B22</f>
        <v>0</v>
      </c>
      <c r="D17" s="351" t="s">
        <v>845</v>
      </c>
      <c r="E17" s="357">
        <f>'Valuation output'!C3</f>
        <v>119007.18250000001</v>
      </c>
      <c r="F17" s="357">
        <f>'Valuation output'!D3</f>
        <v>142808.61900000001</v>
      </c>
      <c r="G17" s="357">
        <f>'Valuation output'!E3</f>
        <v>171370.34280000001</v>
      </c>
      <c r="H17" s="357">
        <f>'Valuation output'!F3</f>
        <v>205644.41136</v>
      </c>
      <c r="I17" s="357">
        <f>'Valuation output'!G3</f>
        <v>246773.29363199999</v>
      </c>
      <c r="J17" s="357">
        <f>'Valuation output'!H3</f>
        <v>289889.52349538304</v>
      </c>
      <c r="K17" s="357">
        <f>'Valuation output'!I3</f>
        <v>333210.61388653307</v>
      </c>
      <c r="L17" s="357">
        <f>'Valuation output'!J3</f>
        <v>374582.04370668501</v>
      </c>
      <c r="M17" s="357">
        <f>'Valuation output'!K3</f>
        <v>411620.71618840203</v>
      </c>
      <c r="N17" s="357">
        <f>'Valuation output'!L3</f>
        <v>441916.00089986838</v>
      </c>
      <c r="O17" s="358">
        <f>'Valuation output'!M3</f>
        <v>474441.01856609865</v>
      </c>
      <c r="P17" s="437"/>
    </row>
    <row r="18" spans="1:16">
      <c r="A18" s="443" t="str">
        <f>'Valuation output'!A24</f>
        <v>Value of operating assets =</v>
      </c>
      <c r="B18" s="365">
        <f>'Valuation output'!B24</f>
        <v>1891734.4749326599</v>
      </c>
      <c r="D18" s="351" t="s">
        <v>505</v>
      </c>
      <c r="E18" s="353">
        <f>'Valuation output'!C4</f>
        <v>0.112</v>
      </c>
      <c r="F18" s="353">
        <f>'Valuation output'!D4</f>
        <v>0.75733333333333341</v>
      </c>
      <c r="G18" s="353">
        <f>'Valuation output'!E4</f>
        <v>1.08</v>
      </c>
      <c r="H18" s="353">
        <f>'Valuation output'!F4</f>
        <v>1.08</v>
      </c>
      <c r="I18" s="353">
        <f>'Valuation output'!G4</f>
        <v>1.08</v>
      </c>
      <c r="J18" s="353">
        <f>'Valuation output'!H4</f>
        <v>1.08</v>
      </c>
      <c r="K18" s="353">
        <f>'Valuation output'!I4</f>
        <v>1.08</v>
      </c>
      <c r="L18" s="353">
        <f>'Valuation output'!J4</f>
        <v>1.08</v>
      </c>
      <c r="M18" s="353">
        <f>'Valuation output'!K4</f>
        <v>1.08</v>
      </c>
      <c r="N18" s="353">
        <f>'Valuation output'!L4</f>
        <v>1.08</v>
      </c>
      <c r="O18" s="356">
        <f>'Valuation output'!M4</f>
        <v>1.08</v>
      </c>
      <c r="P18" s="437"/>
    </row>
    <row r="19" spans="1:16">
      <c r="A19" s="443" t="str">
        <f>'Valuation output'!A25</f>
        <v xml:space="preserve"> - Debt</v>
      </c>
      <c r="B19" s="365">
        <f>'Valuation output'!B25</f>
        <v>129349.04</v>
      </c>
      <c r="D19" s="351" t="s">
        <v>846</v>
      </c>
      <c r="E19" s="357">
        <f>'Valuation output'!C5</f>
        <v>13328.804440000002</v>
      </c>
      <c r="F19" s="357">
        <f>'Valuation output'!D5</f>
        <v>108153.72745600002</v>
      </c>
      <c r="G19" s="357">
        <f>'Valuation output'!E5</f>
        <v>185079.97022400002</v>
      </c>
      <c r="H19" s="357">
        <f>'Valuation output'!F5</f>
        <v>222095.96426880002</v>
      </c>
      <c r="I19" s="357">
        <f>'Valuation output'!G5</f>
        <v>266515.15712256002</v>
      </c>
      <c r="J19" s="357">
        <f>'Valuation output'!H5</f>
        <v>313080.68537501368</v>
      </c>
      <c r="K19" s="357">
        <f>'Valuation output'!I5</f>
        <v>359867.46299745573</v>
      </c>
      <c r="L19" s="357">
        <f>'Valuation output'!J5</f>
        <v>404548.60720321984</v>
      </c>
      <c r="M19" s="357">
        <f>'Valuation output'!K5</f>
        <v>444550.37348347425</v>
      </c>
      <c r="N19" s="357">
        <f>'Valuation output'!L5</f>
        <v>477269.28097185789</v>
      </c>
      <c r="O19" s="358">
        <f>'Valuation output'!M5</f>
        <v>512396.30005138658</v>
      </c>
      <c r="P19" s="437"/>
    </row>
    <row r="20" spans="1:16">
      <c r="A20" s="443" t="str">
        <f>'Valuation output'!A26</f>
        <v xml:space="preserve"> - Minority interests</v>
      </c>
      <c r="B20" s="365">
        <f>'Valuation output'!B26</f>
        <v>0</v>
      </c>
      <c r="D20" s="351" t="s">
        <v>507</v>
      </c>
      <c r="E20" s="357">
        <f>'Valuation output'!C7</f>
        <v>10796.331596400001</v>
      </c>
      <c r="F20" s="357">
        <f>'Valuation output'!D7</f>
        <v>87604.519239360015</v>
      </c>
      <c r="G20" s="357">
        <f>'Valuation output'!E7</f>
        <v>149914.77588144003</v>
      </c>
      <c r="H20" s="357">
        <f>'Valuation output'!F7</f>
        <v>179897.731057728</v>
      </c>
      <c r="I20" s="357">
        <f>'Valuation output'!G7</f>
        <v>215877.27726927362</v>
      </c>
      <c r="J20" s="357">
        <f>'Valuation output'!H7</f>
        <v>246707.58007551078</v>
      </c>
      <c r="K20" s="357">
        <f>'Valuation output'!I7</f>
        <v>275658.47665605112</v>
      </c>
      <c r="L20" s="357">
        <f>'Valuation output'!J7</f>
        <v>300984.1637591956</v>
      </c>
      <c r="M20" s="357">
        <f>'Valuation output'!K7</f>
        <v>320965.36965506838</v>
      </c>
      <c r="N20" s="357">
        <f>'Valuation output'!L7</f>
        <v>334088.49668030051</v>
      </c>
      <c r="O20" s="358">
        <f>'Valuation output'!M7</f>
        <v>358677.41003597056</v>
      </c>
      <c r="P20" s="437"/>
    </row>
    <row r="21" spans="1:16">
      <c r="A21" s="443" t="str">
        <f>'Valuation output'!A27</f>
        <v xml:space="preserve"> +  Cash</v>
      </c>
      <c r="B21" s="365">
        <f>'Valuation output'!B27</f>
        <v>323.36</v>
      </c>
      <c r="D21" s="351" t="s">
        <v>533</v>
      </c>
      <c r="E21" s="357">
        <f>'Valuation output'!C8</f>
        <v>19834.530416666665</v>
      </c>
      <c r="F21" s="357">
        <f>'Valuation output'!D8</f>
        <v>23801.436500000007</v>
      </c>
      <c r="G21" s="357">
        <f>'Valuation output'!E8</f>
        <v>28561.723799999989</v>
      </c>
      <c r="H21" s="357">
        <f>'Valuation output'!F8</f>
        <v>34274.068559999992</v>
      </c>
      <c r="I21" s="357">
        <f>'Valuation output'!G8</f>
        <v>35930.191552819211</v>
      </c>
      <c r="J21" s="357">
        <f>'Valuation output'!H8</f>
        <v>36100.908659291701</v>
      </c>
      <c r="K21" s="357">
        <f>'Valuation output'!I8</f>
        <v>34476.191516793289</v>
      </c>
      <c r="L21" s="357">
        <f>'Valuation output'!J8</f>
        <v>30865.560401430848</v>
      </c>
      <c r="M21" s="357">
        <f>'Valuation output'!K8</f>
        <v>25246.070592888624</v>
      </c>
      <c r="N21" s="357">
        <f>'Valuation output'!L8</f>
        <v>27104.181388525227</v>
      </c>
      <c r="O21" s="358">
        <f>'Valuation output'!M8</f>
        <v>230153.94401610666</v>
      </c>
      <c r="P21" s="437"/>
    </row>
    <row r="22" spans="1:16">
      <c r="A22" s="443" t="str">
        <f>'Valuation output'!A28</f>
        <v xml:space="preserve"> + Non-operating assets</v>
      </c>
      <c r="B22" s="365">
        <f>'Valuation output'!B28</f>
        <v>27.37</v>
      </c>
      <c r="D22" s="352" t="s">
        <v>10</v>
      </c>
      <c r="E22" s="358">
        <f>'Valuation output'!C9</f>
        <v>-9038.1988202666635</v>
      </c>
      <c r="F22" s="358">
        <f>'Valuation output'!D9</f>
        <v>63803.082739360005</v>
      </c>
      <c r="G22" s="358">
        <f>'Valuation output'!E9</f>
        <v>121353.05208144004</v>
      </c>
      <c r="H22" s="358">
        <f>'Valuation output'!F9</f>
        <v>145623.66249772802</v>
      </c>
      <c r="I22" s="358">
        <f>'Valuation output'!G9</f>
        <v>179947.0857164544</v>
      </c>
      <c r="J22" s="358">
        <f>'Valuation output'!H9</f>
        <v>210606.67141621909</v>
      </c>
      <c r="K22" s="358">
        <f>'Valuation output'!I9</f>
        <v>241182.28513925785</v>
      </c>
      <c r="L22" s="358">
        <f>'Valuation output'!J9</f>
        <v>270118.60335776478</v>
      </c>
      <c r="M22" s="358">
        <f>'Valuation output'!K9</f>
        <v>295719.29906217975</v>
      </c>
      <c r="N22" s="358">
        <f>'Valuation output'!L9</f>
        <v>306984.31529177527</v>
      </c>
      <c r="O22" s="358">
        <f>'Valuation output'!M9</f>
        <v>128523.4660198639</v>
      </c>
      <c r="P22" s="437"/>
    </row>
    <row r="23" spans="1:16">
      <c r="A23" s="443" t="str">
        <f>'Valuation output'!A29</f>
        <v>Value of equity</v>
      </c>
      <c r="B23" s="365">
        <f>'Valuation output'!B29</f>
        <v>1762736.1649326601</v>
      </c>
      <c r="N23" s="360">
        <f>'Valuation output'!B18</f>
        <v>3127091.630653623</v>
      </c>
      <c r="P23" s="437"/>
    </row>
    <row r="24" spans="1:16">
      <c r="A24" s="443" t="str">
        <f>'Valuation output'!A30</f>
        <v xml:space="preserve"> - Value of options</v>
      </c>
      <c r="B24" s="365">
        <f>'Valuation output'!B30</f>
        <v>0</v>
      </c>
      <c r="P24" s="437"/>
    </row>
    <row r="25" spans="1:16">
      <c r="A25" s="443" t="str">
        <f>'Valuation output'!A31</f>
        <v>Value of equity in common stock</v>
      </c>
      <c r="B25" s="365">
        <f>'Valuation output'!B31</f>
        <v>1762736.1649326601</v>
      </c>
      <c r="D25" s="352" t="s">
        <v>534</v>
      </c>
      <c r="E25" s="356">
        <f>'Valuation output'!C12</f>
        <v>0.11879999999999999</v>
      </c>
      <c r="F25" s="356">
        <f>'Valuation output'!D12</f>
        <v>0.11879999999999999</v>
      </c>
      <c r="G25" s="356">
        <f>'Valuation output'!E12</f>
        <v>0.11879999999999999</v>
      </c>
      <c r="H25" s="356">
        <f>'Valuation output'!F12</f>
        <v>0.11879999999999999</v>
      </c>
      <c r="I25" s="356">
        <f>'Valuation output'!G12</f>
        <v>0.11879999999999999</v>
      </c>
      <c r="J25" s="356">
        <f>'Valuation output'!H12</f>
        <v>0.11797999999999999</v>
      </c>
      <c r="K25" s="356">
        <f>'Valuation output'!I12</f>
        <v>0.11715999999999999</v>
      </c>
      <c r="L25" s="356">
        <f>'Valuation output'!J12</f>
        <v>0.11633999999999999</v>
      </c>
      <c r="M25" s="356">
        <f>'Valuation output'!K12</f>
        <v>0.11551999999999998</v>
      </c>
      <c r="N25" s="356">
        <f>'Valuation output'!L12</f>
        <v>0.11469999999999998</v>
      </c>
      <c r="O25" s="435"/>
      <c r="P25" s="437"/>
    </row>
    <row r="26" spans="1:16">
      <c r="A26" s="445" t="str">
        <f>'Valuation output'!A32</f>
        <v>Number of shares</v>
      </c>
      <c r="B26" s="366">
        <f>'Valuation output'!B32</f>
        <v>1042.5999999999999</v>
      </c>
      <c r="D26" s="351" t="s">
        <v>847</v>
      </c>
      <c r="E26" s="359">
        <f>'Valuation output'!C13</f>
        <v>0.89381480157311399</v>
      </c>
      <c r="F26" s="359">
        <f>'Valuation output'!D13</f>
        <v>0.79890489951118515</v>
      </c>
      <c r="G26" s="359">
        <f>'Valuation output'!E13</f>
        <v>0.71407302423237851</v>
      </c>
      <c r="H26" s="359">
        <f>'Valuation output'!F13</f>
        <v>0.63824903846297676</v>
      </c>
      <c r="I26" s="359">
        <f>'Valuation output'!G13</f>
        <v>0.57047643766801637</v>
      </c>
      <c r="J26" s="359">
        <f>'Valuation output'!H13</f>
        <v>0.51027427831268579</v>
      </c>
      <c r="K26" s="359">
        <f>'Valuation output'!I13</f>
        <v>0.45676024769297668</v>
      </c>
      <c r="L26" s="359">
        <f>'Valuation output'!J13</f>
        <v>0.40915872197805031</v>
      </c>
      <c r="M26" s="359">
        <f>'Valuation output'!K13</f>
        <v>0.36678743722931934</v>
      </c>
      <c r="N26" s="359">
        <f>'Valuation output'!L13</f>
        <v>0.32904587532907448</v>
      </c>
      <c r="P26" s="437"/>
    </row>
    <row r="27" spans="1:16">
      <c r="A27" s="446" t="str">
        <f>'Valuation output'!A33</f>
        <v>Estimated value /share</v>
      </c>
      <c r="B27" s="369">
        <f>'Valuation output'!B33</f>
        <v>1690.7118405262422</v>
      </c>
      <c r="P27" s="437"/>
    </row>
    <row r="28" spans="1:16">
      <c r="A28" s="447"/>
      <c r="B28" s="372"/>
      <c r="D28" s="352" t="s">
        <v>532</v>
      </c>
      <c r="E28" s="368">
        <f>'Valuation output'!C38</f>
        <v>1.2</v>
      </c>
      <c r="F28" s="368">
        <f>'Valuation output'!D38</f>
        <v>1.2</v>
      </c>
      <c r="G28" s="368">
        <f>'Valuation output'!E38</f>
        <v>1.2</v>
      </c>
      <c r="H28" s="368">
        <f>'Valuation output'!F38</f>
        <v>1.2</v>
      </c>
      <c r="I28" s="368">
        <f>'Valuation output'!G38</f>
        <v>1.2</v>
      </c>
      <c r="J28" s="368">
        <f>'Valuation output'!H38</f>
        <v>1.2</v>
      </c>
      <c r="K28" s="368">
        <f>'Valuation output'!I38</f>
        <v>1.2</v>
      </c>
      <c r="L28" s="368">
        <f>'Valuation output'!J38</f>
        <v>1.2</v>
      </c>
      <c r="M28" s="368">
        <f>'Valuation output'!K38</f>
        <v>1.2</v>
      </c>
      <c r="N28" s="368">
        <f>'Valuation output'!L38</f>
        <v>1.2</v>
      </c>
      <c r="P28" s="437"/>
    </row>
    <row r="29" spans="1:16">
      <c r="A29" s="443" t="s">
        <v>856</v>
      </c>
      <c r="B29" s="370">
        <f>'Stories to Numbers'!G39</f>
        <v>58.99</v>
      </c>
      <c r="D29" s="351" t="s">
        <v>854</v>
      </c>
      <c r="E29" s="353">
        <f>'Valuation output'!C40</f>
        <v>0.11163659533318356</v>
      </c>
      <c r="F29" s="353">
        <f>'Valuation output'!D40</f>
        <v>0.75168531790751392</v>
      </c>
      <c r="G29" s="353">
        <f>'Valuation output'!E40</f>
        <v>1.0681831175232213</v>
      </c>
      <c r="H29" s="353">
        <f>'Valuation output'!F40</f>
        <v>1.0650678229681572</v>
      </c>
      <c r="I29" s="353">
        <f>'Valuation output'!G40</f>
        <v>1.062485591261664</v>
      </c>
      <c r="J29" s="353">
        <f>'Valuation output'!H40</f>
        <v>1.0317676787340355</v>
      </c>
      <c r="K29" s="353">
        <f>'Valuation output'!I40</f>
        <v>1.0016205921486843</v>
      </c>
      <c r="L29" s="353">
        <f>'Valuation output'!J40</f>
        <v>0.97189274796787384</v>
      </c>
      <c r="M29" s="353">
        <f>'Valuation output'!K40</f>
        <v>0.94247949219069471</v>
      </c>
      <c r="N29" s="353">
        <f>'Valuation output'!L40</f>
        <v>0.91330844722343918</v>
      </c>
      <c r="O29" s="353">
        <f>'Valuation output'!M40</f>
        <v>0.11469999999999998</v>
      </c>
      <c r="P29" s="437"/>
    </row>
    <row r="30" spans="1:16">
      <c r="A30" s="443" t="s">
        <v>857</v>
      </c>
      <c r="B30" s="371">
        <f>B29/B27-1</f>
        <v>-0.96510937074786263</v>
      </c>
      <c r="P30" s="437"/>
    </row>
    <row r="31" spans="1:16" ht="13.8" thickBot="1">
      <c r="A31" s="436"/>
      <c r="P31" s="437"/>
    </row>
    <row r="32" spans="1:16">
      <c r="A32" s="436"/>
      <c r="D32" s="598" t="s">
        <v>858</v>
      </c>
      <c r="E32" s="599"/>
      <c r="G32" s="598" t="s">
        <v>859</v>
      </c>
      <c r="H32" s="600"/>
      <c r="I32" s="599"/>
      <c r="P32" s="437"/>
    </row>
    <row r="33" spans="1:16" ht="13.95" customHeight="1">
      <c r="A33" s="436"/>
      <c r="D33" s="601" t="str">
        <f>'Stories to Numbers'!G14</f>
        <v>Cost of capital close to median company</v>
      </c>
      <c r="E33" s="601"/>
      <c r="G33" s="601" t="str">
        <f>'Stories to Numbers'!G13</f>
        <v>Strong competitive edges</v>
      </c>
      <c r="H33" s="601"/>
      <c r="I33" s="601"/>
      <c r="P33" s="437"/>
    </row>
    <row r="34" spans="1:16">
      <c r="A34" s="436"/>
      <c r="D34" s="601"/>
      <c r="E34" s="601"/>
      <c r="G34" s="601"/>
      <c r="H34" s="601"/>
      <c r="I34" s="601"/>
      <c r="P34" s="437"/>
    </row>
    <row r="35" spans="1:16">
      <c r="A35" s="436"/>
      <c r="D35" s="601"/>
      <c r="E35" s="601"/>
      <c r="G35" s="601"/>
      <c r="H35" s="601"/>
      <c r="I35" s="601"/>
      <c r="P35" s="437"/>
    </row>
    <row r="36" spans="1:16">
      <c r="A36" s="436"/>
      <c r="D36" s="601"/>
      <c r="E36" s="601"/>
      <c r="G36" s="601"/>
      <c r="H36" s="601"/>
      <c r="I36" s="601"/>
      <c r="P36" s="437"/>
    </row>
    <row r="37" spans="1:16">
      <c r="A37" s="436"/>
      <c r="D37" s="601"/>
      <c r="E37" s="601"/>
      <c r="G37" s="601"/>
      <c r="H37" s="601"/>
      <c r="I37" s="601"/>
      <c r="P37" s="437"/>
    </row>
    <row r="38" spans="1:16" ht="13.8" thickBot="1">
      <c r="A38" s="448"/>
      <c r="B38" s="449"/>
      <c r="C38" s="449"/>
      <c r="D38" s="602"/>
      <c r="E38" s="602"/>
      <c r="F38" s="449"/>
      <c r="G38" s="602"/>
      <c r="H38" s="602"/>
      <c r="I38" s="602"/>
      <c r="J38" s="449"/>
      <c r="K38" s="449"/>
      <c r="L38" s="449"/>
      <c r="M38" s="449"/>
      <c r="N38" s="449"/>
      <c r="O38" s="449"/>
      <c r="P38" s="450"/>
    </row>
  </sheetData>
  <mergeCells count="14">
    <mergeCell ref="D32:E32"/>
    <mergeCell ref="G32:I32"/>
    <mergeCell ref="D33:E38"/>
    <mergeCell ref="G33:I38"/>
    <mergeCell ref="A5:C5"/>
    <mergeCell ref="O3:P3"/>
    <mergeCell ref="E6:F12"/>
    <mergeCell ref="H6:I12"/>
    <mergeCell ref="K6:L12"/>
    <mergeCell ref="A3:N3"/>
    <mergeCell ref="O6:P6"/>
    <mergeCell ref="E5:F5"/>
    <mergeCell ref="H5:I5"/>
    <mergeCell ref="K5:L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2"/>
  <sheetViews>
    <sheetView topLeftCell="A35" zoomScale="125" zoomScaleNormal="125" workbookViewId="0">
      <selection activeCell="A25" sqref="A25"/>
    </sheetView>
  </sheetViews>
  <sheetFormatPr defaultColWidth="10.875" defaultRowHeight="15"/>
  <cols>
    <col min="1" max="1" width="61.625" style="4" customWidth="1"/>
    <col min="2" max="2" width="17.625" style="241" customWidth="1"/>
    <col min="3" max="3" width="21" style="241" customWidth="1"/>
    <col min="4" max="4" width="20.5" style="241" customWidth="1"/>
    <col min="5" max="5" width="17.625" style="241" customWidth="1"/>
    <col min="6" max="6" width="11.125" style="4" customWidth="1"/>
    <col min="7" max="7" width="72" style="4" customWidth="1"/>
    <col min="8" max="16384" width="10.875" style="4"/>
  </cols>
  <sheetData>
    <row r="1" spans="1:7" ht="15.6">
      <c r="A1" s="245" t="s">
        <v>777</v>
      </c>
      <c r="B1" s="246"/>
      <c r="C1" s="247"/>
      <c r="D1" s="608" t="s">
        <v>775</v>
      </c>
      <c r="E1" s="609"/>
      <c r="G1" s="242" t="s">
        <v>781</v>
      </c>
    </row>
    <row r="2" spans="1:7" ht="30.6">
      <c r="A2" s="248"/>
      <c r="B2" s="249" t="s">
        <v>742</v>
      </c>
      <c r="C2" s="249" t="s">
        <v>773</v>
      </c>
      <c r="D2" s="249" t="s">
        <v>621</v>
      </c>
      <c r="E2" s="250" t="s">
        <v>619</v>
      </c>
      <c r="G2" s="257" t="s">
        <v>779</v>
      </c>
    </row>
    <row r="3" spans="1:7" ht="45">
      <c r="A3" s="451" t="s">
        <v>774</v>
      </c>
      <c r="B3" s="453">
        <f>'Input sheet'!J25</f>
        <v>2.9028333333333337E-2</v>
      </c>
      <c r="C3" s="453">
        <f>'Input sheet'!I25</f>
        <v>0.30686879022766056</v>
      </c>
      <c r="D3" s="453">
        <f>'Valuation output'!C2</f>
        <v>0.20699999999999999</v>
      </c>
      <c r="E3" s="453">
        <f>'Valuation output'!D2</f>
        <v>0.2</v>
      </c>
      <c r="G3" s="257" t="s">
        <v>780</v>
      </c>
    </row>
    <row r="4" spans="1:7" ht="15.6" thickBot="1"/>
    <row r="5" spans="1:7" ht="15.6">
      <c r="A5" s="245" t="s">
        <v>778</v>
      </c>
      <c r="B5" s="247"/>
      <c r="C5" s="247"/>
      <c r="D5" s="247"/>
      <c r="E5" s="251"/>
    </row>
    <row r="6" spans="1:7">
      <c r="A6" s="248"/>
      <c r="B6" s="241" t="s">
        <v>773</v>
      </c>
      <c r="C6" s="241" t="s">
        <v>621</v>
      </c>
      <c r="D6" s="241" t="s">
        <v>379</v>
      </c>
      <c r="E6" s="252" t="s">
        <v>776</v>
      </c>
      <c r="G6" s="243" t="s">
        <v>782</v>
      </c>
    </row>
    <row r="7" spans="1:7">
      <c r="A7" s="451" t="s">
        <v>5</v>
      </c>
      <c r="B7" s="452">
        <f>'Valuation output'!B3</f>
        <v>98597.5</v>
      </c>
      <c r="C7" s="452">
        <f>'Valuation output'!C3</f>
        <v>119007.18250000001</v>
      </c>
      <c r="D7" s="452">
        <f>'Valuation output'!G3</f>
        <v>246773.29363199999</v>
      </c>
      <c r="E7" s="452">
        <f>'Valuation output'!L3</f>
        <v>441916.00089986838</v>
      </c>
      <c r="G7" s="243" t="s">
        <v>783</v>
      </c>
    </row>
    <row r="8" spans="1:7">
      <c r="G8" s="243" t="s">
        <v>784</v>
      </c>
    </row>
    <row r="9" spans="1:7">
      <c r="G9" s="243" t="s">
        <v>785</v>
      </c>
    </row>
    <row r="10" spans="1:7" ht="15.6" thickBot="1"/>
    <row r="11" spans="1:7" ht="15.6">
      <c r="A11" s="253" t="s">
        <v>789</v>
      </c>
      <c r="B11" s="254" t="s">
        <v>773</v>
      </c>
      <c r="C11" s="254" t="s">
        <v>621</v>
      </c>
      <c r="D11" s="254" t="s">
        <v>379</v>
      </c>
      <c r="E11" s="255" t="s">
        <v>776</v>
      </c>
      <c r="G11" s="243" t="s">
        <v>786</v>
      </c>
    </row>
    <row r="12" spans="1:7" ht="30">
      <c r="A12" s="451" t="s">
        <v>505</v>
      </c>
      <c r="B12" s="453">
        <f>'Valuation output'!B4</f>
        <v>0.89949948020994441</v>
      </c>
      <c r="C12" s="453">
        <f>'Valuation output'!C4</f>
        <v>0.112</v>
      </c>
      <c r="D12" s="453">
        <f>'Valuation output'!G4</f>
        <v>1.08</v>
      </c>
      <c r="E12" s="453">
        <f>'Valuation output'!M4</f>
        <v>1.08</v>
      </c>
      <c r="G12" s="257" t="s">
        <v>787</v>
      </c>
    </row>
    <row r="13" spans="1:7">
      <c r="G13" s="243" t="s">
        <v>788</v>
      </c>
    </row>
    <row r="14" spans="1:7" ht="15.6" thickBot="1"/>
    <row r="15" spans="1:7" ht="15.6">
      <c r="A15" s="253" t="s">
        <v>806</v>
      </c>
      <c r="B15" s="247"/>
      <c r="C15" s="247"/>
      <c r="D15" s="247"/>
      <c r="E15" s="251"/>
    </row>
    <row r="16" spans="1:7" ht="15.6">
      <c r="A16" s="248"/>
      <c r="B16" s="249" t="s">
        <v>773</v>
      </c>
      <c r="C16" s="249" t="s">
        <v>621</v>
      </c>
      <c r="D16" s="249" t="s">
        <v>379</v>
      </c>
      <c r="E16" s="250" t="s">
        <v>776</v>
      </c>
      <c r="G16" s="243" t="s">
        <v>790</v>
      </c>
    </row>
    <row r="17" spans="1:7">
      <c r="A17" s="451" t="s">
        <v>532</v>
      </c>
      <c r="B17" s="454">
        <f>'Input sheet'!I27</f>
        <v>1.0195212244160636</v>
      </c>
      <c r="C17" s="454">
        <f>'Valuation output'!C38</f>
        <v>1.2</v>
      </c>
      <c r="D17" s="454">
        <f>'Valuation output'!G38</f>
        <v>1.2</v>
      </c>
      <c r="E17" s="454">
        <f>'Valuation output'!L38</f>
        <v>1.2</v>
      </c>
      <c r="G17" s="243" t="s">
        <v>791</v>
      </c>
    </row>
    <row r="18" spans="1:7">
      <c r="A18" s="248"/>
      <c r="E18" s="252"/>
      <c r="G18" s="243" t="s">
        <v>792</v>
      </c>
    </row>
    <row r="19" spans="1:7" ht="15.6">
      <c r="A19" s="256" t="s">
        <v>798</v>
      </c>
      <c r="E19" s="252"/>
    </row>
    <row r="20" spans="1:7" ht="15.6">
      <c r="A20" s="248"/>
      <c r="B20" s="244" t="s">
        <v>793</v>
      </c>
      <c r="C20" s="244" t="s">
        <v>794</v>
      </c>
      <c r="E20" s="252"/>
    </row>
    <row r="21" spans="1:7">
      <c r="A21" s="248" t="s">
        <v>795</v>
      </c>
      <c r="B21" s="455">
        <f>'Valuation output'!C7*'Valuation output'!C13+'Valuation output'!D7*'Valuation output'!D13+'Valuation output'!E7*'Valuation output'!E13+'Valuation output'!F7*'Valuation output'!F13+'Valuation output'!G7*'Valuation output'!G13+'Valuation output'!H7*'Valuation output'!H13+'Valuation output'!I7*'Valuation output'!I13+'Valuation output'!J7*'Valuation output'!J13+'Valuation output'!K7*'Valuation output'!K13+'Valuation output'!L7*'Valuation output'!L13</f>
        <v>1027265.3214287108</v>
      </c>
      <c r="C21" s="456">
        <f>B21/B21</f>
        <v>1</v>
      </c>
      <c r="E21" s="252"/>
      <c r="G21" s="243" t="s">
        <v>799</v>
      </c>
    </row>
    <row r="22" spans="1:7">
      <c r="A22" s="451" t="s">
        <v>796</v>
      </c>
      <c r="B22" s="459">
        <f>B21-B23</f>
        <v>164487.44933869527</v>
      </c>
      <c r="C22" s="460">
        <f>B22/B21</f>
        <v>0.16012168025873558</v>
      </c>
      <c r="E22" s="252"/>
      <c r="G22" s="243" t="s">
        <v>805</v>
      </c>
    </row>
    <row r="23" spans="1:7">
      <c r="A23" s="248" t="s">
        <v>797</v>
      </c>
      <c r="B23" s="457">
        <f>'Valuation output'!B20</f>
        <v>862777.87209001556</v>
      </c>
      <c r="C23" s="458">
        <f>C21-C22</f>
        <v>0.83987831974126448</v>
      </c>
      <c r="E23" s="252"/>
    </row>
    <row r="24" spans="1:7">
      <c r="A24" s="248"/>
      <c r="E24" s="252"/>
    </row>
    <row r="25" spans="1:7" ht="15.6">
      <c r="A25" s="256" t="s">
        <v>800</v>
      </c>
      <c r="E25" s="252"/>
    </row>
    <row r="26" spans="1:7" ht="15.6">
      <c r="A26" s="248"/>
      <c r="B26" s="249" t="s">
        <v>801</v>
      </c>
      <c r="C26" s="249" t="s">
        <v>802</v>
      </c>
      <c r="D26" s="249" t="s">
        <v>803</v>
      </c>
      <c r="E26" s="250" t="s">
        <v>804</v>
      </c>
    </row>
    <row r="27" spans="1:7">
      <c r="A27" s="451" t="s">
        <v>525</v>
      </c>
      <c r="B27" s="453">
        <f>'Valuation output'!B40</f>
        <v>0.74281763725445704</v>
      </c>
      <c r="C27" s="460">
        <f>('Valuation output'!L7-'Valuation output'!B7)/('Valuation output'!L39-'Valuation output'!B39)</f>
        <v>0.88539986710167018</v>
      </c>
      <c r="D27" s="453">
        <f>'Valuation output'!L40</f>
        <v>0.91330844722343918</v>
      </c>
      <c r="E27" s="453">
        <f>'Valuation output'!M40</f>
        <v>0.11469999999999998</v>
      </c>
    </row>
    <row r="28" spans="1:7" ht="15.6" thickBot="1"/>
    <row r="29" spans="1:7" ht="15.6">
      <c r="A29" s="253" t="s">
        <v>807</v>
      </c>
      <c r="B29" s="247"/>
      <c r="C29" s="247"/>
      <c r="D29" s="247"/>
      <c r="E29" s="251"/>
    </row>
    <row r="30" spans="1:7" ht="15.6">
      <c r="A30" s="248"/>
      <c r="B30" s="249" t="s">
        <v>742</v>
      </c>
      <c r="C30" s="249" t="s">
        <v>810</v>
      </c>
      <c r="D30" s="249" t="s">
        <v>811</v>
      </c>
      <c r="E30" s="250" t="s">
        <v>808</v>
      </c>
      <c r="G30" s="243" t="s">
        <v>817</v>
      </c>
    </row>
    <row r="31" spans="1:7">
      <c r="A31" s="451" t="s">
        <v>135</v>
      </c>
      <c r="B31" s="460">
        <f>'Input sheet'!J31</f>
        <v>6.062196095222791E-2</v>
      </c>
      <c r="C31" s="460">
        <f>(1/'Valuation output'!L13)^(1/10)-1</f>
        <v>0.11756902163483529</v>
      </c>
      <c r="D31" s="460">
        <f>'Valuation output'!C12</f>
        <v>0.11879999999999999</v>
      </c>
      <c r="E31" s="460">
        <f>'Valuation output'!M12</f>
        <v>0.1147</v>
      </c>
      <c r="G31" s="243" t="s">
        <v>818</v>
      </c>
    </row>
    <row r="32" spans="1:7">
      <c r="A32" s="248"/>
      <c r="E32" s="252"/>
      <c r="G32" s="243" t="s">
        <v>819</v>
      </c>
    </row>
    <row r="33" spans="1:6" ht="15.6" thickBot="1">
      <c r="A33" s="451" t="s">
        <v>809</v>
      </c>
      <c r="B33" s="453">
        <f>'Valuation output'!B22</f>
        <v>0</v>
      </c>
      <c r="C33" s="258"/>
      <c r="D33" s="258"/>
      <c r="E33" s="259"/>
    </row>
    <row r="34" spans="1:6" ht="15.6" thickBot="1"/>
    <row r="35" spans="1:6" ht="15.6">
      <c r="A35" s="253" t="s">
        <v>812</v>
      </c>
      <c r="B35" s="247"/>
      <c r="C35" s="247"/>
      <c r="D35" s="247"/>
      <c r="E35" s="251"/>
    </row>
    <row r="36" spans="1:6" s="74" customFormat="1" ht="13.8" thickBot="1">
      <c r="A36" s="264" t="s">
        <v>22</v>
      </c>
      <c r="B36" s="260">
        <f>'Valuation output'!B33/'Valuation output'!B34</f>
        <v>28.6609906853067</v>
      </c>
      <c r="C36" s="265"/>
      <c r="D36" s="265"/>
      <c r="E36" s="266"/>
    </row>
    <row r="37" spans="1:6" s="74" customFormat="1" ht="15.6" thickBot="1">
      <c r="A37" s="76"/>
      <c r="B37" s="606" t="str">
        <f>IF(B36="NA","Value is negative. See below",IF(B36&gt;2,"Value seems high. See below",IF(B36&lt;0.5,"Value seems low. See below"," ")))</f>
        <v>Value seems high. See below</v>
      </c>
      <c r="C37" s="607"/>
      <c r="D37" s="265"/>
      <c r="E37" s="266"/>
      <c r="F37" s="6"/>
    </row>
    <row r="38" spans="1:6" s="6" customFormat="1" ht="39.6">
      <c r="A38" s="271" t="s">
        <v>4</v>
      </c>
      <c r="B38" s="461" t="s">
        <v>0</v>
      </c>
      <c r="C38" s="462" t="s">
        <v>1</v>
      </c>
      <c r="D38" s="267"/>
      <c r="E38" s="268"/>
    </row>
    <row r="39" spans="1:6" s="6" customFormat="1" ht="34.950000000000003" customHeight="1">
      <c r="A39" s="261" t="s">
        <v>813</v>
      </c>
      <c r="B39" s="463" t="s">
        <v>2</v>
      </c>
      <c r="C39" s="463" t="s">
        <v>3</v>
      </c>
      <c r="D39" s="267"/>
      <c r="E39" s="268"/>
    </row>
    <row r="40" spans="1:6" s="6" customFormat="1" ht="39.6">
      <c r="A40" s="261" t="s">
        <v>814</v>
      </c>
      <c r="B40" s="464" t="s">
        <v>139</v>
      </c>
      <c r="C40" s="463" t="s">
        <v>140</v>
      </c>
      <c r="D40" s="267" t="s">
        <v>143</v>
      </c>
      <c r="E40" s="268"/>
    </row>
    <row r="41" spans="1:6" s="6" customFormat="1" ht="34.049999999999997" customHeight="1">
      <c r="A41" s="262" t="s">
        <v>815</v>
      </c>
      <c r="B41" s="463" t="s">
        <v>138</v>
      </c>
      <c r="C41" s="463" t="s">
        <v>137</v>
      </c>
      <c r="D41" s="267" t="s">
        <v>143</v>
      </c>
      <c r="E41" s="268"/>
    </row>
    <row r="42" spans="1:6" s="6" customFormat="1" ht="48" customHeight="1" thickBot="1">
      <c r="A42" s="263" t="s">
        <v>816</v>
      </c>
      <c r="B42" s="465" t="s">
        <v>141</v>
      </c>
      <c r="C42" s="463" t="s">
        <v>142</v>
      </c>
      <c r="D42" s="269" t="s">
        <v>144</v>
      </c>
      <c r="E42" s="270"/>
      <c r="F42" s="4"/>
    </row>
  </sheetData>
  <mergeCells count="2">
    <mergeCell ref="B37:C37"/>
    <mergeCell ref="D1:E1"/>
  </mergeCells>
  <phoneticPr fontId="6"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9"/>
  <sheetViews>
    <sheetView workbookViewId="0">
      <selection activeCell="D33" sqref="D33"/>
    </sheetView>
  </sheetViews>
  <sheetFormatPr defaultColWidth="11" defaultRowHeight="15.6"/>
  <cols>
    <col min="1" max="1" width="44.375" style="189" customWidth="1"/>
    <col min="2" max="2" width="28.125" style="189" customWidth="1"/>
    <col min="3" max="3" width="30.625" style="189" customWidth="1"/>
    <col min="4" max="4" width="24.875" style="189" customWidth="1"/>
    <col min="5" max="7" width="44.375" style="128" customWidth="1"/>
  </cols>
  <sheetData>
    <row r="1" spans="1:7" ht="19.05" customHeight="1">
      <c r="A1" s="610" t="s">
        <v>820</v>
      </c>
      <c r="B1" s="611"/>
      <c r="C1" s="611"/>
      <c r="D1" s="611"/>
    </row>
    <row r="2" spans="1:7" ht="37.950000000000003" customHeight="1">
      <c r="A2" s="610"/>
      <c r="B2" s="611"/>
      <c r="C2" s="611"/>
      <c r="D2" s="611"/>
    </row>
    <row r="3" spans="1:7" s="291" customFormat="1" ht="17.399999999999999">
      <c r="A3" s="233" t="s">
        <v>52</v>
      </c>
      <c r="B3" s="233"/>
      <c r="C3" s="233"/>
      <c r="D3" s="233"/>
      <c r="E3" s="233"/>
      <c r="F3" s="233"/>
      <c r="G3" s="233"/>
    </row>
    <row r="4" spans="1:7" s="292" customFormat="1" ht="15">
      <c r="A4" s="189" t="s">
        <v>53</v>
      </c>
      <c r="B4" s="272">
        <f>'Input sheet'!B22</f>
        <v>58.99</v>
      </c>
      <c r="C4" s="189"/>
      <c r="D4" s="189"/>
      <c r="E4" s="189"/>
    </row>
    <row r="5" spans="1:7" s="292" customFormat="1" ht="15">
      <c r="A5" s="189" t="s">
        <v>54</v>
      </c>
      <c r="B5" s="273">
        <f>'Input sheet'!B39</f>
        <v>0</v>
      </c>
      <c r="C5" s="189"/>
      <c r="D5" s="189"/>
      <c r="E5" s="189"/>
    </row>
    <row r="6" spans="1:7" s="292" customFormat="1" ht="15">
      <c r="A6" s="189" t="s">
        <v>55</v>
      </c>
      <c r="B6" s="274">
        <f>'Input sheet'!B40</f>
        <v>0</v>
      </c>
      <c r="C6" s="189"/>
      <c r="D6" s="189"/>
      <c r="E6" s="189"/>
    </row>
    <row r="7" spans="1:7" s="292" customFormat="1" ht="15">
      <c r="A7" s="189" t="s">
        <v>56</v>
      </c>
      <c r="B7" s="275">
        <f>'Input sheet'!B41</f>
        <v>0.7</v>
      </c>
      <c r="C7" s="189" t="s">
        <v>57</v>
      </c>
      <c r="D7" s="189"/>
      <c r="E7" s="189"/>
    </row>
    <row r="8" spans="1:7" s="292" customFormat="1" ht="15">
      <c r="A8" s="189" t="s">
        <v>58</v>
      </c>
      <c r="B8" s="276">
        <v>0</v>
      </c>
      <c r="C8" s="189"/>
      <c r="D8" s="189"/>
      <c r="E8" s="189"/>
    </row>
    <row r="9" spans="1:7" s="292" customFormat="1" ht="15">
      <c r="A9" s="189" t="s">
        <v>59</v>
      </c>
      <c r="B9" s="276">
        <f>'Input sheet'!B34</f>
        <v>7.3599999999999999E-2</v>
      </c>
      <c r="C9" s="189"/>
      <c r="D9" s="189"/>
      <c r="E9" s="189"/>
    </row>
    <row r="10" spans="1:7" s="292" customFormat="1" ht="15">
      <c r="A10" s="189" t="s">
        <v>60</v>
      </c>
      <c r="B10" s="274">
        <f>'Input sheet'!B38</f>
        <v>0</v>
      </c>
      <c r="C10" s="189"/>
      <c r="D10" s="189"/>
      <c r="E10" s="189"/>
    </row>
    <row r="11" spans="1:7" s="292" customFormat="1" ht="15">
      <c r="A11" s="189" t="s">
        <v>61</v>
      </c>
      <c r="B11" s="277">
        <f>'Input sheet'!B21</f>
        <v>1042.5999999999999</v>
      </c>
      <c r="C11" s="189"/>
      <c r="D11" s="189"/>
      <c r="E11" s="189"/>
    </row>
    <row r="12" spans="1:7" s="292" customFormat="1" ht="15">
      <c r="A12" s="189"/>
      <c r="B12" s="189"/>
      <c r="C12" s="189"/>
      <c r="D12" s="189"/>
      <c r="E12" s="189"/>
      <c r="F12" s="189"/>
      <c r="G12" s="189"/>
    </row>
    <row r="13" spans="1:7" s="293" customFormat="1">
      <c r="A13" s="278" t="s">
        <v>62</v>
      </c>
      <c r="B13" s="279"/>
      <c r="C13" s="279"/>
      <c r="D13" s="279"/>
      <c r="E13" s="279"/>
      <c r="F13" s="279"/>
      <c r="G13" s="279"/>
    </row>
    <row r="14" spans="1:7" s="294" customFormat="1">
      <c r="A14" s="233" t="s">
        <v>745</v>
      </c>
      <c r="B14" s="189"/>
      <c r="C14" s="189"/>
      <c r="D14" s="189"/>
      <c r="E14" s="189"/>
      <c r="F14" s="189"/>
      <c r="G14" s="189"/>
    </row>
    <row r="15" spans="1:7" s="294" customFormat="1">
      <c r="A15" s="280" t="s">
        <v>63</v>
      </c>
      <c r="B15" s="297">
        <f>B4</f>
        <v>58.99</v>
      </c>
      <c r="C15" s="280" t="s">
        <v>64</v>
      </c>
      <c r="D15" s="283">
        <f>B10</f>
        <v>0</v>
      </c>
      <c r="E15" s="295"/>
    </row>
    <row r="16" spans="1:7" s="294" customFormat="1">
      <c r="A16" s="280" t="s">
        <v>65</v>
      </c>
      <c r="B16" s="290">
        <f>B5</f>
        <v>0</v>
      </c>
      <c r="C16" s="280" t="s">
        <v>66</v>
      </c>
      <c r="D16" s="284">
        <f>B11</f>
        <v>1042.5999999999999</v>
      </c>
      <c r="E16" s="295"/>
    </row>
    <row r="17" spans="1:7" s="294" customFormat="1">
      <c r="A17" s="280" t="s">
        <v>67</v>
      </c>
      <c r="B17" s="297" t="e">
        <f ca="1">(B15*D16+B28*D15)/(D16+D15)</f>
        <v>#NUM!</v>
      </c>
      <c r="C17" s="280" t="s">
        <v>68</v>
      </c>
      <c r="D17" s="285">
        <f>B9</f>
        <v>7.3599999999999999E-2</v>
      </c>
      <c r="E17" s="189"/>
    </row>
    <row r="18" spans="1:7" s="294" customFormat="1">
      <c r="A18" s="280" t="s">
        <v>69</v>
      </c>
      <c r="B18" s="290">
        <f>B16</f>
        <v>0</v>
      </c>
      <c r="C18" s="280" t="s">
        <v>70</v>
      </c>
      <c r="D18" s="286">
        <f>B7^2</f>
        <v>0.48999999999999994</v>
      </c>
      <c r="E18" s="189"/>
    </row>
    <row r="19" spans="1:7" s="294" customFormat="1">
      <c r="A19" s="280" t="s">
        <v>71</v>
      </c>
      <c r="B19" s="290">
        <f>B6</f>
        <v>0</v>
      </c>
      <c r="C19" s="280" t="s">
        <v>72</v>
      </c>
      <c r="D19" s="285">
        <f>B8</f>
        <v>0</v>
      </c>
      <c r="E19" s="189"/>
    </row>
    <row r="20" spans="1:7" s="294" customFormat="1" ht="15">
      <c r="A20" s="189"/>
      <c r="B20" s="189"/>
      <c r="C20" s="280" t="s">
        <v>73</v>
      </c>
      <c r="D20" s="287">
        <f>D17-D19</f>
        <v>7.3599999999999999E-2</v>
      </c>
      <c r="E20" s="189"/>
    </row>
    <row r="21" spans="1:7" s="294" customFormat="1" ht="15">
      <c r="A21" s="189"/>
      <c r="B21" s="189"/>
      <c r="C21" s="189"/>
      <c r="D21" s="189"/>
      <c r="E21" s="189"/>
      <c r="F21" s="189"/>
      <c r="G21" s="189"/>
    </row>
    <row r="22" spans="1:7" s="294" customFormat="1" ht="15">
      <c r="A22" s="189" t="s">
        <v>74</v>
      </c>
      <c r="B22" s="289" t="e">
        <f ca="1">(LN(B17/B18)+(D20+(D18/2))*B19)/(((D18)^(0.5))*(B19^0.5))</f>
        <v>#NUM!</v>
      </c>
      <c r="C22" s="189"/>
      <c r="D22" s="189"/>
      <c r="E22" s="189"/>
      <c r="F22" s="189"/>
      <c r="G22" s="189"/>
    </row>
    <row r="23" spans="1:7" s="294" customFormat="1" ht="15">
      <c r="A23" s="189" t="s">
        <v>75</v>
      </c>
      <c r="B23" s="289" t="e">
        <f ca="1">NORMSDIST(B22)</f>
        <v>#NUM!</v>
      </c>
      <c r="C23" s="189"/>
      <c r="D23" s="189"/>
      <c r="E23" s="189"/>
      <c r="F23" s="189"/>
      <c r="G23" s="189"/>
    </row>
    <row r="24" spans="1:7" s="294" customFormat="1" ht="15">
      <c r="A24" s="189"/>
      <c r="B24" s="288"/>
      <c r="C24" s="189"/>
      <c r="D24" s="189"/>
      <c r="E24" s="189"/>
      <c r="F24" s="189"/>
      <c r="G24" s="189"/>
    </row>
    <row r="25" spans="1:7" s="294" customFormat="1" ht="15.75" customHeight="1">
      <c r="A25" s="189" t="s">
        <v>76</v>
      </c>
      <c r="B25" s="289" t="e">
        <f ca="1">B22-((D18^0.5)*(B19^(0.5)))</f>
        <v>#NUM!</v>
      </c>
      <c r="C25" s="189"/>
      <c r="D25" s="189"/>
      <c r="E25" s="189"/>
      <c r="F25" s="189"/>
      <c r="G25" s="189"/>
    </row>
    <row r="26" spans="1:7" s="294" customFormat="1" ht="15">
      <c r="A26" s="189" t="s">
        <v>77</v>
      </c>
      <c r="B26" s="289" t="e">
        <f ca="1">NORMSDIST(B25)</f>
        <v>#NUM!</v>
      </c>
      <c r="C26" s="189"/>
      <c r="D26" s="189"/>
      <c r="E26" s="189"/>
      <c r="F26" s="189"/>
      <c r="G26" s="189"/>
    </row>
    <row r="27" spans="1:7" s="292" customFormat="1" thickBot="1">
      <c r="A27" s="189"/>
      <c r="B27" s="189"/>
      <c r="C27" s="189"/>
      <c r="D27" s="189"/>
      <c r="E27" s="189"/>
      <c r="F27" s="189"/>
      <c r="G27" s="189"/>
    </row>
    <row r="28" spans="1:7" s="294" customFormat="1" thickBot="1">
      <c r="A28" s="189" t="s">
        <v>78</v>
      </c>
      <c r="B28" s="281" t="e">
        <f ca="1">((EXP((0-D19)*B19))*B17*B23-B18*(EXP((0-D17)*B19))*B26)</f>
        <v>#NUM!</v>
      </c>
      <c r="C28" s="189"/>
      <c r="D28" s="189"/>
      <c r="E28" s="189"/>
      <c r="F28" s="296"/>
    </row>
    <row r="29" spans="1:7" s="294" customFormat="1" thickBot="1">
      <c r="A29" s="189" t="s">
        <v>79</v>
      </c>
      <c r="B29" s="282" t="e">
        <f ca="1">B28*B10</f>
        <v>#NUM!</v>
      </c>
      <c r="C29" s="189"/>
      <c r="D29" s="189"/>
      <c r="E29" s="189"/>
    </row>
  </sheetData>
  <mergeCells count="1">
    <mergeCell ref="A1:D2"/>
  </mergeCell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0"/>
  <sheetViews>
    <sheetView zoomScaleNormal="100" workbookViewId="0">
      <selection activeCell="F23" sqref="F23"/>
    </sheetView>
  </sheetViews>
  <sheetFormatPr defaultColWidth="11" defaultRowHeight="15"/>
  <cols>
    <col min="1" max="4" width="11.125" style="189" bestFit="1" customWidth="1"/>
    <col min="5" max="5" width="10.875" style="189"/>
    <col min="6" max="6" width="12.875" style="189" bestFit="1" customWidth="1"/>
    <col min="7" max="7" width="10.875" style="189"/>
    <col min="8" max="8" width="11.125" style="189" bestFit="1" customWidth="1"/>
    <col min="9" max="10" width="10.875" style="189"/>
    <col min="11" max="20" width="11.125" style="189" bestFit="1" customWidth="1"/>
  </cols>
  <sheetData>
    <row r="1" spans="1:20">
      <c r="A1" s="615" t="s">
        <v>772</v>
      </c>
      <c r="B1" s="616"/>
      <c r="C1" s="616"/>
      <c r="D1" s="616"/>
      <c r="E1" s="616"/>
      <c r="F1" s="616"/>
      <c r="G1" s="616"/>
      <c r="H1" s="616"/>
      <c r="I1" s="616"/>
      <c r="J1" s="616"/>
      <c r="K1" s="616"/>
      <c r="L1" s="617"/>
    </row>
    <row r="2" spans="1:20" ht="21" customHeight="1" thickBot="1">
      <c r="A2" s="618"/>
      <c r="B2" s="619"/>
      <c r="C2" s="619"/>
      <c r="D2" s="619"/>
      <c r="E2" s="619"/>
      <c r="F2" s="619"/>
      <c r="G2" s="619"/>
      <c r="H2" s="619"/>
      <c r="I2" s="619"/>
      <c r="J2" s="619"/>
      <c r="K2" s="619"/>
      <c r="L2" s="620"/>
    </row>
    <row r="4" spans="1:20" ht="15.6">
      <c r="A4" s="233" t="s">
        <v>195</v>
      </c>
    </row>
    <row r="5" spans="1:20" ht="15.6">
      <c r="A5" s="233" t="s">
        <v>196</v>
      </c>
    </row>
    <row r="6" spans="1:20" s="71" customFormat="1" ht="16.2" thickBot="1">
      <c r="A6" s="278" t="s">
        <v>197</v>
      </c>
      <c r="B6" s="279"/>
      <c r="C6" s="279"/>
      <c r="D6" s="279"/>
      <c r="E6" s="279"/>
      <c r="F6" s="279"/>
      <c r="G6" s="279"/>
      <c r="H6" s="279"/>
      <c r="I6" s="279"/>
      <c r="J6" s="279"/>
      <c r="K6" s="279"/>
      <c r="L6" s="279"/>
      <c r="M6" s="279"/>
      <c r="N6" s="279"/>
      <c r="O6" s="279"/>
      <c r="P6" s="279"/>
      <c r="Q6" s="279"/>
      <c r="R6" s="279"/>
      <c r="S6" s="279"/>
      <c r="T6" s="279"/>
    </row>
    <row r="7" spans="1:20" s="72" customFormat="1" ht="15.6" thickBot="1">
      <c r="A7" s="189" t="s">
        <v>198</v>
      </c>
      <c r="B7" s="189"/>
      <c r="C7" s="382">
        <f>'Cost of capital worksheet'!B36</f>
        <v>2</v>
      </c>
      <c r="D7" s="189"/>
      <c r="E7" s="189"/>
      <c r="F7" s="189"/>
      <c r="G7" s="189"/>
      <c r="H7" s="189"/>
      <c r="I7" s="189"/>
      <c r="J7" s="189"/>
      <c r="K7" s="189"/>
      <c r="L7" s="189"/>
      <c r="M7" s="189"/>
      <c r="N7" s="189"/>
      <c r="O7" s="189"/>
      <c r="P7" s="189"/>
      <c r="Q7" s="189"/>
      <c r="R7" s="189"/>
      <c r="S7" s="189"/>
      <c r="T7" s="189"/>
    </row>
    <row r="8" spans="1:20" s="72" customFormat="1" ht="15.6" thickBot="1">
      <c r="A8" s="189" t="s">
        <v>199</v>
      </c>
      <c r="B8" s="189"/>
      <c r="C8" s="189"/>
      <c r="D8" s="189"/>
      <c r="E8" s="189"/>
      <c r="F8" s="303">
        <f>IF('Input sheet'!B17="Yes",'Input sheet'!B12+'Operating lease converter'!F32,'Input sheet'!B12)</f>
        <v>88688.4</v>
      </c>
      <c r="G8" s="189" t="s">
        <v>200</v>
      </c>
      <c r="H8" s="189"/>
      <c r="I8" s="189"/>
      <c r="J8" s="189"/>
      <c r="K8" s="189"/>
      <c r="L8" s="189"/>
      <c r="M8" s="189"/>
      <c r="N8" s="189"/>
      <c r="O8" s="189"/>
      <c r="P8" s="189"/>
      <c r="Q8" s="189"/>
      <c r="R8" s="189"/>
      <c r="S8" s="189"/>
      <c r="T8" s="189"/>
    </row>
    <row r="9" spans="1:20" s="72" customFormat="1" ht="15.6" thickBot="1">
      <c r="A9" s="189" t="s">
        <v>201</v>
      </c>
      <c r="B9" s="189"/>
      <c r="C9" s="189"/>
      <c r="D9" s="189"/>
      <c r="E9" s="189"/>
      <c r="F9" s="304">
        <f>IF('Input sheet'!B17="Yes",'Cost of capital worksheet'!B31+'Operating lease converter'!C28*'Operating lease converter'!C15,'Cost of capital worksheet'!B31)</f>
        <v>6316.44</v>
      </c>
      <c r="G9" s="189" t="s">
        <v>202</v>
      </c>
      <c r="H9" s="189"/>
      <c r="I9" s="189"/>
      <c r="J9" s="189"/>
      <c r="K9" s="189"/>
      <c r="L9" s="189"/>
      <c r="M9" s="189"/>
      <c r="N9" s="189"/>
      <c r="O9" s="189"/>
      <c r="P9" s="189"/>
      <c r="Q9" s="189"/>
      <c r="R9" s="189"/>
      <c r="S9" s="189"/>
      <c r="T9" s="189"/>
    </row>
    <row r="10" spans="1:20" s="72" customFormat="1" ht="15.6" thickBot="1">
      <c r="A10" s="189" t="s">
        <v>217</v>
      </c>
      <c r="B10" s="189"/>
      <c r="C10" s="189"/>
      <c r="D10" s="189"/>
      <c r="E10" s="189"/>
      <c r="F10" s="305">
        <f>'Input sheet'!B34</f>
        <v>7.3599999999999999E-2</v>
      </c>
      <c r="G10" s="189"/>
      <c r="H10" s="189"/>
      <c r="I10" s="189"/>
      <c r="J10" s="189"/>
      <c r="K10" s="189"/>
      <c r="L10" s="189"/>
      <c r="M10" s="189"/>
      <c r="N10" s="189"/>
      <c r="O10" s="189"/>
      <c r="P10" s="189"/>
      <c r="Q10" s="189"/>
      <c r="R10" s="189"/>
      <c r="S10" s="189"/>
      <c r="T10" s="189"/>
    </row>
    <row r="11" spans="1:20" s="72" customFormat="1" ht="16.2" thickBot="1">
      <c r="A11" s="233" t="s">
        <v>112</v>
      </c>
      <c r="B11" s="189"/>
      <c r="C11" s="189"/>
      <c r="D11" s="189"/>
      <c r="E11" s="189"/>
      <c r="F11" s="189"/>
      <c r="G11" s="189"/>
      <c r="H11" s="189"/>
      <c r="I11" s="189"/>
      <c r="J11" s="189"/>
      <c r="K11" s="189"/>
      <c r="L11" s="189"/>
      <c r="M11" s="189"/>
      <c r="N11" s="189"/>
      <c r="O11" s="189"/>
      <c r="P11" s="189"/>
      <c r="Q11" s="189"/>
      <c r="R11" s="189"/>
      <c r="S11" s="189"/>
      <c r="T11" s="189"/>
    </row>
    <row r="12" spans="1:20" s="72" customFormat="1" ht="16.2" thickBot="1">
      <c r="A12" s="189" t="s">
        <v>203</v>
      </c>
      <c r="B12" s="189"/>
      <c r="C12" s="189"/>
      <c r="D12" s="306">
        <f>IF(F9=0,1000000,IF(F8&lt;0,-100000,F8/F9))</f>
        <v>14.040883788969737</v>
      </c>
      <c r="E12" s="189"/>
      <c r="F12" s="189"/>
      <c r="G12" s="189"/>
      <c r="H12" s="189"/>
      <c r="I12" s="189"/>
      <c r="J12" s="189"/>
      <c r="K12" s="189"/>
      <c r="L12" s="189"/>
      <c r="M12" s="189"/>
      <c r="N12" s="189"/>
      <c r="O12" s="189"/>
      <c r="P12" s="189"/>
      <c r="Q12" s="189"/>
      <c r="R12" s="189"/>
      <c r="S12" s="189"/>
      <c r="T12" s="189"/>
    </row>
    <row r="13" spans="1:20" s="72" customFormat="1" ht="16.2" thickBot="1">
      <c r="A13" s="189" t="s">
        <v>204</v>
      </c>
      <c r="B13" s="189"/>
      <c r="C13" s="189"/>
      <c r="D13" s="307" t="str">
        <f>IF(C7=1,VLOOKUP(D12,A22:D36,3),(IF(C7=2,VLOOKUP(D12,A41:D55,3),VLOOKUP(D12,F22:I36,3))))</f>
        <v>Aaa/AAA</v>
      </c>
      <c r="E13" s="189"/>
      <c r="F13" s="279" t="s">
        <v>205</v>
      </c>
      <c r="G13" s="189"/>
      <c r="H13" s="189"/>
      <c r="I13" s="189"/>
      <c r="J13" s="189"/>
      <c r="K13" s="189"/>
      <c r="L13" s="189"/>
      <c r="M13" s="189"/>
      <c r="N13" s="189"/>
      <c r="O13" s="189"/>
      <c r="P13" s="189"/>
      <c r="Q13" s="189"/>
      <c r="R13" s="189"/>
      <c r="S13" s="189"/>
      <c r="T13" s="189"/>
    </row>
    <row r="14" spans="1:20" s="72" customFormat="1" ht="16.2" thickBot="1">
      <c r="A14" s="189" t="s">
        <v>444</v>
      </c>
      <c r="B14" s="189"/>
      <c r="C14" s="189"/>
      <c r="D14" s="308">
        <f>IF(C7=1,VLOOKUP(D12,A22:D36,4),(IF(C7=2,VLOOKUP(D12,A41:D55,4),VLOOKUP(D12,F22:I36,4))))</f>
        <v>5.8999999999999999E-3</v>
      </c>
      <c r="E14" s="189"/>
      <c r="F14" s="279" t="s">
        <v>206</v>
      </c>
      <c r="G14" s="189"/>
      <c r="H14" s="189"/>
      <c r="I14" s="189"/>
      <c r="J14" s="189"/>
      <c r="K14" s="189"/>
      <c r="L14" s="189"/>
      <c r="M14" s="189"/>
      <c r="N14" s="189"/>
      <c r="O14" s="189"/>
      <c r="P14" s="189"/>
      <c r="Q14" s="189"/>
      <c r="R14" s="189"/>
      <c r="S14" s="189"/>
      <c r="T14" s="189"/>
    </row>
    <row r="15" spans="1:20" s="72" customFormat="1" ht="16.2" thickBot="1">
      <c r="A15" s="189" t="s">
        <v>445</v>
      </c>
      <c r="B15" s="189"/>
      <c r="C15" s="189"/>
      <c r="D15" s="308">
        <f>VLOOKUP('Input sheet'!B7,'Country equity risk premiums'!A5:C195,3)</f>
        <v>2.0679214707827093E-2</v>
      </c>
      <c r="E15" s="189"/>
      <c r="F15" s="279"/>
      <c r="G15" s="189"/>
      <c r="H15" s="189"/>
      <c r="I15" s="189"/>
      <c r="J15" s="189"/>
      <c r="K15" s="189"/>
      <c r="L15" s="189"/>
      <c r="M15" s="189"/>
      <c r="N15" s="189"/>
      <c r="O15" s="189"/>
      <c r="P15" s="189"/>
      <c r="Q15" s="189"/>
      <c r="R15" s="189"/>
      <c r="S15" s="189"/>
      <c r="T15" s="189"/>
    </row>
    <row r="16" spans="1:20" s="6" customFormat="1" ht="16.2" thickBot="1">
      <c r="A16" s="189" t="s">
        <v>207</v>
      </c>
      <c r="B16" s="189"/>
      <c r="C16" s="189"/>
      <c r="D16" s="309">
        <f>F10+D14+D15</f>
        <v>0.10017921470782709</v>
      </c>
      <c r="E16" s="189"/>
      <c r="F16" s="189"/>
      <c r="G16" s="189"/>
      <c r="H16" s="189"/>
      <c r="I16" s="189"/>
      <c r="J16" s="189"/>
      <c r="K16" s="189"/>
      <c r="L16" s="189"/>
      <c r="M16" s="189"/>
      <c r="N16" s="189"/>
      <c r="O16" s="189"/>
      <c r="P16" s="189"/>
      <c r="Q16" s="189"/>
      <c r="R16" s="189"/>
      <c r="S16" s="189"/>
      <c r="T16" s="189"/>
    </row>
    <row r="17" spans="1:20" s="6" customFormat="1" ht="15.6">
      <c r="A17" s="189"/>
      <c r="B17" s="189"/>
      <c r="C17" s="189"/>
      <c r="D17" s="310"/>
      <c r="E17" s="189"/>
      <c r="F17" s="189"/>
      <c r="G17" s="189"/>
      <c r="H17" s="189"/>
      <c r="I17" s="189"/>
      <c r="J17" s="189"/>
      <c r="K17" s="189"/>
      <c r="L17" s="189"/>
      <c r="M17" s="189"/>
      <c r="N17" s="189"/>
      <c r="O17" s="189"/>
      <c r="P17" s="189"/>
      <c r="Q17" s="189"/>
      <c r="R17" s="189"/>
      <c r="S17" s="189"/>
      <c r="T17" s="189"/>
    </row>
    <row r="18" spans="1:20" s="9" customFormat="1" ht="16.2" thickBot="1">
      <c r="A18" s="279" t="s">
        <v>208</v>
      </c>
      <c r="B18" s="279"/>
      <c r="C18" s="279"/>
      <c r="D18" s="311"/>
      <c r="E18" s="279"/>
      <c r="F18" s="279"/>
      <c r="G18" s="279"/>
      <c r="H18" s="279"/>
      <c r="I18" s="279"/>
      <c r="J18" s="279"/>
      <c r="K18" s="279"/>
      <c r="L18" s="279"/>
      <c r="M18" s="279"/>
      <c r="N18" s="279"/>
      <c r="O18" s="279"/>
      <c r="P18" s="279"/>
      <c r="Q18" s="279"/>
      <c r="R18" s="279"/>
      <c r="S18" s="279"/>
      <c r="T18" s="279"/>
    </row>
    <row r="19" spans="1:20" s="72" customFormat="1" ht="16.2" thickBot="1">
      <c r="A19" s="233" t="s">
        <v>209</v>
      </c>
      <c r="B19" s="189"/>
      <c r="C19" s="189"/>
      <c r="D19" s="189"/>
      <c r="E19" s="189"/>
      <c r="F19" s="189"/>
      <c r="G19" s="189"/>
      <c r="H19" s="189"/>
      <c r="I19" s="189"/>
      <c r="J19" s="612" t="s">
        <v>620</v>
      </c>
      <c r="K19" s="613"/>
      <c r="L19" s="613"/>
      <c r="M19" s="613"/>
      <c r="N19" s="613"/>
      <c r="O19" s="613"/>
      <c r="P19" s="613"/>
      <c r="Q19" s="613"/>
      <c r="R19" s="613"/>
      <c r="S19" s="613"/>
      <c r="T19" s="614"/>
    </row>
    <row r="20" spans="1:20" s="72" customFormat="1" ht="15.6">
      <c r="A20" s="312" t="s">
        <v>210</v>
      </c>
      <c r="B20" s="312"/>
      <c r="C20" s="313"/>
      <c r="D20" s="313"/>
      <c r="E20" s="189"/>
      <c r="F20" s="189"/>
      <c r="G20" s="189"/>
      <c r="H20" s="189"/>
      <c r="I20" s="189"/>
      <c r="J20" s="299" t="s">
        <v>612</v>
      </c>
      <c r="K20" s="300">
        <v>1</v>
      </c>
      <c r="L20" s="300">
        <v>2</v>
      </c>
      <c r="M20" s="300">
        <v>3</v>
      </c>
      <c r="N20" s="300">
        <v>4</v>
      </c>
      <c r="O20" s="300">
        <v>5</v>
      </c>
      <c r="P20" s="300">
        <v>6</v>
      </c>
      <c r="Q20" s="300">
        <v>7</v>
      </c>
      <c r="R20" s="300">
        <v>8</v>
      </c>
      <c r="S20" s="300">
        <v>9</v>
      </c>
      <c r="T20" s="300">
        <v>10</v>
      </c>
    </row>
    <row r="21" spans="1:20" s="72" customFormat="1" ht="15.6">
      <c r="A21" s="314" t="s">
        <v>211</v>
      </c>
      <c r="B21" s="314" t="s">
        <v>212</v>
      </c>
      <c r="C21" s="314" t="s">
        <v>213</v>
      </c>
      <c r="D21" s="314" t="s">
        <v>214</v>
      </c>
      <c r="E21" s="189"/>
      <c r="F21" s="189"/>
      <c r="G21" s="189"/>
      <c r="H21" s="189"/>
      <c r="I21" s="189"/>
      <c r="J21" s="301" t="s">
        <v>613</v>
      </c>
      <c r="K21" s="302">
        <v>0</v>
      </c>
      <c r="L21" s="302">
        <v>2.9999999999999997E-4</v>
      </c>
      <c r="M21" s="302">
        <v>1.2999999999999999E-3</v>
      </c>
      <c r="N21" s="302">
        <v>2.3999999999999998E-3</v>
      </c>
      <c r="O21" s="302">
        <v>3.4999999999999996E-3</v>
      </c>
      <c r="P21" s="302">
        <v>4.5000000000000005E-3</v>
      </c>
      <c r="Q21" s="302">
        <v>5.1000000000000004E-3</v>
      </c>
      <c r="R21" s="302">
        <v>5.8999999999999999E-3</v>
      </c>
      <c r="S21" s="302">
        <v>6.4000000000000003E-3</v>
      </c>
      <c r="T21" s="302">
        <v>6.9999999999999993E-3</v>
      </c>
    </row>
    <row r="22" spans="1:20" s="72" customFormat="1">
      <c r="A22" s="283">
        <v>-100000</v>
      </c>
      <c r="B22" s="283">
        <v>0.19999900000000001</v>
      </c>
      <c r="C22" s="283" t="s">
        <v>428</v>
      </c>
      <c r="D22" s="315">
        <v>0.2</v>
      </c>
      <c r="E22" s="189"/>
      <c r="F22" s="189"/>
      <c r="G22" s="189"/>
      <c r="H22" s="189"/>
      <c r="I22" s="189"/>
      <c r="J22" s="301" t="s">
        <v>614</v>
      </c>
      <c r="K22" s="302">
        <v>2.0000000000000001E-4</v>
      </c>
      <c r="L22" s="302">
        <v>5.9999999999999995E-4</v>
      </c>
      <c r="M22" s="302">
        <v>1.1999999999999999E-3</v>
      </c>
      <c r="N22" s="302">
        <v>2.0999999999999999E-3</v>
      </c>
      <c r="O22" s="302">
        <v>3.0999999999999999E-3</v>
      </c>
      <c r="P22" s="302">
        <v>4.1999999999999997E-3</v>
      </c>
      <c r="Q22" s="302">
        <v>5.0000000000000001E-3</v>
      </c>
      <c r="R22" s="302">
        <v>5.7999999999999996E-3</v>
      </c>
      <c r="S22" s="302">
        <v>6.5000000000000006E-3</v>
      </c>
      <c r="T22" s="302">
        <v>7.1999999999999998E-3</v>
      </c>
    </row>
    <row r="23" spans="1:20" s="72" customFormat="1">
      <c r="A23" s="283">
        <v>0.2</v>
      </c>
      <c r="B23" s="283">
        <v>0.64999899999999999</v>
      </c>
      <c r="C23" s="283" t="s">
        <v>431</v>
      </c>
      <c r="D23" s="315">
        <v>0.17</v>
      </c>
      <c r="E23" s="189"/>
      <c r="F23" s="283"/>
      <c r="G23" s="189"/>
      <c r="H23" s="189"/>
      <c r="I23" s="189"/>
      <c r="J23" s="301" t="s">
        <v>615</v>
      </c>
      <c r="K23" s="302">
        <v>5.0000000000000001E-4</v>
      </c>
      <c r="L23" s="302">
        <v>1.4000000000000002E-3</v>
      </c>
      <c r="M23" s="302">
        <v>2.3E-3</v>
      </c>
      <c r="N23" s="302">
        <v>3.4999999999999996E-3</v>
      </c>
      <c r="O23" s="302">
        <v>4.6999999999999993E-3</v>
      </c>
      <c r="P23" s="302">
        <v>6.1999999999999998E-3</v>
      </c>
      <c r="Q23" s="302">
        <v>7.9000000000000008E-3</v>
      </c>
      <c r="R23" s="302">
        <v>9.300000000000001E-3</v>
      </c>
      <c r="S23" s="302">
        <v>1.0800000000000001E-2</v>
      </c>
      <c r="T23" s="302">
        <v>1.24E-2</v>
      </c>
    </row>
    <row r="24" spans="1:20" s="72" customFormat="1">
      <c r="A24" s="283">
        <v>0.65</v>
      </c>
      <c r="B24" s="283">
        <v>0.79999900000000002</v>
      </c>
      <c r="C24" s="283" t="s">
        <v>430</v>
      </c>
      <c r="D24" s="315">
        <v>0.1178</v>
      </c>
      <c r="E24" s="189"/>
      <c r="F24" s="189"/>
      <c r="G24" s="189"/>
      <c r="H24" s="189"/>
      <c r="I24" s="189"/>
      <c r="J24" s="301" t="s">
        <v>616</v>
      </c>
      <c r="K24" s="302">
        <v>1.6000000000000001E-3</v>
      </c>
      <c r="L24" s="302">
        <v>4.5000000000000005E-3</v>
      </c>
      <c r="M24" s="302">
        <v>7.8000000000000005E-3</v>
      </c>
      <c r="N24" s="302">
        <v>1.1699999999999999E-2</v>
      </c>
      <c r="O24" s="302">
        <v>1.5800000000000002E-2</v>
      </c>
      <c r="P24" s="302">
        <v>1.9799999999999998E-2</v>
      </c>
      <c r="Q24" s="302">
        <v>2.3300000000000001E-2</v>
      </c>
      <c r="R24" s="302">
        <v>2.6699999999999998E-2</v>
      </c>
      <c r="S24" s="302">
        <v>0.03</v>
      </c>
      <c r="T24" s="302">
        <v>3.32E-2</v>
      </c>
    </row>
    <row r="25" spans="1:20" s="72" customFormat="1">
      <c r="A25" s="283">
        <v>0.8</v>
      </c>
      <c r="B25" s="283">
        <v>1.2499990000000001</v>
      </c>
      <c r="C25" s="283" t="s">
        <v>429</v>
      </c>
      <c r="D25" s="315">
        <v>8.5099999999999995E-2</v>
      </c>
      <c r="E25" s="189"/>
      <c r="F25" s="189"/>
      <c r="G25" s="189"/>
      <c r="H25" s="189"/>
      <c r="I25" s="189"/>
      <c r="J25" s="301" t="s">
        <v>617</v>
      </c>
      <c r="K25" s="302">
        <v>6.0999999999999995E-3</v>
      </c>
      <c r="L25" s="302">
        <v>1.9199999999999998E-2</v>
      </c>
      <c r="M25" s="302">
        <v>3.4799999999999998E-2</v>
      </c>
      <c r="N25" s="302">
        <v>5.0499999999999996E-2</v>
      </c>
      <c r="O25" s="302">
        <v>6.5199999999999994E-2</v>
      </c>
      <c r="P25" s="302">
        <v>7.85E-2</v>
      </c>
      <c r="Q25" s="302">
        <v>9.01E-2</v>
      </c>
      <c r="R25" s="302">
        <v>0.10039999999999999</v>
      </c>
      <c r="S25" s="302">
        <v>0.10970000000000001</v>
      </c>
      <c r="T25" s="302">
        <v>0.11779999999999999</v>
      </c>
    </row>
    <row r="26" spans="1:20" s="72" customFormat="1">
      <c r="A26" s="283">
        <v>1.25</v>
      </c>
      <c r="B26" s="283">
        <v>1.4999990000000001</v>
      </c>
      <c r="C26" s="283" t="s">
        <v>432</v>
      </c>
      <c r="D26" s="315">
        <v>5.2400000000000002E-2</v>
      </c>
      <c r="E26" s="189"/>
      <c r="F26" s="189"/>
      <c r="G26" s="189"/>
      <c r="H26" s="189"/>
      <c r="I26" s="189"/>
      <c r="J26" s="301" t="s">
        <v>92</v>
      </c>
      <c r="K26" s="302">
        <v>3.3300000000000003E-2</v>
      </c>
      <c r="L26" s="302">
        <v>7.7100000000000002E-2</v>
      </c>
      <c r="M26" s="302">
        <v>0.11550000000000001</v>
      </c>
      <c r="N26" s="302">
        <v>0.14580000000000001</v>
      </c>
      <c r="O26" s="302">
        <v>0.16930000000000001</v>
      </c>
      <c r="P26" s="302">
        <v>0.1883</v>
      </c>
      <c r="Q26" s="302">
        <v>0.2036</v>
      </c>
      <c r="R26" s="302">
        <v>0.21600000000000003</v>
      </c>
      <c r="S26" s="302">
        <v>0.22699999999999998</v>
      </c>
      <c r="T26" s="302">
        <v>0.23739999999999997</v>
      </c>
    </row>
    <row r="27" spans="1:20" s="72" customFormat="1">
      <c r="A27" s="283">
        <v>1.5</v>
      </c>
      <c r="B27" s="283">
        <v>1.7499990000000001</v>
      </c>
      <c r="C27" s="283" t="s">
        <v>433</v>
      </c>
      <c r="D27" s="315">
        <v>3.61E-2</v>
      </c>
      <c r="E27" s="189"/>
      <c r="F27" s="189"/>
      <c r="G27" s="189"/>
      <c r="H27" s="189"/>
      <c r="I27" s="189"/>
      <c r="J27" s="301" t="s">
        <v>618</v>
      </c>
      <c r="K27" s="302">
        <v>0.27079999999999999</v>
      </c>
      <c r="L27" s="302">
        <v>0.3664</v>
      </c>
      <c r="M27" s="302">
        <v>0.41409999999999997</v>
      </c>
      <c r="N27" s="302">
        <v>0.441</v>
      </c>
      <c r="O27" s="302">
        <v>0.46189999999999998</v>
      </c>
      <c r="P27" s="302">
        <v>0.47090000000000004</v>
      </c>
      <c r="Q27" s="302">
        <v>0.48259999999999997</v>
      </c>
      <c r="R27" s="302">
        <v>0.49049999999999999</v>
      </c>
      <c r="S27" s="302">
        <v>0.49759999999999999</v>
      </c>
      <c r="T27" s="302">
        <v>0.50380000000000003</v>
      </c>
    </row>
    <row r="28" spans="1:20" s="72" customFormat="1">
      <c r="A28" s="283">
        <v>1.75</v>
      </c>
      <c r="B28" s="283">
        <v>1.9999990000000001</v>
      </c>
      <c r="C28" s="283" t="s">
        <v>434</v>
      </c>
      <c r="D28" s="315">
        <v>3.1399999999999997E-2</v>
      </c>
      <c r="E28" s="189"/>
      <c r="F28" s="189"/>
      <c r="G28" s="189"/>
      <c r="H28" s="189"/>
      <c r="I28" s="189"/>
      <c r="J28" s="189"/>
      <c r="K28" s="189"/>
      <c r="L28" s="189"/>
      <c r="M28" s="189"/>
      <c r="N28" s="189"/>
      <c r="O28" s="189"/>
      <c r="P28" s="189"/>
      <c r="Q28" s="189"/>
      <c r="R28" s="189"/>
      <c r="S28" s="189"/>
      <c r="T28" s="189"/>
    </row>
    <row r="29" spans="1:20" s="72" customFormat="1">
      <c r="A29" s="283">
        <v>2</v>
      </c>
      <c r="B29" s="283">
        <v>2.2499999000000002</v>
      </c>
      <c r="C29" s="283" t="s">
        <v>435</v>
      </c>
      <c r="D29" s="315">
        <v>2.2100000000000002E-2</v>
      </c>
      <c r="E29" s="189"/>
      <c r="F29" s="189"/>
      <c r="G29" s="189"/>
      <c r="H29" s="189"/>
      <c r="I29" s="189"/>
      <c r="J29" s="189"/>
      <c r="K29" s="189"/>
      <c r="L29" s="189"/>
      <c r="M29" s="189"/>
      <c r="N29" s="189"/>
      <c r="O29" s="189"/>
      <c r="P29" s="189"/>
      <c r="Q29" s="189"/>
      <c r="R29" s="189"/>
      <c r="S29" s="189"/>
      <c r="T29" s="189"/>
    </row>
    <row r="30" spans="1:20" s="72" customFormat="1">
      <c r="A30" s="283">
        <v>2.25</v>
      </c>
      <c r="B30" s="283">
        <v>2.4999899999999999</v>
      </c>
      <c r="C30" s="283" t="s">
        <v>436</v>
      </c>
      <c r="D30" s="315">
        <v>1.7399999999999999E-2</v>
      </c>
      <c r="E30" s="189"/>
      <c r="F30" s="189"/>
      <c r="G30" s="189"/>
      <c r="H30" s="189"/>
      <c r="I30" s="189"/>
      <c r="J30" s="189"/>
      <c r="K30" s="189"/>
      <c r="L30" s="189"/>
      <c r="M30" s="189"/>
      <c r="N30" s="189"/>
      <c r="O30" s="189"/>
      <c r="P30" s="189"/>
      <c r="Q30" s="189"/>
      <c r="R30" s="189"/>
      <c r="S30" s="189"/>
      <c r="T30" s="189"/>
    </row>
    <row r="31" spans="1:20" s="72" customFormat="1">
      <c r="A31" s="283">
        <v>2.5</v>
      </c>
      <c r="B31" s="283">
        <v>2.9999989999999999</v>
      </c>
      <c r="C31" s="283" t="s">
        <v>437</v>
      </c>
      <c r="D31" s="315">
        <v>1.47E-2</v>
      </c>
      <c r="E31" s="189"/>
      <c r="F31" s="189"/>
      <c r="G31" s="189"/>
      <c r="H31" s="189"/>
      <c r="I31" s="189"/>
      <c r="J31" s="189"/>
      <c r="K31" s="189"/>
      <c r="L31" s="189"/>
      <c r="M31" s="189"/>
      <c r="N31" s="189"/>
      <c r="O31" s="189"/>
      <c r="P31" s="189"/>
      <c r="Q31" s="189"/>
      <c r="R31" s="189"/>
      <c r="S31" s="189"/>
      <c r="T31" s="189"/>
    </row>
    <row r="32" spans="1:20" s="72" customFormat="1">
      <c r="A32" s="283">
        <v>3</v>
      </c>
      <c r="B32" s="283">
        <v>4.2499989999999999</v>
      </c>
      <c r="C32" s="283" t="s">
        <v>438</v>
      </c>
      <c r="D32" s="315">
        <v>1.21E-2</v>
      </c>
      <c r="E32" s="189"/>
      <c r="F32" s="189"/>
      <c r="G32" s="189"/>
      <c r="H32" s="189"/>
      <c r="I32" s="189"/>
      <c r="J32" s="189"/>
      <c r="K32" s="189"/>
      <c r="L32" s="189"/>
      <c r="M32" s="189"/>
      <c r="N32" s="189"/>
      <c r="O32" s="189"/>
      <c r="P32" s="189"/>
      <c r="Q32" s="189"/>
      <c r="R32" s="189"/>
      <c r="S32" s="189"/>
      <c r="T32" s="189"/>
    </row>
    <row r="33" spans="1:20" s="72" customFormat="1">
      <c r="A33" s="283">
        <v>4.25</v>
      </c>
      <c r="B33" s="283">
        <v>5.4999989999999999</v>
      </c>
      <c r="C33" s="283" t="s">
        <v>439</v>
      </c>
      <c r="D33" s="315">
        <v>1.0699999999999999E-2</v>
      </c>
      <c r="E33" s="189"/>
      <c r="F33" s="189"/>
      <c r="G33" s="189"/>
      <c r="H33" s="189"/>
      <c r="I33" s="189"/>
      <c r="J33" s="189"/>
      <c r="K33" s="189"/>
      <c r="L33" s="189"/>
      <c r="M33" s="189"/>
      <c r="N33" s="189"/>
      <c r="O33" s="189"/>
      <c r="P33" s="189"/>
      <c r="Q33" s="189"/>
      <c r="R33" s="189"/>
      <c r="S33" s="189"/>
      <c r="T33" s="189"/>
    </row>
    <row r="34" spans="1:20" s="72" customFormat="1">
      <c r="A34" s="283">
        <v>5.5</v>
      </c>
      <c r="B34" s="283">
        <v>6.4999989999999999</v>
      </c>
      <c r="C34" s="283" t="s">
        <v>440</v>
      </c>
      <c r="D34" s="315">
        <v>9.1999999999999998E-3</v>
      </c>
      <c r="E34" s="189"/>
      <c r="F34" s="189"/>
      <c r="G34" s="189"/>
      <c r="H34" s="189"/>
      <c r="I34" s="189"/>
      <c r="J34" s="189"/>
      <c r="K34" s="189"/>
      <c r="L34" s="189"/>
      <c r="M34" s="189"/>
      <c r="N34" s="189"/>
      <c r="O34" s="189"/>
      <c r="P34" s="189"/>
      <c r="Q34" s="189"/>
      <c r="R34" s="189"/>
      <c r="S34" s="189"/>
      <c r="T34" s="189"/>
    </row>
    <row r="35" spans="1:20" s="72" customFormat="1">
      <c r="A35" s="283">
        <v>6.5</v>
      </c>
      <c r="B35" s="283">
        <v>8.4999990000000007</v>
      </c>
      <c r="C35" s="283" t="s">
        <v>441</v>
      </c>
      <c r="D35" s="315">
        <v>7.0000000000000001E-3</v>
      </c>
      <c r="E35" s="189"/>
      <c r="F35" s="189"/>
      <c r="G35" s="189"/>
      <c r="H35" s="189"/>
      <c r="I35" s="189"/>
      <c r="J35" s="189"/>
      <c r="K35" s="189"/>
      <c r="L35" s="189"/>
      <c r="M35" s="189"/>
      <c r="N35" s="189"/>
      <c r="O35" s="189"/>
      <c r="P35" s="189"/>
      <c r="Q35" s="189"/>
      <c r="R35" s="189"/>
      <c r="S35" s="189"/>
      <c r="T35" s="189"/>
    </row>
    <row r="36" spans="1:20" s="72" customFormat="1">
      <c r="A36" s="316">
        <v>8.5</v>
      </c>
      <c r="B36" s="283">
        <v>100000</v>
      </c>
      <c r="C36" s="283" t="s">
        <v>442</v>
      </c>
      <c r="D36" s="315">
        <v>5.8999999999999999E-3</v>
      </c>
      <c r="E36" s="189"/>
      <c r="F36" s="189"/>
      <c r="G36" s="189"/>
      <c r="H36" s="189"/>
      <c r="I36" s="189"/>
      <c r="J36" s="189"/>
      <c r="K36" s="189"/>
      <c r="L36" s="189"/>
      <c r="M36" s="189"/>
      <c r="N36" s="189"/>
      <c r="O36" s="189"/>
      <c r="P36" s="189"/>
      <c r="Q36" s="189"/>
      <c r="R36" s="189"/>
      <c r="S36" s="189"/>
      <c r="T36" s="189"/>
    </row>
    <row r="37" spans="1:20" s="72" customFormat="1">
      <c r="A37" s="189"/>
      <c r="B37" s="189"/>
      <c r="C37" s="189"/>
      <c r="D37" s="189"/>
      <c r="E37" s="189"/>
      <c r="F37" s="189"/>
      <c r="G37" s="189"/>
      <c r="H37" s="189"/>
      <c r="I37" s="189"/>
      <c r="J37" s="189"/>
      <c r="K37" s="189"/>
      <c r="L37" s="189"/>
      <c r="M37" s="189"/>
      <c r="N37" s="189"/>
      <c r="O37" s="189"/>
      <c r="P37" s="189"/>
      <c r="Q37" s="189"/>
      <c r="R37" s="189"/>
      <c r="S37" s="189"/>
      <c r="T37" s="189"/>
    </row>
    <row r="38" spans="1:20" s="72" customFormat="1" ht="15.6">
      <c r="A38" s="233" t="s">
        <v>216</v>
      </c>
      <c r="B38" s="189"/>
      <c r="C38" s="189"/>
      <c r="D38" s="189"/>
      <c r="E38" s="189"/>
      <c r="F38" s="189"/>
      <c r="G38" s="189"/>
      <c r="H38" s="189"/>
      <c r="I38" s="189"/>
      <c r="J38" s="189"/>
      <c r="K38" s="189"/>
      <c r="L38" s="189"/>
      <c r="M38" s="189"/>
      <c r="N38" s="189"/>
      <c r="O38" s="189"/>
      <c r="P38" s="189"/>
      <c r="Q38" s="189"/>
      <c r="R38" s="189"/>
      <c r="S38" s="189"/>
      <c r="T38" s="189"/>
    </row>
    <row r="39" spans="1:20" s="72" customFormat="1" ht="15.6">
      <c r="A39" s="312" t="s">
        <v>210</v>
      </c>
      <c r="B39" s="317"/>
      <c r="C39" s="283"/>
      <c r="D39" s="283"/>
      <c r="E39" s="189"/>
      <c r="F39" s="189"/>
      <c r="G39" s="189"/>
      <c r="H39" s="189"/>
      <c r="I39" s="189"/>
      <c r="J39" s="189"/>
      <c r="K39" s="189"/>
      <c r="L39" s="189"/>
      <c r="M39" s="189"/>
      <c r="N39" s="189"/>
      <c r="O39" s="189"/>
      <c r="P39" s="189"/>
      <c r="Q39" s="189"/>
      <c r="R39" s="189"/>
      <c r="S39" s="189"/>
      <c r="T39" s="189"/>
    </row>
    <row r="40" spans="1:20" s="72" customFormat="1">
      <c r="A40" s="283" t="s">
        <v>215</v>
      </c>
      <c r="B40" s="283" t="s">
        <v>212</v>
      </c>
      <c r="C40" s="283" t="s">
        <v>213</v>
      </c>
      <c r="D40" s="283" t="s">
        <v>214</v>
      </c>
      <c r="E40" s="189"/>
      <c r="F40" s="189"/>
      <c r="G40" s="189"/>
      <c r="H40" s="189"/>
      <c r="I40" s="189"/>
      <c r="J40" s="189"/>
      <c r="K40" s="189"/>
      <c r="L40" s="189"/>
      <c r="M40" s="189"/>
      <c r="N40" s="189"/>
      <c r="O40" s="189"/>
      <c r="P40" s="189"/>
      <c r="Q40" s="189"/>
      <c r="R40" s="189"/>
      <c r="S40" s="189"/>
      <c r="T40" s="189"/>
    </row>
    <row r="41" spans="1:20" s="72" customFormat="1" ht="15.6">
      <c r="A41" s="283">
        <v>-100000</v>
      </c>
      <c r="B41" s="283">
        <v>0.49999900000000003</v>
      </c>
      <c r="C41" s="283" t="s">
        <v>428</v>
      </c>
      <c r="D41" s="315">
        <v>0.2</v>
      </c>
      <c r="E41" s="189"/>
      <c r="F41" s="189"/>
      <c r="G41" s="314" t="s">
        <v>213</v>
      </c>
      <c r="H41" s="314" t="s">
        <v>214</v>
      </c>
      <c r="I41" s="189"/>
      <c r="J41" s="189"/>
      <c r="K41" s="189"/>
      <c r="L41" s="189"/>
      <c r="M41" s="189"/>
      <c r="N41" s="189"/>
      <c r="O41" s="189"/>
      <c r="P41" s="189"/>
      <c r="Q41" s="189"/>
      <c r="R41" s="189"/>
      <c r="S41" s="189"/>
      <c r="T41" s="189"/>
    </row>
    <row r="42" spans="1:20" s="72" customFormat="1">
      <c r="A42" s="283">
        <v>0.5</v>
      </c>
      <c r="B42" s="283">
        <v>0.79999900000000002</v>
      </c>
      <c r="C42" s="283" t="s">
        <v>431</v>
      </c>
      <c r="D42" s="315">
        <v>0.17</v>
      </c>
      <c r="E42" s="189"/>
      <c r="F42" s="189"/>
      <c r="G42" s="283" t="s">
        <v>440</v>
      </c>
      <c r="H42" s="315">
        <v>9.1999999999999998E-3</v>
      </c>
      <c r="I42" s="189"/>
      <c r="J42" s="189"/>
      <c r="K42" s="189"/>
      <c r="L42" s="189"/>
      <c r="M42" s="189"/>
      <c r="N42" s="189"/>
      <c r="O42" s="189"/>
      <c r="P42" s="189"/>
      <c r="Q42" s="189"/>
      <c r="R42" s="189"/>
      <c r="S42" s="189"/>
      <c r="T42" s="189"/>
    </row>
    <row r="43" spans="1:20" s="72" customFormat="1">
      <c r="A43" s="283">
        <v>0.8</v>
      </c>
      <c r="B43" s="283">
        <v>1.2499990000000001</v>
      </c>
      <c r="C43" s="283" t="s">
        <v>430</v>
      </c>
      <c r="D43" s="315">
        <v>0.1178</v>
      </c>
      <c r="E43" s="189"/>
      <c r="F43" s="189"/>
      <c r="G43" s="283" t="s">
        <v>439</v>
      </c>
      <c r="H43" s="315">
        <v>1.0699999999999999E-2</v>
      </c>
      <c r="I43" s="189"/>
      <c r="J43" s="189"/>
      <c r="K43" s="189"/>
      <c r="L43" s="189"/>
      <c r="M43" s="189"/>
      <c r="N43" s="189"/>
      <c r="O43" s="189"/>
      <c r="P43" s="189"/>
      <c r="Q43" s="189"/>
      <c r="R43" s="189"/>
      <c r="S43" s="189"/>
      <c r="T43" s="189"/>
    </row>
    <row r="44" spans="1:20" s="72" customFormat="1">
      <c r="A44" s="283">
        <v>1.25</v>
      </c>
      <c r="B44" s="283">
        <v>1.4999990000000001</v>
      </c>
      <c r="C44" s="283" t="s">
        <v>429</v>
      </c>
      <c r="D44" s="315">
        <v>8.5099999999999995E-2</v>
      </c>
      <c r="E44" s="189"/>
      <c r="F44" s="189"/>
      <c r="G44" s="283" t="s">
        <v>438</v>
      </c>
      <c r="H44" s="315">
        <v>1.21E-2</v>
      </c>
      <c r="I44" s="189"/>
      <c r="J44" s="189"/>
      <c r="K44" s="189"/>
      <c r="L44" s="189"/>
      <c r="M44" s="189"/>
      <c r="N44" s="189"/>
      <c r="O44" s="189"/>
      <c r="P44" s="189"/>
      <c r="Q44" s="189"/>
      <c r="R44" s="189"/>
      <c r="S44" s="189"/>
      <c r="T44" s="189"/>
    </row>
    <row r="45" spans="1:20" s="72" customFormat="1">
      <c r="A45" s="283">
        <v>1.5</v>
      </c>
      <c r="B45" s="283">
        <v>1.9999990000000001</v>
      </c>
      <c r="C45" s="283" t="s">
        <v>432</v>
      </c>
      <c r="D45" s="315">
        <v>5.2400000000000002E-2</v>
      </c>
      <c r="E45" s="189"/>
      <c r="F45" s="189"/>
      <c r="G45" s="283" t="s">
        <v>441</v>
      </c>
      <c r="H45" s="315">
        <v>7.0000000000000001E-3</v>
      </c>
      <c r="I45" s="189"/>
      <c r="J45" s="189"/>
      <c r="K45" s="189"/>
      <c r="L45" s="189"/>
      <c r="M45" s="189"/>
      <c r="N45" s="189"/>
      <c r="O45" s="189"/>
      <c r="P45" s="189"/>
      <c r="Q45" s="189"/>
      <c r="R45" s="189"/>
      <c r="S45" s="189"/>
      <c r="T45" s="189"/>
    </row>
    <row r="46" spans="1:20" s="72" customFormat="1">
      <c r="A46" s="283">
        <v>2</v>
      </c>
      <c r="B46" s="283">
        <v>2.4999989999999999</v>
      </c>
      <c r="C46" s="283" t="s">
        <v>433</v>
      </c>
      <c r="D46" s="315">
        <v>3.61E-2</v>
      </c>
      <c r="E46" s="189"/>
      <c r="F46" s="189"/>
      <c r="G46" s="283" t="s">
        <v>442</v>
      </c>
      <c r="H46" s="315">
        <v>5.8999999999999999E-3</v>
      </c>
      <c r="I46" s="189"/>
      <c r="J46" s="189"/>
      <c r="K46" s="189"/>
      <c r="L46" s="189"/>
      <c r="M46" s="189"/>
      <c r="N46" s="189"/>
      <c r="O46" s="189"/>
      <c r="P46" s="189"/>
      <c r="Q46" s="189"/>
      <c r="R46" s="189"/>
      <c r="S46" s="189"/>
      <c r="T46" s="189"/>
    </row>
    <row r="47" spans="1:20" s="72" customFormat="1">
      <c r="A47" s="283">
        <v>2.5</v>
      </c>
      <c r="B47" s="283">
        <v>2.9999989999999999</v>
      </c>
      <c r="C47" s="283" t="s">
        <v>434</v>
      </c>
      <c r="D47" s="315">
        <v>3.1399999999999997E-2</v>
      </c>
      <c r="E47" s="189"/>
      <c r="F47" s="189"/>
      <c r="G47" s="283" t="s">
        <v>434</v>
      </c>
      <c r="H47" s="315">
        <v>3.1399999999999997E-2</v>
      </c>
      <c r="I47" s="189"/>
      <c r="J47" s="189"/>
      <c r="K47" s="189"/>
      <c r="L47" s="189"/>
      <c r="M47" s="189"/>
      <c r="N47" s="189"/>
      <c r="O47" s="189"/>
      <c r="P47" s="189"/>
      <c r="Q47" s="189"/>
      <c r="R47" s="189"/>
      <c r="S47" s="189"/>
      <c r="T47" s="189"/>
    </row>
    <row r="48" spans="1:20" s="72" customFormat="1">
      <c r="A48" s="283">
        <v>3</v>
      </c>
      <c r="B48" s="283">
        <v>3.4999989999999999</v>
      </c>
      <c r="C48" s="283" t="s">
        <v>435</v>
      </c>
      <c r="D48" s="315">
        <v>2.2100000000000002E-2</v>
      </c>
      <c r="E48" s="189"/>
      <c r="F48" s="189"/>
      <c r="G48" s="283" t="s">
        <v>433</v>
      </c>
      <c r="H48" s="315">
        <v>3.61E-2</v>
      </c>
      <c r="I48" s="189"/>
      <c r="J48" s="189"/>
      <c r="K48" s="189"/>
      <c r="L48" s="189"/>
      <c r="M48" s="189"/>
      <c r="N48" s="189"/>
      <c r="O48" s="189"/>
      <c r="P48" s="189"/>
      <c r="Q48" s="189"/>
      <c r="R48" s="189"/>
      <c r="S48" s="189"/>
      <c r="T48" s="189"/>
    </row>
    <row r="49" spans="1:25" s="72" customFormat="1">
      <c r="A49" s="283">
        <v>3.5</v>
      </c>
      <c r="B49" s="283">
        <v>3.9999999000000002</v>
      </c>
      <c r="C49" s="283" t="s">
        <v>436</v>
      </c>
      <c r="D49" s="315">
        <v>1.7399999999999999E-2</v>
      </c>
      <c r="E49" s="189"/>
      <c r="F49" s="189"/>
      <c r="G49" s="283" t="s">
        <v>432</v>
      </c>
      <c r="H49" s="315">
        <v>5.2400000000000002E-2</v>
      </c>
      <c r="I49" s="189"/>
      <c r="J49" s="189"/>
      <c r="K49" s="189"/>
      <c r="L49" s="189"/>
      <c r="M49" s="189"/>
      <c r="N49" s="189"/>
      <c r="O49" s="189"/>
      <c r="P49" s="189"/>
      <c r="Q49" s="189"/>
      <c r="R49" s="189"/>
      <c r="S49" s="189"/>
      <c r="T49" s="189"/>
    </row>
    <row r="50" spans="1:25" s="72" customFormat="1">
      <c r="A50" s="283">
        <v>4</v>
      </c>
      <c r="B50" s="283">
        <v>4.4999989999999999</v>
      </c>
      <c r="C50" s="283" t="s">
        <v>437</v>
      </c>
      <c r="D50" s="315">
        <v>1.47E-2</v>
      </c>
      <c r="E50" s="189"/>
      <c r="F50" s="189"/>
      <c r="G50" s="283" t="s">
        <v>436</v>
      </c>
      <c r="H50" s="315">
        <v>1.7399999999999999E-2</v>
      </c>
      <c r="I50" s="189"/>
      <c r="J50" s="189"/>
      <c r="K50" s="189"/>
      <c r="L50" s="189"/>
      <c r="M50" s="189"/>
      <c r="N50" s="189"/>
      <c r="O50" s="189"/>
      <c r="P50" s="189"/>
      <c r="Q50" s="189"/>
      <c r="R50" s="189"/>
      <c r="S50" s="189"/>
      <c r="T50" s="189"/>
    </row>
    <row r="51" spans="1:25" s="72" customFormat="1">
      <c r="A51" s="283">
        <v>4.5</v>
      </c>
      <c r="B51" s="283">
        <v>5.9999989999999999</v>
      </c>
      <c r="C51" s="283" t="s">
        <v>438</v>
      </c>
      <c r="D51" s="315">
        <v>1.21E-2</v>
      </c>
      <c r="E51" s="189"/>
      <c r="F51" s="189"/>
      <c r="G51" s="283" t="s">
        <v>435</v>
      </c>
      <c r="H51" s="315">
        <v>2.2100000000000002E-2</v>
      </c>
      <c r="I51" s="189"/>
      <c r="J51" s="189"/>
      <c r="K51" s="189"/>
      <c r="L51" s="189"/>
      <c r="M51" s="189"/>
      <c r="N51" s="189"/>
      <c r="O51" s="189"/>
      <c r="P51" s="189"/>
      <c r="Q51" s="189"/>
      <c r="R51" s="189"/>
      <c r="S51" s="189"/>
      <c r="T51" s="189"/>
    </row>
    <row r="52" spans="1:25" s="72" customFormat="1">
      <c r="A52" s="283">
        <v>6</v>
      </c>
      <c r="B52" s="283">
        <v>7.4999989999999999</v>
      </c>
      <c r="C52" s="283" t="s">
        <v>439</v>
      </c>
      <c r="D52" s="315">
        <v>1.0699999999999999E-2</v>
      </c>
      <c r="E52" s="189"/>
      <c r="F52" s="189"/>
      <c r="G52" s="283" t="s">
        <v>437</v>
      </c>
      <c r="H52" s="315">
        <v>1.47E-2</v>
      </c>
      <c r="I52" s="189"/>
      <c r="J52" s="189"/>
      <c r="K52" s="189"/>
      <c r="L52" s="189"/>
      <c r="M52" s="189"/>
      <c r="N52" s="189"/>
      <c r="O52" s="189"/>
      <c r="P52" s="189"/>
      <c r="Q52" s="189"/>
      <c r="R52" s="189"/>
      <c r="S52" s="189"/>
      <c r="T52" s="189"/>
    </row>
    <row r="53" spans="1:25" s="72" customFormat="1">
      <c r="A53" s="283">
        <v>7.5</v>
      </c>
      <c r="B53" s="283">
        <v>9.4999990000000007</v>
      </c>
      <c r="C53" s="283" t="s">
        <v>440</v>
      </c>
      <c r="D53" s="315">
        <v>9.1999999999999998E-3</v>
      </c>
      <c r="E53" s="189"/>
      <c r="F53" s="189"/>
      <c r="G53" s="283" t="s">
        <v>431</v>
      </c>
      <c r="H53" s="315">
        <v>0.17</v>
      </c>
      <c r="I53" s="189"/>
      <c r="J53" s="189"/>
      <c r="K53" s="189"/>
      <c r="L53" s="189"/>
      <c r="M53" s="189"/>
      <c r="N53" s="189"/>
      <c r="O53" s="189"/>
      <c r="P53" s="189"/>
      <c r="Q53" s="189"/>
      <c r="R53" s="189"/>
      <c r="S53" s="189"/>
      <c r="T53" s="189"/>
    </row>
    <row r="54" spans="1:25">
      <c r="A54" s="283">
        <v>9.5</v>
      </c>
      <c r="B54" s="283">
        <v>12.499999000000001</v>
      </c>
      <c r="C54" s="283" t="s">
        <v>441</v>
      </c>
      <c r="D54" s="315">
        <v>7.0000000000000001E-3</v>
      </c>
      <c r="G54" s="283" t="s">
        <v>430</v>
      </c>
      <c r="H54" s="315">
        <v>0.1178</v>
      </c>
      <c r="U54" s="72"/>
      <c r="V54" s="72"/>
      <c r="W54" s="72"/>
      <c r="X54" s="72"/>
      <c r="Y54" s="72"/>
    </row>
    <row r="55" spans="1:25">
      <c r="A55" s="283">
        <v>12.5</v>
      </c>
      <c r="B55" s="283">
        <v>100000</v>
      </c>
      <c r="C55" s="283" t="s">
        <v>442</v>
      </c>
      <c r="D55" s="315">
        <v>5.8999999999999999E-3</v>
      </c>
      <c r="G55" s="283" t="s">
        <v>429</v>
      </c>
      <c r="H55" s="315">
        <v>8.5099999999999995E-2</v>
      </c>
      <c r="U55" s="72"/>
      <c r="V55" s="72"/>
      <c r="W55" s="72"/>
      <c r="X55" s="72"/>
      <c r="Y55" s="72"/>
    </row>
    <row r="56" spans="1:25">
      <c r="G56" s="283" t="s">
        <v>428</v>
      </c>
      <c r="H56" s="315">
        <v>0.2</v>
      </c>
      <c r="U56" s="72"/>
      <c r="V56" s="72"/>
      <c r="W56" s="72"/>
      <c r="X56" s="72"/>
      <c r="Y56" s="72"/>
    </row>
    <row r="57" spans="1:25">
      <c r="U57" s="72"/>
      <c r="V57" s="72"/>
      <c r="W57" s="72"/>
      <c r="X57" s="72"/>
      <c r="Y57" s="72"/>
    </row>
    <row r="58" spans="1:25">
      <c r="U58" s="72"/>
      <c r="V58" s="72"/>
      <c r="W58" s="72"/>
      <c r="X58" s="72"/>
      <c r="Y58" s="72"/>
    </row>
    <row r="59" spans="1:25">
      <c r="U59" s="72"/>
      <c r="V59" s="72"/>
      <c r="W59" s="72"/>
      <c r="X59" s="72"/>
      <c r="Y59" s="72"/>
    </row>
    <row r="60" spans="1:25">
      <c r="U60" s="72"/>
      <c r="V60" s="72"/>
      <c r="W60" s="72"/>
      <c r="X60" s="72"/>
      <c r="Y60" s="72"/>
    </row>
  </sheetData>
  <mergeCells count="2">
    <mergeCell ref="J19:T19"/>
    <mergeCell ref="A1:L2"/>
  </mergeCells>
  <pageMargins left="0.75" right="0.75" top="1" bottom="1" header="0.5" footer="0.5"/>
  <pageSetup orientation="portrait" horizontalDpi="4294967292" verticalDpi="4294967292"/>
  <headerFooter alignWithMargins="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1"/>
  <sheetViews>
    <sheetView topLeftCell="A36" zoomScale="141" zoomScaleNormal="141" workbookViewId="0">
      <selection activeCell="D40" sqref="D40"/>
    </sheetView>
  </sheetViews>
  <sheetFormatPr defaultColWidth="11" defaultRowHeight="11.4"/>
  <cols>
    <col min="1" max="1" width="28.375" style="292" customWidth="1"/>
    <col min="2" max="2" width="17.375" style="292" customWidth="1"/>
    <col min="3" max="3" width="11" style="292" bestFit="1" customWidth="1"/>
    <col min="4" max="4" width="13.625" style="292" customWidth="1"/>
    <col min="5" max="6" width="11.125" style="292" bestFit="1" customWidth="1"/>
    <col min="7" max="10" width="10.875" style="292"/>
  </cols>
  <sheetData>
    <row r="1" spans="1:10" s="5" customFormat="1" ht="17.399999999999999">
      <c r="A1" s="319" t="s">
        <v>381</v>
      </c>
      <c r="B1" s="319"/>
      <c r="C1" s="319"/>
      <c r="D1" s="319"/>
      <c r="E1" s="319"/>
      <c r="F1" s="319"/>
      <c r="G1" s="319"/>
      <c r="H1" s="319"/>
      <c r="I1" s="319"/>
      <c r="J1" s="319"/>
    </row>
    <row r="2" spans="1:10" s="6" customFormat="1" ht="13.2">
      <c r="A2" s="294" t="s">
        <v>382</v>
      </c>
      <c r="B2" s="294"/>
      <c r="C2" s="294"/>
      <c r="D2" s="294"/>
      <c r="E2" s="294"/>
      <c r="F2" s="294"/>
      <c r="G2" s="294"/>
      <c r="H2" s="294"/>
      <c r="I2" s="294"/>
      <c r="J2" s="294"/>
    </row>
    <row r="3" spans="1:10" s="6" customFormat="1" ht="13.2">
      <c r="A3" s="294" t="s">
        <v>383</v>
      </c>
      <c r="B3" s="294"/>
      <c r="C3" s="294"/>
      <c r="D3" s="294"/>
      <c r="E3" s="294"/>
      <c r="F3" s="294"/>
      <c r="G3" s="294"/>
      <c r="H3" s="294"/>
      <c r="I3" s="294"/>
      <c r="J3" s="294"/>
    </row>
    <row r="4" spans="1:10" s="6" customFormat="1" ht="13.2">
      <c r="A4" s="294"/>
      <c r="B4" s="294"/>
      <c r="C4" s="294"/>
      <c r="D4" s="294"/>
      <c r="E4" s="294"/>
      <c r="F4" s="294"/>
      <c r="G4" s="294"/>
      <c r="H4" s="294"/>
      <c r="I4" s="294"/>
      <c r="J4" s="294"/>
    </row>
    <row r="5" spans="1:10" s="6" customFormat="1" ht="13.2">
      <c r="A5" s="298" t="s">
        <v>4</v>
      </c>
      <c r="B5" s="294"/>
      <c r="C5" s="294"/>
      <c r="D5" s="294"/>
      <c r="E5" s="294"/>
      <c r="F5" s="294"/>
      <c r="G5" s="294"/>
      <c r="H5" s="294"/>
      <c r="I5" s="294"/>
      <c r="J5" s="294"/>
    </row>
    <row r="6" spans="1:10" s="6" customFormat="1" ht="13.2">
      <c r="A6" s="294" t="s">
        <v>384</v>
      </c>
      <c r="B6" s="294"/>
      <c r="C6" s="294"/>
      <c r="D6" s="294"/>
      <c r="E6" s="294"/>
      <c r="F6" s="320">
        <v>3</v>
      </c>
      <c r="G6" s="294" t="s">
        <v>385</v>
      </c>
      <c r="H6" s="294"/>
      <c r="I6" s="294"/>
      <c r="J6" s="294"/>
    </row>
    <row r="7" spans="1:10" s="6" customFormat="1" ht="13.2">
      <c r="A7" s="294" t="s">
        <v>386</v>
      </c>
      <c r="B7" s="294"/>
      <c r="C7" s="294"/>
      <c r="D7" s="294"/>
      <c r="E7" s="294"/>
      <c r="F7" s="321">
        <v>85622</v>
      </c>
      <c r="G7" s="294" t="s">
        <v>387</v>
      </c>
      <c r="H7" s="294"/>
      <c r="I7" s="294"/>
      <c r="J7" s="294"/>
    </row>
    <row r="8" spans="1:10" s="6" customFormat="1" ht="13.2">
      <c r="A8" s="294" t="s">
        <v>388</v>
      </c>
      <c r="B8" s="294"/>
      <c r="C8" s="294"/>
      <c r="D8" s="294"/>
      <c r="E8" s="294"/>
      <c r="F8" s="294"/>
      <c r="G8" s="294"/>
      <c r="H8" s="294"/>
      <c r="I8" s="294"/>
      <c r="J8" s="294"/>
    </row>
    <row r="9" spans="1:10" s="6" customFormat="1" ht="13.2">
      <c r="A9" s="294" t="s">
        <v>389</v>
      </c>
      <c r="B9" s="294"/>
      <c r="C9" s="294"/>
      <c r="D9" s="294"/>
      <c r="E9" s="294"/>
      <c r="F9" s="294"/>
      <c r="G9" s="294"/>
      <c r="H9" s="294"/>
      <c r="I9" s="294"/>
      <c r="J9" s="294"/>
    </row>
    <row r="10" spans="1:10" s="93" customFormat="1" ht="13.2">
      <c r="A10" s="330" t="s">
        <v>108</v>
      </c>
      <c r="B10" s="330" t="s">
        <v>390</v>
      </c>
      <c r="C10" s="323"/>
      <c r="D10" s="323"/>
      <c r="E10" s="323"/>
      <c r="F10" s="323"/>
      <c r="G10" s="323"/>
      <c r="H10" s="323"/>
      <c r="I10" s="323"/>
      <c r="J10" s="324"/>
    </row>
    <row r="11" spans="1:10" s="93" customFormat="1" ht="13.2">
      <c r="A11" s="406">
        <v>-1</v>
      </c>
      <c r="B11" s="407">
        <v>73213</v>
      </c>
      <c r="C11" s="323" t="s">
        <v>977</v>
      </c>
      <c r="D11" s="323"/>
      <c r="E11" s="323"/>
      <c r="F11" s="323"/>
      <c r="G11" s="323"/>
      <c r="H11" s="323"/>
      <c r="I11" s="323"/>
      <c r="J11" s="324"/>
    </row>
    <row r="12" spans="1:10" s="93" customFormat="1" ht="13.2">
      <c r="A12" s="406">
        <f>IF((0-A11)&lt;$F$6,IF(A11&gt;-1,,A11-1),)</f>
        <v>-2</v>
      </c>
      <c r="B12" s="407">
        <v>56052</v>
      </c>
      <c r="C12" s="323" t="s">
        <v>978</v>
      </c>
      <c r="D12" s="323"/>
      <c r="E12" s="323"/>
      <c r="F12" s="323"/>
      <c r="G12" s="323"/>
      <c r="H12" s="323"/>
      <c r="I12" s="323"/>
      <c r="J12" s="324"/>
    </row>
    <row r="13" spans="1:10" s="93" customFormat="1" ht="13.2">
      <c r="A13" s="406">
        <f t="shared" ref="A13:A20" si="0">IF((0-A12)&lt;$F$6,IF(A12&gt;-1,,A12-1),)</f>
        <v>-3</v>
      </c>
      <c r="B13" s="407">
        <v>42740</v>
      </c>
      <c r="C13" s="323"/>
      <c r="D13" s="323"/>
      <c r="E13" s="323"/>
      <c r="F13" s="323"/>
      <c r="G13" s="323"/>
      <c r="H13" s="323"/>
      <c r="I13" s="323"/>
      <c r="J13" s="324"/>
    </row>
    <row r="14" spans="1:10" s="93" customFormat="1" ht="13.2">
      <c r="A14" s="406">
        <f t="shared" si="0"/>
        <v>0</v>
      </c>
      <c r="B14" s="407"/>
      <c r="C14" s="323"/>
      <c r="D14" s="323"/>
      <c r="E14" s="323"/>
      <c r="F14" s="323"/>
      <c r="G14" s="323"/>
      <c r="H14" s="323"/>
      <c r="I14" s="323"/>
      <c r="J14" s="324"/>
    </row>
    <row r="15" spans="1:10" s="93" customFormat="1" ht="13.2">
      <c r="A15" s="406">
        <f t="shared" si="0"/>
        <v>0</v>
      </c>
      <c r="B15" s="407"/>
      <c r="C15" s="323"/>
      <c r="D15" s="323"/>
      <c r="E15" s="323"/>
      <c r="F15" s="323"/>
      <c r="G15" s="323"/>
      <c r="H15" s="323"/>
      <c r="I15" s="323"/>
      <c r="J15" s="324"/>
    </row>
    <row r="16" spans="1:10" s="93" customFormat="1" ht="13.2">
      <c r="A16" s="406">
        <f t="shared" si="0"/>
        <v>0</v>
      </c>
      <c r="B16" s="407"/>
      <c r="C16" s="323"/>
      <c r="D16" s="323"/>
      <c r="E16" s="323"/>
      <c r="F16" s="323"/>
      <c r="G16" s="323"/>
      <c r="H16" s="323"/>
      <c r="I16" s="323"/>
      <c r="J16" s="324"/>
    </row>
    <row r="17" spans="1:10" s="93" customFormat="1" ht="13.2">
      <c r="A17" s="406">
        <f t="shared" si="0"/>
        <v>0</v>
      </c>
      <c r="B17" s="407"/>
      <c r="C17" s="323"/>
      <c r="D17" s="323"/>
      <c r="E17" s="323"/>
      <c r="F17" s="323"/>
      <c r="G17" s="323"/>
      <c r="H17" s="323"/>
      <c r="I17" s="323"/>
      <c r="J17" s="324"/>
    </row>
    <row r="18" spans="1:10" s="93" customFormat="1" ht="13.2">
      <c r="A18" s="406">
        <f t="shared" si="0"/>
        <v>0</v>
      </c>
      <c r="B18" s="407"/>
      <c r="C18" s="323"/>
      <c r="D18" s="323"/>
      <c r="E18" s="323"/>
      <c r="F18" s="323"/>
      <c r="G18" s="323"/>
      <c r="H18" s="323"/>
      <c r="I18" s="323"/>
      <c r="J18" s="324"/>
    </row>
    <row r="19" spans="1:10" s="93" customFormat="1" ht="13.2">
      <c r="A19" s="406">
        <f t="shared" si="0"/>
        <v>0</v>
      </c>
      <c r="B19" s="407"/>
      <c r="C19" s="323"/>
      <c r="D19" s="323"/>
      <c r="E19" s="323"/>
      <c r="F19" s="323"/>
      <c r="G19" s="323"/>
      <c r="H19" s="323"/>
      <c r="I19" s="323"/>
      <c r="J19" s="324"/>
    </row>
    <row r="20" spans="1:10" s="93" customFormat="1" ht="13.2">
      <c r="A20" s="406">
        <f t="shared" si="0"/>
        <v>0</v>
      </c>
      <c r="B20" s="407"/>
      <c r="C20" s="323"/>
      <c r="D20" s="323"/>
      <c r="E20" s="323"/>
      <c r="F20" s="323"/>
      <c r="G20" s="323"/>
      <c r="H20" s="323"/>
      <c r="I20" s="323"/>
      <c r="J20" s="324"/>
    </row>
    <row r="21" spans="1:10" s="93" customFormat="1" ht="13.2">
      <c r="A21" s="323"/>
      <c r="B21" s="323"/>
      <c r="C21" s="323"/>
      <c r="D21" s="323"/>
      <c r="E21" s="323"/>
      <c r="F21" s="323"/>
      <c r="G21" s="323"/>
      <c r="H21" s="323"/>
      <c r="I21" s="323"/>
      <c r="J21" s="324"/>
    </row>
    <row r="22" spans="1:10" s="93" customFormat="1" ht="13.2">
      <c r="A22" s="326" t="s">
        <v>112</v>
      </c>
      <c r="B22" s="323"/>
      <c r="C22" s="323"/>
      <c r="D22" s="323"/>
      <c r="E22" s="323"/>
      <c r="F22" s="323"/>
      <c r="G22" s="323"/>
      <c r="H22" s="323"/>
      <c r="I22" s="323"/>
      <c r="J22" s="324"/>
    </row>
    <row r="23" spans="1:10" s="93" customFormat="1" ht="13.2">
      <c r="A23" s="322" t="s">
        <v>108</v>
      </c>
      <c r="B23" s="322" t="s">
        <v>391</v>
      </c>
      <c r="C23" s="327" t="s">
        <v>392</v>
      </c>
      <c r="D23" s="328"/>
      <c r="E23" s="323" t="s">
        <v>393</v>
      </c>
      <c r="F23" s="323"/>
      <c r="G23" s="323"/>
      <c r="H23" s="323"/>
      <c r="I23" s="323"/>
      <c r="J23" s="324"/>
    </row>
    <row r="24" spans="1:10" s="93" customFormat="1" ht="13.2">
      <c r="A24" s="322" t="s">
        <v>394</v>
      </c>
      <c r="B24" s="322">
        <f>F7</f>
        <v>85622</v>
      </c>
      <c r="C24" s="322">
        <f>1</f>
        <v>1</v>
      </c>
      <c r="D24" s="322">
        <f>B24*C24</f>
        <v>85622</v>
      </c>
      <c r="E24" s="323"/>
      <c r="F24" s="323"/>
      <c r="G24" s="323"/>
      <c r="H24" s="323"/>
      <c r="I24" s="323"/>
      <c r="J24" s="324"/>
    </row>
    <row r="25" spans="1:10" s="93" customFormat="1" ht="13.2">
      <c r="A25" s="325">
        <f>A11</f>
        <v>-1</v>
      </c>
      <c r="B25" s="322">
        <f>B11</f>
        <v>73213</v>
      </c>
      <c r="C25" s="322">
        <f>IF(A25&lt;0,($F$6+A25)/$F$6,0)</f>
        <v>0.66666666666666663</v>
      </c>
      <c r="D25" s="322">
        <f>B25*C25</f>
        <v>48808.666666666664</v>
      </c>
      <c r="E25" s="329">
        <f t="shared" ref="E25:E34" si="1">IF(A25&lt;0,B25/$F$6,0)</f>
        <v>24404.333333333332</v>
      </c>
      <c r="F25" s="323"/>
      <c r="G25" s="323"/>
      <c r="H25" s="323"/>
      <c r="I25" s="323"/>
      <c r="J25" s="324"/>
    </row>
    <row r="26" spans="1:10" s="93" customFormat="1" ht="13.2">
      <c r="A26" s="325">
        <f t="shared" ref="A26:B34" si="2">A12</f>
        <v>-2</v>
      </c>
      <c r="B26" s="322">
        <f t="shared" si="2"/>
        <v>56052</v>
      </c>
      <c r="C26" s="322">
        <f>IF(A26&lt;0,($F$6+A26)/$F$6,0)</f>
        <v>0.33333333333333331</v>
      </c>
      <c r="D26" s="322">
        <f t="shared" ref="D26:D34" si="3">B26*C26</f>
        <v>18684</v>
      </c>
      <c r="E26" s="329">
        <f t="shared" si="1"/>
        <v>18684</v>
      </c>
      <c r="F26" s="323"/>
      <c r="G26" s="323"/>
      <c r="H26" s="323"/>
      <c r="I26" s="323"/>
      <c r="J26" s="324"/>
    </row>
    <row r="27" spans="1:10" s="93" customFormat="1" ht="13.2">
      <c r="A27" s="325">
        <f t="shared" si="2"/>
        <v>-3</v>
      </c>
      <c r="B27" s="322">
        <f t="shared" si="2"/>
        <v>42740</v>
      </c>
      <c r="C27" s="322">
        <f>IF(A27&lt;0,($F$6+A27)/$F$6,0)</f>
        <v>0</v>
      </c>
      <c r="D27" s="322">
        <f t="shared" si="3"/>
        <v>0</v>
      </c>
      <c r="E27" s="329">
        <f t="shared" si="1"/>
        <v>14246.666666666666</v>
      </c>
      <c r="F27" s="323"/>
      <c r="G27" s="323"/>
      <c r="H27" s="323"/>
      <c r="I27" s="323"/>
      <c r="J27" s="324"/>
    </row>
    <row r="28" spans="1:10" s="93" customFormat="1" ht="13.2">
      <c r="A28" s="325">
        <f t="shared" si="2"/>
        <v>0</v>
      </c>
      <c r="B28" s="322">
        <f t="shared" si="2"/>
        <v>0</v>
      </c>
      <c r="C28" s="322">
        <f t="shared" ref="C28:C34" si="4">IF(A28&lt;0,($F$6+A28)/$F$6,0)</f>
        <v>0</v>
      </c>
      <c r="D28" s="322">
        <f t="shared" si="3"/>
        <v>0</v>
      </c>
      <c r="E28" s="329">
        <f t="shared" si="1"/>
        <v>0</v>
      </c>
      <c r="F28" s="323"/>
      <c r="G28" s="323"/>
      <c r="H28" s="323"/>
      <c r="I28" s="323"/>
      <c r="J28" s="324"/>
    </row>
    <row r="29" spans="1:10" s="93" customFormat="1" ht="13.2">
      <c r="A29" s="325">
        <f t="shared" si="2"/>
        <v>0</v>
      </c>
      <c r="B29" s="322">
        <f t="shared" si="2"/>
        <v>0</v>
      </c>
      <c r="C29" s="322">
        <f t="shared" si="4"/>
        <v>0</v>
      </c>
      <c r="D29" s="322">
        <f t="shared" si="3"/>
        <v>0</v>
      </c>
      <c r="E29" s="329">
        <f t="shared" si="1"/>
        <v>0</v>
      </c>
      <c r="F29" s="323"/>
      <c r="G29" s="323"/>
      <c r="H29" s="323"/>
      <c r="I29" s="323"/>
      <c r="J29" s="324"/>
    </row>
    <row r="30" spans="1:10" s="93" customFormat="1" ht="13.2">
      <c r="A30" s="325">
        <f t="shared" si="2"/>
        <v>0</v>
      </c>
      <c r="B30" s="322">
        <f t="shared" si="2"/>
        <v>0</v>
      </c>
      <c r="C30" s="322">
        <f t="shared" si="4"/>
        <v>0</v>
      </c>
      <c r="D30" s="322">
        <f t="shared" si="3"/>
        <v>0</v>
      </c>
      <c r="E30" s="329">
        <f t="shared" si="1"/>
        <v>0</v>
      </c>
      <c r="F30" s="323"/>
      <c r="G30" s="323"/>
      <c r="H30" s="323"/>
      <c r="I30" s="323"/>
      <c r="J30" s="324"/>
    </row>
    <row r="31" spans="1:10" s="93" customFormat="1" ht="13.2">
      <c r="A31" s="325">
        <f t="shared" si="2"/>
        <v>0</v>
      </c>
      <c r="B31" s="322">
        <f t="shared" si="2"/>
        <v>0</v>
      </c>
      <c r="C31" s="322">
        <f t="shared" si="4"/>
        <v>0</v>
      </c>
      <c r="D31" s="322">
        <f t="shared" si="3"/>
        <v>0</v>
      </c>
      <c r="E31" s="329">
        <f t="shared" si="1"/>
        <v>0</v>
      </c>
      <c r="F31" s="323"/>
      <c r="G31" s="323"/>
      <c r="H31" s="323"/>
      <c r="I31" s="323"/>
      <c r="J31" s="324"/>
    </row>
    <row r="32" spans="1:10" s="93" customFormat="1" ht="13.2">
      <c r="A32" s="325">
        <f t="shared" si="2"/>
        <v>0</v>
      </c>
      <c r="B32" s="322">
        <f t="shared" si="2"/>
        <v>0</v>
      </c>
      <c r="C32" s="322">
        <f t="shared" si="4"/>
        <v>0</v>
      </c>
      <c r="D32" s="322">
        <f t="shared" si="3"/>
        <v>0</v>
      </c>
      <c r="E32" s="329">
        <f t="shared" si="1"/>
        <v>0</v>
      </c>
      <c r="F32" s="323"/>
      <c r="G32" s="323"/>
      <c r="H32" s="323"/>
      <c r="I32" s="323"/>
      <c r="J32" s="324"/>
    </row>
    <row r="33" spans="1:10" s="93" customFormat="1" ht="13.2">
      <c r="A33" s="325">
        <f t="shared" si="2"/>
        <v>0</v>
      </c>
      <c r="B33" s="322">
        <f t="shared" si="2"/>
        <v>0</v>
      </c>
      <c r="C33" s="322">
        <f t="shared" si="4"/>
        <v>0</v>
      </c>
      <c r="D33" s="322">
        <f t="shared" si="3"/>
        <v>0</v>
      </c>
      <c r="E33" s="329">
        <f t="shared" si="1"/>
        <v>0</v>
      </c>
      <c r="F33" s="323"/>
      <c r="G33" s="323"/>
      <c r="H33" s="323"/>
      <c r="I33" s="323"/>
      <c r="J33" s="324"/>
    </row>
    <row r="34" spans="1:10" s="93" customFormat="1" ht="16.05" customHeight="1" thickBot="1">
      <c r="A34" s="325">
        <f t="shared" si="2"/>
        <v>0</v>
      </c>
      <c r="B34" s="322">
        <f t="shared" si="2"/>
        <v>0</v>
      </c>
      <c r="C34" s="322">
        <f t="shared" si="4"/>
        <v>0</v>
      </c>
      <c r="D34" s="330">
        <f t="shared" si="3"/>
        <v>0</v>
      </c>
      <c r="E34" s="331">
        <f t="shared" si="1"/>
        <v>0</v>
      </c>
      <c r="F34" s="323"/>
      <c r="G34" s="323"/>
      <c r="H34" s="323"/>
      <c r="I34" s="323"/>
      <c r="J34" s="324"/>
    </row>
    <row r="35" spans="1:10" s="6" customFormat="1" ht="13.8" thickBot="1">
      <c r="A35" s="294" t="s">
        <v>395</v>
      </c>
      <c r="B35" s="294"/>
      <c r="C35" s="294"/>
      <c r="D35" s="332">
        <f>SUM(D24:D34)</f>
        <v>153114.66666666666</v>
      </c>
      <c r="E35" s="332">
        <f>SUM(E25:E34)</f>
        <v>57334.999999999993</v>
      </c>
      <c r="F35" s="294"/>
      <c r="G35" s="294"/>
      <c r="H35" s="294"/>
      <c r="I35" s="294"/>
      <c r="J35" s="294"/>
    </row>
    <row r="36" spans="1:10" ht="12" thickBot="1">
      <c r="D36" s="333"/>
      <c r="E36" s="333"/>
    </row>
    <row r="37" spans="1:10" s="6" customFormat="1" ht="13.8" thickBot="1">
      <c r="A37" s="294" t="s">
        <v>396</v>
      </c>
      <c r="B37" s="294"/>
      <c r="C37" s="294"/>
      <c r="D37" s="332">
        <f>E35</f>
        <v>57334.999999999993</v>
      </c>
      <c r="E37" s="334"/>
      <c r="F37" s="294"/>
      <c r="G37" s="294"/>
      <c r="H37" s="294"/>
      <c r="I37" s="294"/>
      <c r="J37" s="294"/>
    </row>
    <row r="38" spans="1:10" s="6" customFormat="1" ht="13.8" thickBot="1">
      <c r="A38" s="294"/>
      <c r="B38" s="294"/>
      <c r="C38" s="294"/>
      <c r="D38" s="294"/>
      <c r="E38" s="294"/>
      <c r="F38" s="294"/>
      <c r="G38" s="294"/>
      <c r="H38" s="294"/>
      <c r="I38" s="294"/>
      <c r="J38" s="294"/>
    </row>
    <row r="39" spans="1:10" s="6" customFormat="1" ht="13.2">
      <c r="A39" s="294" t="s">
        <v>397</v>
      </c>
      <c r="B39" s="294"/>
      <c r="C39" s="294"/>
      <c r="D39" s="335">
        <f>F7-D37</f>
        <v>28287.000000000007</v>
      </c>
      <c r="E39" s="294" t="s">
        <v>398</v>
      </c>
      <c r="F39" s="294"/>
      <c r="G39" s="294"/>
      <c r="H39" s="294"/>
      <c r="I39" s="294"/>
      <c r="J39" s="294"/>
    </row>
    <row r="40" spans="1:10" ht="13.2">
      <c r="A40" s="292" t="s">
        <v>399</v>
      </c>
      <c r="D40" s="336">
        <f>D39*'Input sheet'!B24</f>
        <v>8486.1000000000022</v>
      </c>
      <c r="E40" s="294"/>
    </row>
    <row r="42" spans="1:10">
      <c r="A42" s="292" t="s">
        <v>906</v>
      </c>
    </row>
    <row r="43" spans="1:10">
      <c r="A43" s="402" t="s">
        <v>86</v>
      </c>
      <c r="B43" s="403" t="s">
        <v>907</v>
      </c>
    </row>
    <row r="44" spans="1:10">
      <c r="A44" s="400" t="s">
        <v>87</v>
      </c>
      <c r="B44" s="401">
        <v>2</v>
      </c>
    </row>
    <row r="45" spans="1:10">
      <c r="A45" s="400" t="s">
        <v>638</v>
      </c>
      <c r="B45" s="401">
        <v>10</v>
      </c>
    </row>
    <row r="46" spans="1:10">
      <c r="A46" s="400" t="s">
        <v>639</v>
      </c>
      <c r="B46" s="401">
        <v>10</v>
      </c>
    </row>
    <row r="47" spans="1:10">
      <c r="A47" s="400" t="s">
        <v>908</v>
      </c>
      <c r="B47" s="401">
        <v>5</v>
      </c>
    </row>
    <row r="48" spans="1:10">
      <c r="A48" s="400" t="s">
        <v>640</v>
      </c>
      <c r="B48" s="401">
        <v>3</v>
      </c>
    </row>
    <row r="49" spans="1:2">
      <c r="A49" s="400" t="s">
        <v>641</v>
      </c>
      <c r="B49" s="401">
        <v>10</v>
      </c>
    </row>
    <row r="50" spans="1:2">
      <c r="A50" s="400" t="s">
        <v>909</v>
      </c>
      <c r="B50" s="401">
        <v>5</v>
      </c>
    </row>
    <row r="51" spans="1:2">
      <c r="A51" s="400" t="s">
        <v>910</v>
      </c>
      <c r="B51" s="401">
        <v>5</v>
      </c>
    </row>
    <row r="52" spans="1:2">
      <c r="A52" s="400" t="s">
        <v>911</v>
      </c>
      <c r="B52" s="401">
        <v>2</v>
      </c>
    </row>
    <row r="53" spans="1:2">
      <c r="A53" s="400" t="s">
        <v>912</v>
      </c>
      <c r="B53" s="401">
        <v>2</v>
      </c>
    </row>
    <row r="54" spans="1:2">
      <c r="A54" s="400" t="s">
        <v>913</v>
      </c>
      <c r="B54" s="401">
        <v>2</v>
      </c>
    </row>
    <row r="55" spans="1:2">
      <c r="A55" s="400" t="s">
        <v>914</v>
      </c>
      <c r="B55" s="401">
        <v>2</v>
      </c>
    </row>
    <row r="56" spans="1:2">
      <c r="A56" s="400" t="s">
        <v>645</v>
      </c>
      <c r="B56" s="401">
        <v>3</v>
      </c>
    </row>
    <row r="57" spans="1:2">
      <c r="A57" s="400" t="s">
        <v>915</v>
      </c>
      <c r="B57" s="401">
        <v>3</v>
      </c>
    </row>
    <row r="58" spans="1:2">
      <c r="A58" s="400" t="s">
        <v>649</v>
      </c>
      <c r="B58" s="401">
        <v>5</v>
      </c>
    </row>
    <row r="59" spans="1:2">
      <c r="A59" s="400" t="s">
        <v>651</v>
      </c>
      <c r="B59" s="401">
        <v>10</v>
      </c>
    </row>
    <row r="60" spans="1:2">
      <c r="A60" s="400" t="s">
        <v>916</v>
      </c>
      <c r="B60" s="401">
        <v>10</v>
      </c>
    </row>
    <row r="61" spans="1:2">
      <c r="A61" s="400" t="s">
        <v>917</v>
      </c>
      <c r="B61" s="401">
        <v>10</v>
      </c>
    </row>
    <row r="62" spans="1:2">
      <c r="A62" s="400" t="s">
        <v>607</v>
      </c>
      <c r="B62" s="401">
        <v>10</v>
      </c>
    </row>
    <row r="63" spans="1:2">
      <c r="A63" s="400" t="s">
        <v>652</v>
      </c>
      <c r="B63" s="401">
        <v>10</v>
      </c>
    </row>
    <row r="64" spans="1:2">
      <c r="A64" s="400" t="s">
        <v>608</v>
      </c>
      <c r="B64" s="401">
        <v>10</v>
      </c>
    </row>
    <row r="65" spans="1:2">
      <c r="A65" s="400" t="s">
        <v>918</v>
      </c>
      <c r="B65" s="401">
        <v>5</v>
      </c>
    </row>
    <row r="66" spans="1:2">
      <c r="A66" s="400" t="s">
        <v>919</v>
      </c>
      <c r="B66" s="401">
        <v>5</v>
      </c>
    </row>
    <row r="67" spans="1:2">
      <c r="A67" s="400" t="s">
        <v>920</v>
      </c>
      <c r="B67" s="401">
        <v>3</v>
      </c>
    </row>
    <row r="68" spans="1:2">
      <c r="A68" s="400" t="s">
        <v>921</v>
      </c>
      <c r="B68" s="401">
        <v>5</v>
      </c>
    </row>
    <row r="69" spans="1:2">
      <c r="A69" s="400" t="s">
        <v>922</v>
      </c>
      <c r="B69" s="401">
        <v>5</v>
      </c>
    </row>
    <row r="70" spans="1:2">
      <c r="A70" s="400" t="s">
        <v>923</v>
      </c>
      <c r="B70" s="401">
        <v>10</v>
      </c>
    </row>
    <row r="71" spans="1:2">
      <c r="A71" s="400" t="s">
        <v>924</v>
      </c>
      <c r="B71" s="401">
        <v>3</v>
      </c>
    </row>
    <row r="72" spans="1:2">
      <c r="A72" s="400" t="s">
        <v>925</v>
      </c>
      <c r="B72" s="401">
        <v>3</v>
      </c>
    </row>
    <row r="73" spans="1:2">
      <c r="A73" s="400" t="s">
        <v>926</v>
      </c>
      <c r="B73" s="401">
        <v>10</v>
      </c>
    </row>
    <row r="74" spans="1:2">
      <c r="A74" s="400" t="s">
        <v>927</v>
      </c>
      <c r="B74" s="401">
        <v>10</v>
      </c>
    </row>
    <row r="75" spans="1:2">
      <c r="A75" s="400" t="s">
        <v>928</v>
      </c>
      <c r="B75" s="401">
        <v>10</v>
      </c>
    </row>
    <row r="76" spans="1:2">
      <c r="A76" s="400" t="s">
        <v>660</v>
      </c>
      <c r="B76" s="401">
        <v>10</v>
      </c>
    </row>
    <row r="77" spans="1:2">
      <c r="A77" s="400" t="s">
        <v>929</v>
      </c>
      <c r="B77" s="401">
        <v>5</v>
      </c>
    </row>
    <row r="78" spans="1:2">
      <c r="A78" s="400" t="s">
        <v>481</v>
      </c>
      <c r="B78" s="401">
        <v>3</v>
      </c>
    </row>
    <row r="79" spans="1:2">
      <c r="A79" s="400" t="s">
        <v>930</v>
      </c>
      <c r="B79" s="401">
        <v>5</v>
      </c>
    </row>
    <row r="80" spans="1:2">
      <c r="A80" s="400" t="s">
        <v>931</v>
      </c>
      <c r="B80" s="401">
        <v>2</v>
      </c>
    </row>
    <row r="81" spans="1:2">
      <c r="A81" s="400" t="s">
        <v>666</v>
      </c>
      <c r="B81" s="401">
        <v>3</v>
      </c>
    </row>
    <row r="82" spans="1:2">
      <c r="A82" s="400" t="s">
        <v>667</v>
      </c>
      <c r="B82" s="401">
        <v>3</v>
      </c>
    </row>
    <row r="83" spans="1:2">
      <c r="A83" s="400" t="s">
        <v>932</v>
      </c>
      <c r="B83" s="401">
        <v>5</v>
      </c>
    </row>
    <row r="84" spans="1:2">
      <c r="A84" s="400" t="s">
        <v>933</v>
      </c>
      <c r="B84" s="401">
        <v>10</v>
      </c>
    </row>
    <row r="85" spans="1:2">
      <c r="A85" s="400" t="s">
        <v>934</v>
      </c>
      <c r="B85" s="401">
        <v>3</v>
      </c>
    </row>
    <row r="86" spans="1:2">
      <c r="A86" s="400" t="s">
        <v>935</v>
      </c>
      <c r="B86" s="401">
        <v>5</v>
      </c>
    </row>
    <row r="87" spans="1:2">
      <c r="A87" s="400" t="s">
        <v>936</v>
      </c>
      <c r="B87" s="401">
        <v>2</v>
      </c>
    </row>
    <row r="88" spans="1:2">
      <c r="A88" s="400" t="s">
        <v>937</v>
      </c>
      <c r="B88" s="401">
        <v>3</v>
      </c>
    </row>
    <row r="89" spans="1:2">
      <c r="A89" s="400" t="s">
        <v>938</v>
      </c>
      <c r="B89" s="401">
        <v>5</v>
      </c>
    </row>
    <row r="90" spans="1:2">
      <c r="A90" s="400" t="s">
        <v>673</v>
      </c>
      <c r="B90" s="401">
        <v>5</v>
      </c>
    </row>
    <row r="91" spans="1:2">
      <c r="A91" s="400" t="s">
        <v>675</v>
      </c>
      <c r="B91" s="401">
        <v>3</v>
      </c>
    </row>
    <row r="92" spans="1:2">
      <c r="A92" s="400" t="s">
        <v>676</v>
      </c>
      <c r="B92" s="401">
        <v>3</v>
      </c>
    </row>
    <row r="93" spans="1:2">
      <c r="A93" s="400" t="s">
        <v>939</v>
      </c>
      <c r="B93" s="401">
        <v>3</v>
      </c>
    </row>
    <row r="94" spans="1:2">
      <c r="A94" s="400" t="s">
        <v>940</v>
      </c>
      <c r="B94" s="401">
        <v>3</v>
      </c>
    </row>
    <row r="95" spans="1:2">
      <c r="A95" s="400" t="s">
        <v>679</v>
      </c>
      <c r="B95" s="401">
        <v>3</v>
      </c>
    </row>
    <row r="96" spans="1:2">
      <c r="A96" s="400" t="s">
        <v>941</v>
      </c>
      <c r="B96" s="401">
        <v>3</v>
      </c>
    </row>
    <row r="97" spans="1:2">
      <c r="A97" s="400" t="s">
        <v>942</v>
      </c>
      <c r="B97" s="401">
        <v>3</v>
      </c>
    </row>
    <row r="98" spans="1:2">
      <c r="A98" s="400" t="s">
        <v>943</v>
      </c>
      <c r="B98" s="401">
        <v>3</v>
      </c>
    </row>
    <row r="99" spans="1:2">
      <c r="A99" s="400" t="s">
        <v>944</v>
      </c>
      <c r="B99" s="401">
        <v>3</v>
      </c>
    </row>
    <row r="100" spans="1:2">
      <c r="A100" s="400" t="s">
        <v>945</v>
      </c>
      <c r="B100" s="401">
        <v>3</v>
      </c>
    </row>
    <row r="101" spans="1:2">
      <c r="A101" s="400" t="s">
        <v>682</v>
      </c>
      <c r="B101" s="401">
        <v>10</v>
      </c>
    </row>
    <row r="102" spans="1:2">
      <c r="A102" s="400" t="s">
        <v>946</v>
      </c>
      <c r="B102" s="401">
        <v>5</v>
      </c>
    </row>
    <row r="103" spans="1:2">
      <c r="A103" s="400" t="s">
        <v>947</v>
      </c>
      <c r="B103" s="401">
        <v>10</v>
      </c>
    </row>
    <row r="104" spans="1:2">
      <c r="A104" s="400" t="s">
        <v>948</v>
      </c>
      <c r="B104" s="401">
        <v>3</v>
      </c>
    </row>
    <row r="105" spans="1:2">
      <c r="A105" s="400" t="s">
        <v>949</v>
      </c>
      <c r="B105" s="401">
        <v>5</v>
      </c>
    </row>
    <row r="106" spans="1:2">
      <c r="A106" s="400" t="s">
        <v>950</v>
      </c>
      <c r="B106" s="401">
        <v>10</v>
      </c>
    </row>
    <row r="107" spans="1:2">
      <c r="A107" s="400" t="s">
        <v>951</v>
      </c>
      <c r="B107" s="401">
        <v>5</v>
      </c>
    </row>
    <row r="108" spans="1:2">
      <c r="A108" s="400" t="s">
        <v>952</v>
      </c>
      <c r="B108" s="401">
        <v>10</v>
      </c>
    </row>
    <row r="109" spans="1:2">
      <c r="A109" s="400" t="s">
        <v>953</v>
      </c>
      <c r="B109" s="401">
        <v>10</v>
      </c>
    </row>
    <row r="110" spans="1:2">
      <c r="A110" s="400" t="s">
        <v>954</v>
      </c>
      <c r="B110" s="401">
        <v>3</v>
      </c>
    </row>
    <row r="111" spans="1:2">
      <c r="A111" s="400" t="s">
        <v>955</v>
      </c>
      <c r="B111" s="401">
        <v>5</v>
      </c>
    </row>
    <row r="112" spans="1:2">
      <c r="A112" s="400" t="s">
        <v>956</v>
      </c>
      <c r="B112" s="401">
        <v>5</v>
      </c>
    </row>
    <row r="113" spans="1:2">
      <c r="A113" s="400" t="s">
        <v>687</v>
      </c>
      <c r="B113" s="401">
        <v>5</v>
      </c>
    </row>
    <row r="114" spans="1:2">
      <c r="A114" s="400" t="s">
        <v>957</v>
      </c>
      <c r="B114" s="401">
        <v>10</v>
      </c>
    </row>
    <row r="115" spans="1:2">
      <c r="A115" s="400" t="s">
        <v>958</v>
      </c>
      <c r="B115" s="401">
        <v>5</v>
      </c>
    </row>
    <row r="116" spans="1:2">
      <c r="A116" s="400" t="s">
        <v>959</v>
      </c>
      <c r="B116" s="401">
        <v>5</v>
      </c>
    </row>
    <row r="117" spans="1:2">
      <c r="A117" s="400" t="s">
        <v>960</v>
      </c>
      <c r="B117" s="401">
        <v>5</v>
      </c>
    </row>
    <row r="118" spans="1:2">
      <c r="A118" s="400" t="s">
        <v>961</v>
      </c>
      <c r="B118" s="401">
        <v>3</v>
      </c>
    </row>
    <row r="119" spans="1:2">
      <c r="A119" s="400" t="s">
        <v>692</v>
      </c>
      <c r="B119" s="401">
        <v>3</v>
      </c>
    </row>
    <row r="120" spans="1:2">
      <c r="A120" s="400" t="s">
        <v>962</v>
      </c>
      <c r="B120" s="401">
        <v>5</v>
      </c>
    </row>
    <row r="121" spans="1:2">
      <c r="A121" s="400" t="s">
        <v>696</v>
      </c>
      <c r="B121" s="401">
        <v>5</v>
      </c>
    </row>
    <row r="122" spans="1:2">
      <c r="A122" s="400" t="s">
        <v>963</v>
      </c>
      <c r="B122" s="401">
        <v>2</v>
      </c>
    </row>
    <row r="123" spans="1:2">
      <c r="A123" s="400" t="s">
        <v>703</v>
      </c>
      <c r="B123" s="401">
        <v>2</v>
      </c>
    </row>
    <row r="124" spans="1:2">
      <c r="A124" s="400" t="s">
        <v>964</v>
      </c>
      <c r="B124" s="401">
        <v>2</v>
      </c>
    </row>
    <row r="125" spans="1:2">
      <c r="A125" s="400" t="s">
        <v>965</v>
      </c>
      <c r="B125" s="401">
        <v>2</v>
      </c>
    </row>
    <row r="126" spans="1:2">
      <c r="A126" s="400" t="s">
        <v>966</v>
      </c>
      <c r="B126" s="401">
        <v>2</v>
      </c>
    </row>
    <row r="127" spans="1:2">
      <c r="A127" s="400" t="s">
        <v>705</v>
      </c>
      <c r="B127" s="401">
        <v>5</v>
      </c>
    </row>
    <row r="128" spans="1:2">
      <c r="A128" s="400" t="s">
        <v>967</v>
      </c>
      <c r="B128" s="401">
        <v>5</v>
      </c>
    </row>
    <row r="129" spans="1:2">
      <c r="A129" s="400" t="s">
        <v>708</v>
      </c>
      <c r="B129" s="401">
        <v>3</v>
      </c>
    </row>
    <row r="130" spans="1:2">
      <c r="A130" s="400" t="s">
        <v>968</v>
      </c>
      <c r="B130" s="401">
        <v>5</v>
      </c>
    </row>
    <row r="131" spans="1:2">
      <c r="A131" s="400" t="s">
        <v>969</v>
      </c>
      <c r="B131" s="401">
        <v>5</v>
      </c>
    </row>
    <row r="132" spans="1:2">
      <c r="A132" s="400" t="s">
        <v>714</v>
      </c>
      <c r="B132" s="401">
        <v>10</v>
      </c>
    </row>
    <row r="133" spans="1:2">
      <c r="A133" s="400" t="s">
        <v>715</v>
      </c>
      <c r="B133" s="401">
        <v>5</v>
      </c>
    </row>
    <row r="134" spans="1:2">
      <c r="A134" s="400" t="s">
        <v>970</v>
      </c>
      <c r="B134" s="401">
        <v>5</v>
      </c>
    </row>
    <row r="135" spans="1:2">
      <c r="A135" s="400" t="s">
        <v>971</v>
      </c>
      <c r="B135" s="401">
        <v>2</v>
      </c>
    </row>
    <row r="136" spans="1:2">
      <c r="A136" s="400" t="s">
        <v>972</v>
      </c>
      <c r="B136" s="401">
        <v>5</v>
      </c>
    </row>
    <row r="137" spans="1:2">
      <c r="A137" s="400" t="s">
        <v>716</v>
      </c>
      <c r="B137" s="401">
        <v>5</v>
      </c>
    </row>
    <row r="138" spans="1:2">
      <c r="A138" s="400" t="s">
        <v>973</v>
      </c>
      <c r="B138" s="401">
        <v>3</v>
      </c>
    </row>
    <row r="139" spans="1:2">
      <c r="A139" s="400" t="s">
        <v>974</v>
      </c>
      <c r="B139" s="401">
        <v>5</v>
      </c>
    </row>
    <row r="140" spans="1:2">
      <c r="A140" s="400" t="s">
        <v>975</v>
      </c>
      <c r="B140" s="401">
        <v>10</v>
      </c>
    </row>
    <row r="141" spans="1:2">
      <c r="A141" s="404" t="s">
        <v>976</v>
      </c>
      <c r="B141" s="405">
        <v>10</v>
      </c>
    </row>
  </sheetData>
  <conditionalFormatting sqref="B11:B20">
    <cfRule type="cellIs" dxfId="0" priority="1" stopIfTrue="1" operator="equal">
      <formula>0</formula>
    </cfRule>
  </conditionalFormatting>
  <pageMargins left="0.75" right="0.75" top="1" bottom="1" header="0.5" footer="0.5"/>
  <headerFooter alignWithMargins="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Stories to Numbers</vt:lpstr>
      <vt:lpstr>Input sheet</vt:lpstr>
      <vt:lpstr>Sheet1</vt:lpstr>
      <vt:lpstr>Valuation output</vt:lpstr>
      <vt:lpstr>Valuation as picture</vt:lpstr>
      <vt:lpstr>Diagnostics</vt:lpstr>
      <vt:lpstr>Option value</vt:lpstr>
      <vt:lpstr>Synthetic rating</vt:lpstr>
      <vt:lpstr>R&amp; D converter</vt:lpstr>
      <vt:lpstr>Operating lease converter</vt:lpstr>
      <vt:lpstr>Cost of capital worksheet</vt:lpstr>
      <vt:lpstr>Failure Rate worksheet</vt:lpstr>
      <vt:lpstr>Country equity risk premiums</vt:lpstr>
      <vt:lpstr>Industry Averages(US)</vt:lpstr>
      <vt:lpstr>Industry Average Beta (Global)</vt:lpstr>
      <vt:lpstr>Input Stat Distributioons</vt:lpstr>
      <vt:lpstr>Trailing 12 month Worskheet</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C P FAIZ</cp:lastModifiedBy>
  <cp:lastPrinted>2011-01-17T15:04:26Z</cp:lastPrinted>
  <dcterms:created xsi:type="dcterms:W3CDTF">2000-02-22T13:53:50Z</dcterms:created>
  <dcterms:modified xsi:type="dcterms:W3CDTF">2024-10-06T06:20:55Z</dcterms:modified>
</cp:coreProperties>
</file>