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trw1-my.sharepoint.com/personal/pinhan_chen2_zf_com/Documents/Documents/Python_projects/minitab/"/>
    </mc:Choice>
  </mc:AlternateContent>
  <xr:revisionPtr revIDLastSave="2" documentId="8_{0C43CF6C-951F-4C99-95DF-70B4DAFB6B2D}" xr6:coauthVersionLast="47" xr6:coauthVersionMax="47" xr10:uidLastSave="{6BA6B3E7-FD0E-4D26-8736-254C5661C301}"/>
  <bookViews>
    <workbookView xWindow="-90" yWindow="-90" windowWidth="19380" windowHeight="10260" tabRatio="686" activeTab="5" xr2:uid="{951BE81E-92E2-42DD-8981-6F50081DAFB9}"/>
  </bookViews>
  <sheets>
    <sheet name="项目经费支出科目明细表" sheetId="10" r:id="rId1"/>
    <sheet name="研发设计费" sheetId="5" r:id="rId2"/>
    <sheet name="项目差旅费" sheetId="11" r:id="rId3"/>
    <sheet name="研发设计工时" sheetId="12" r:id="rId4"/>
    <sheet name="原始需求" sheetId="1" r:id="rId5"/>
    <sheet name="分工" sheetId="13" r:id="rId6"/>
    <sheet name="Sheet2" sheetId="14" r:id="rId7"/>
  </sheets>
  <definedNames>
    <definedName name="_xlnm._FilterDatabase" localSheetId="5" hidden="1">分工!$A$1:$L$36</definedName>
    <definedName name="_xlnm._FilterDatabase" localSheetId="4" hidden="1">原始需求!$A$1:$L$36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4" l="1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2" i="14"/>
  <c r="R2" i="14"/>
  <c r="Q2" i="14"/>
  <c r="P2" i="14"/>
  <c r="M2" i="14"/>
  <c r="L2" i="14"/>
  <c r="K2" i="14"/>
  <c r="I2" i="14"/>
  <c r="C4" i="14"/>
  <c r="C5" i="14"/>
  <c r="C6" i="14"/>
  <c r="C7" i="14"/>
  <c r="C8" i="14"/>
  <c r="C9" i="14"/>
  <c r="C10" i="14"/>
  <c r="C11" i="14"/>
  <c r="C12" i="14"/>
  <c r="C13" i="14"/>
  <c r="C14" i="14"/>
  <c r="C3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2" i="14"/>
  <c r="D4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2" i="14"/>
  <c r="D3" i="14"/>
  <c r="D2" i="14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I6" i="13"/>
  <c r="D11" i="10"/>
  <c r="E11" i="10" s="1"/>
  <c r="D10" i="10"/>
  <c r="J16" i="1"/>
  <c r="I6" i="1"/>
  <c r="J32" i="1"/>
  <c r="J30" i="1"/>
  <c r="J31" i="1"/>
  <c r="M3" i="5"/>
  <c r="J4" i="11"/>
  <c r="L4" i="11" s="1"/>
  <c r="J5" i="11"/>
  <c r="L5" i="11" s="1"/>
  <c r="J3" i="11"/>
  <c r="L3" i="11" s="1"/>
  <c r="I4" i="11"/>
  <c r="I5" i="11"/>
  <c r="I3" i="11"/>
  <c r="F4" i="11"/>
  <c r="F5" i="11"/>
  <c r="F3" i="11"/>
  <c r="J29" i="1"/>
  <c r="J28" i="1"/>
  <c r="J26" i="1"/>
  <c r="J25" i="1"/>
  <c r="J23" i="1"/>
  <c r="J22" i="1"/>
  <c r="J21" i="1"/>
  <c r="J11" i="1"/>
  <c r="J10" i="1"/>
  <c r="J24" i="1"/>
  <c r="J9" i="1"/>
  <c r="J27" i="1"/>
  <c r="J20" i="1"/>
  <c r="J19" i="1"/>
  <c r="J18" i="1"/>
  <c r="J17" i="1"/>
  <c r="J15" i="1"/>
  <c r="J14" i="1"/>
  <c r="J13" i="1"/>
  <c r="J12" i="1"/>
  <c r="D5" i="5"/>
  <c r="D3" i="5"/>
  <c r="D4" i="5"/>
  <c r="E3" i="5" l="1"/>
  <c r="G3" i="5" s="1"/>
  <c r="E4" i="5"/>
  <c r="G4" i="5" s="1"/>
  <c r="E5" i="5"/>
  <c r="G5" i="5" s="1"/>
  <c r="M5" i="11"/>
  <c r="M3" i="11"/>
  <c r="M4" i="11"/>
  <c r="M6" i="11" s="1"/>
  <c r="D8" i="10" s="1"/>
  <c r="H3" i="5" l="1"/>
  <c r="D13" i="10" s="1"/>
  <c r="D15" i="10" s="1"/>
  <c r="E6" i="10" l="1"/>
  <c r="E9" i="10"/>
  <c r="E12" i="10"/>
  <c r="E13" i="10"/>
  <c r="E14" i="10"/>
  <c r="E10" i="10"/>
  <c r="E4" i="10"/>
  <c r="E5" i="10"/>
  <c r="E7" i="10"/>
  <c r="E8" i="10"/>
  <c r="E15" i="10" l="1"/>
</calcChain>
</file>

<file path=xl/sharedStrings.xml><?xml version="1.0" encoding="utf-8"?>
<sst xmlns="http://schemas.openxmlformats.org/spreadsheetml/2006/main" count="607" uniqueCount="200">
  <si>
    <t xml:space="preserve">Menu </t>
  </si>
  <si>
    <t>Function</t>
  </si>
  <si>
    <t>Status</t>
  </si>
  <si>
    <t>Priority</t>
  </si>
  <si>
    <t>Working area</t>
  </si>
  <si>
    <t>Basic data frame</t>
  </si>
  <si>
    <t>High</t>
  </si>
  <si>
    <t>File</t>
  </si>
  <si>
    <t>New</t>
  </si>
  <si>
    <t>Low</t>
  </si>
  <si>
    <t>Save</t>
  </si>
  <si>
    <t>Quit</t>
  </si>
  <si>
    <t>Random number</t>
  </si>
  <si>
    <t>Medium</t>
  </si>
  <si>
    <t>Plot</t>
  </si>
  <si>
    <t>Box Plot</t>
  </si>
  <si>
    <t>Probability Plot</t>
  </si>
  <si>
    <t>Statistic</t>
  </si>
  <si>
    <t>ANOVA</t>
  </si>
  <si>
    <t>DOE</t>
  </si>
  <si>
    <t>Full Factorial</t>
  </si>
  <si>
    <t>Quality Tool</t>
  </si>
  <si>
    <t>X-Bar R Chart</t>
  </si>
  <si>
    <t>View</t>
  </si>
  <si>
    <t>Fullscreen</t>
  </si>
  <si>
    <t>Setting</t>
  </si>
  <si>
    <t>Perference</t>
  </si>
  <si>
    <t>Help</t>
  </si>
  <si>
    <t>Search</t>
  </si>
  <si>
    <r>
      <rPr>
        <sz val="10"/>
        <color rgb="FF00B050"/>
        <rFont val="宋体"/>
        <family val="3"/>
        <charset val="134"/>
      </rPr>
      <t>已完成</t>
    </r>
  </si>
  <si>
    <r>
      <rPr>
        <sz val="10"/>
        <color rgb="FF9C0006"/>
        <rFont val="宋体"/>
        <family val="3"/>
        <charset val="134"/>
      </rPr>
      <t>未完成</t>
    </r>
  </si>
  <si>
    <r>
      <rPr>
        <sz val="10.5"/>
        <color rgb="FF000000"/>
        <rFont val="宋体"/>
        <family val="3"/>
        <charset val="134"/>
      </rPr>
      <t>需要定义数据文件的格式，导入导出方法</t>
    </r>
  </si>
  <si>
    <r>
      <rPr>
        <sz val="10"/>
        <color rgb="FFFFC000"/>
        <rFont val="宋体"/>
        <family val="3"/>
        <charset val="134"/>
      </rPr>
      <t>部分完成</t>
    </r>
  </si>
  <si>
    <r>
      <rPr>
        <sz val="10.5"/>
        <color rgb="FF000000"/>
        <rFont val="宋体"/>
        <family val="3"/>
        <charset val="134"/>
      </rPr>
      <t>需确认需要做哪些设置。</t>
    </r>
  </si>
  <si>
    <r>
      <rPr>
        <sz val="10.5"/>
        <color rgb="FF000000"/>
        <rFont val="宋体"/>
        <family val="3"/>
        <charset val="134"/>
      </rPr>
      <t>暂定，可不做。</t>
    </r>
  </si>
  <si>
    <t>Graph display</t>
    <phoneticPr fontId="2" type="noConversion"/>
  </si>
  <si>
    <t>已完成工作表设计，实现了将第一行数据设为表头标题，后续单元格中数据会自动向上一行</t>
    <phoneticPr fontId="2" type="noConversion"/>
  </si>
  <si>
    <t>有空格的数据，不会自动向上挪一行</t>
    <phoneticPr fontId="2" type="noConversion"/>
  </si>
  <si>
    <t>Simple data manipulation</t>
    <phoneticPr fontId="2" type="noConversion"/>
  </si>
  <si>
    <t>Data display</t>
    <phoneticPr fontId="2" type="noConversion"/>
  </si>
  <si>
    <t>Result Display</t>
    <phoneticPr fontId="2" type="noConversion"/>
  </si>
  <si>
    <t>未开始</t>
    <phoneticPr fontId="2" type="noConversion"/>
  </si>
  <si>
    <t>图形显示在单独的窗口，可保存</t>
    <phoneticPr fontId="2" type="noConversion"/>
  </si>
  <si>
    <r>
      <t>1.</t>
    </r>
    <r>
      <rPr>
        <sz val="11"/>
        <color theme="1"/>
        <rFont val="宋体"/>
        <family val="2"/>
        <charset val="134"/>
      </rPr>
      <t>如何下次打开软件，之前的图形/数据结果仍然存在
2.如何创建导航，能够达到双击对应的分析标题，显示分析的结果</t>
    </r>
    <phoneticPr fontId="2" type="noConversion"/>
  </si>
  <si>
    <t>已实现复制，粘贴，全选，清除的功能</t>
    <phoneticPr fontId="2" type="noConversion"/>
  </si>
  <si>
    <t>数据类型分类，数据转置、堆叠、拆分、排序等功能需进一步开发</t>
    <phoneticPr fontId="2" type="noConversion"/>
  </si>
  <si>
    <t>需求/问题</t>
    <phoneticPr fontId="2" type="noConversion"/>
  </si>
  <si>
    <t>还未开始设计</t>
    <phoneticPr fontId="2" type="noConversion"/>
  </si>
  <si>
    <t>可与图形和数据分析结果的保存一起考虑</t>
    <phoneticPr fontId="2" type="noConversion"/>
  </si>
  <si>
    <r>
      <rPr>
        <sz val="11"/>
        <color theme="1"/>
        <rFont val="宋体"/>
        <family val="2"/>
        <charset val="134"/>
      </rPr>
      <t>可随机生成指定数量和分布特征的数据，常用分布为：正态，对数正态，威布尔分布，</t>
    </r>
    <r>
      <rPr>
        <sz val="11"/>
        <color theme="1"/>
        <rFont val="Tahoma"/>
        <family val="2"/>
      </rPr>
      <t>F</t>
    </r>
    <r>
      <rPr>
        <sz val="11"/>
        <color theme="1"/>
        <rFont val="宋体"/>
        <family val="2"/>
        <charset val="134"/>
      </rPr>
      <t>分布，</t>
    </r>
    <r>
      <rPr>
        <sz val="11"/>
        <color theme="1"/>
        <rFont val="Tahoma"/>
        <family val="2"/>
      </rPr>
      <t>T</t>
    </r>
    <r>
      <rPr>
        <sz val="11"/>
        <color theme="1"/>
        <rFont val="宋体"/>
        <family val="2"/>
        <charset val="134"/>
      </rPr>
      <t>分布，二项分布，泊松分布，指数分布</t>
    </r>
    <phoneticPr fontId="2" type="noConversion"/>
  </si>
  <si>
    <t>已完成，单组和多组</t>
    <phoneticPr fontId="2" type="noConversion"/>
  </si>
  <si>
    <t>暂无问题</t>
    <phoneticPr fontId="2" type="noConversion"/>
  </si>
  <si>
    <t>前端已完成，后端待更新</t>
    <phoneticPr fontId="2" type="noConversion"/>
  </si>
  <si>
    <t>已完成，目前组距=(最大值-最小值)/10</t>
    <phoneticPr fontId="2" type="noConversion"/>
  </si>
  <si>
    <t>如何根据数据本身，定义最优组距</t>
    <phoneticPr fontId="2" type="noConversion"/>
  </si>
  <si>
    <t>已完成，实现了对原始数据和汇总数据的制图</t>
    <phoneticPr fontId="2" type="noConversion"/>
  </si>
  <si>
    <t>已完成，实现了单独分类数据的对比，也可以根据描述进行分层级的图形展示</t>
    <phoneticPr fontId="2" type="noConversion"/>
  </si>
  <si>
    <t>需要研究背后统计逻辑，进行图形化和数据结果的展示</t>
    <phoneticPr fontId="2" type="noConversion"/>
  </si>
  <si>
    <t>Multiple Regression</t>
    <phoneticPr fontId="2" type="noConversion"/>
  </si>
  <si>
    <t>已完成</t>
    <phoneticPr fontId="2" type="noConversion"/>
  </si>
  <si>
    <t>待定</t>
    <phoneticPr fontId="2" type="noConversion"/>
  </si>
  <si>
    <t>1.生成试验矩阵
2.根据矩阵进行数据分析，需要研究背后统计逻辑，进行图形化和数据结果的展示</t>
    <phoneticPr fontId="2" type="noConversion"/>
  </si>
  <si>
    <t>Partial Factorial</t>
    <phoneticPr fontId="2" type="noConversion"/>
  </si>
  <si>
    <t>Paired T Test</t>
    <phoneticPr fontId="2" type="noConversion"/>
  </si>
  <si>
    <r>
      <t>Minitab</t>
    </r>
    <r>
      <rPr>
        <sz val="11"/>
        <color theme="1"/>
        <rFont val="宋体"/>
        <family val="2"/>
        <charset val="134"/>
      </rPr>
      <t>使用项目文件（如</t>
    </r>
    <r>
      <rPr>
        <sz val="11"/>
        <color theme="1"/>
        <rFont val="Tahoma"/>
        <family val="2"/>
      </rPr>
      <t>.mpx</t>
    </r>
    <r>
      <rPr>
        <sz val="11"/>
        <color theme="1"/>
        <rFont val="宋体"/>
        <family val="2"/>
        <charset val="134"/>
      </rPr>
      <t>或</t>
    </r>
    <r>
      <rPr>
        <sz val="11"/>
        <color theme="1"/>
        <rFont val="Tahoma"/>
        <family val="2"/>
      </rPr>
      <t>.MTW</t>
    </r>
    <r>
      <rPr>
        <sz val="11"/>
        <color theme="1"/>
        <rFont val="宋体"/>
        <family val="2"/>
        <charset val="134"/>
      </rPr>
      <t>）来存储用户的数据、分析和结果。这个文件包含了所有的会话信息、命令历史、工作表数据和图形等。</t>
    </r>
    <r>
      <rPr>
        <sz val="11"/>
        <color theme="1"/>
        <rFont val="Tahoma"/>
        <family val="2"/>
      </rPr>
      <t xml:space="preserve">
</t>
    </r>
    <r>
      <rPr>
        <sz val="11"/>
        <color theme="1"/>
        <rFont val="宋体"/>
        <family val="2"/>
        <charset val="134"/>
      </rPr>
      <t>内部索引：在项目文件中，</t>
    </r>
    <r>
      <rPr>
        <sz val="11"/>
        <color theme="1"/>
        <rFont val="Tahoma"/>
        <family val="2"/>
      </rPr>
      <t>Minitab</t>
    </r>
    <r>
      <rPr>
        <sz val="11"/>
        <color theme="1"/>
        <rFont val="宋体"/>
        <family val="2"/>
        <charset val="134"/>
      </rPr>
      <t>可能使用了一种内部索引机制来快速定位和分析各个部分。这种索引可能基于命令的</t>
    </r>
    <r>
      <rPr>
        <sz val="11"/>
        <color theme="1"/>
        <rFont val="Tahoma"/>
        <family val="2"/>
      </rPr>
      <t>ID</t>
    </r>
    <r>
      <rPr>
        <sz val="11"/>
        <color theme="1"/>
        <rFont val="宋体"/>
        <family val="2"/>
        <charset val="134"/>
      </rPr>
      <t>、名称或位置等信息。</t>
    </r>
    <phoneticPr fontId="2" type="noConversion"/>
  </si>
  <si>
    <t>异常处理和信息提示功能</t>
    <phoneticPr fontId="2" type="noConversion"/>
  </si>
  <si>
    <t>组件参数序列化存储到文件中，打开时逆序列化，存储为特殊命名格式文件
修改注册表，点击文件时通过安装工具打开。工具读取存储的文件信息，并展示项目信息。</t>
    <phoneticPr fontId="2" type="noConversion"/>
  </si>
  <si>
    <t>数据生成函数。Python底层库有，需要验证参数与minitab是否一致。</t>
    <phoneticPr fontId="2" type="noConversion"/>
  </si>
  <si>
    <r>
      <t>python</t>
    </r>
    <r>
      <rPr>
        <sz val="11"/>
        <color theme="1"/>
        <rFont val="宋体"/>
        <family val="2"/>
        <charset val="134"/>
      </rPr>
      <t>有一部分自带的拟合方法，需要验证</t>
    </r>
    <phoneticPr fontId="2" type="noConversion"/>
  </si>
  <si>
    <t>1 Sample T Test</t>
    <phoneticPr fontId="2" type="noConversion"/>
  </si>
  <si>
    <t>梅宇</t>
    <phoneticPr fontId="2" type="noConversion"/>
  </si>
  <si>
    <t>Formula</t>
    <phoneticPr fontId="2" type="noConversion"/>
  </si>
  <si>
    <t>彭彬</t>
    <phoneticPr fontId="2" type="noConversion"/>
  </si>
  <si>
    <t>张毅</t>
    <phoneticPr fontId="2" type="noConversion"/>
  </si>
  <si>
    <t>2 Sample T Test</t>
    <phoneticPr fontId="2" type="noConversion"/>
  </si>
  <si>
    <t>Normal</t>
    <phoneticPr fontId="2" type="noConversion"/>
  </si>
  <si>
    <t>人员</t>
    <phoneticPr fontId="2" type="noConversion"/>
  </si>
  <si>
    <t>Scatter Plot</t>
    <phoneticPr fontId="2" type="noConversion"/>
  </si>
  <si>
    <t>Histogram</t>
    <phoneticPr fontId="2" type="noConversion"/>
  </si>
  <si>
    <t>Pareto Chart</t>
    <phoneticPr fontId="2" type="noConversion"/>
  </si>
  <si>
    <t>2 Variances Test</t>
    <phoneticPr fontId="2" type="noConversion"/>
  </si>
  <si>
    <t>Chi-SQ Test</t>
    <phoneticPr fontId="2" type="noConversion"/>
  </si>
  <si>
    <t>Simple Linear Regression</t>
    <phoneticPr fontId="2" type="noConversion"/>
  </si>
  <si>
    <t>Gage R&amp;R</t>
    <phoneticPr fontId="2" type="noConversion"/>
  </si>
  <si>
    <t>KAPPA</t>
    <phoneticPr fontId="2" type="noConversion"/>
  </si>
  <si>
    <t>Process Capability Analysis</t>
    <phoneticPr fontId="2" type="noConversion"/>
  </si>
  <si>
    <t>Control Chart</t>
    <phoneticPr fontId="2" type="noConversion"/>
  </si>
  <si>
    <t>I-MR Chart</t>
    <phoneticPr fontId="2" type="noConversion"/>
  </si>
  <si>
    <t>等价校验，方差、平均值、P、T值、置信区间、自由度</t>
    <phoneticPr fontId="2" type="noConversion"/>
  </si>
  <si>
    <r>
      <rPr>
        <sz val="10"/>
        <color theme="1"/>
        <rFont val="宋体"/>
        <family val="3"/>
        <charset val="134"/>
      </rPr>
      <t>未完成</t>
    </r>
  </si>
  <si>
    <r>
      <t xml:space="preserve">等价校验。配对差值的估计值
均值	标准差	均值标准误	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宋体"/>
        <family val="2"/>
        <charset val="134"/>
      </rPr>
      <t>_差 的 95% 置信区间</t>
    </r>
    <phoneticPr fontId="2" type="noConversion"/>
  </si>
  <si>
    <t>DOE（Design of Experiments，实验设计）
部分因子设计，Partial Factorial（部分因子设计）是实验设计中的一种方法，用于在存在多个变量（或因子）时，通过选择性地测试这些变量的不同组合，来评估它们对因变量的影响。这种设计方法的主要目的是在保持实验复杂性和成本可控的同时，获得尽可能多的信息。</t>
    <phoneticPr fontId="2" type="noConversion"/>
  </si>
  <si>
    <t>Type I Gage Study</t>
    <phoneticPr fontId="2" type="noConversion"/>
  </si>
  <si>
    <t>设计量具实验表</t>
    <phoneticPr fontId="2" type="noConversion"/>
  </si>
  <si>
    <t>回归-拟合回归模型</t>
    <phoneticPr fontId="2" type="noConversion"/>
  </si>
  <si>
    <t>拟合线图。拟合线性模型、二次模型或立方模型。拟合线图显示数据的散点图，该图用回归线表示回归方程</t>
    <phoneticPr fontId="2" type="noConversion"/>
  </si>
  <si>
    <t>需求细化</t>
    <phoneticPr fontId="2" type="noConversion"/>
  </si>
  <si>
    <t>Time Series Plot</t>
    <phoneticPr fontId="2" type="noConversion"/>
  </si>
  <si>
    <t>阅读代码、集成、调试。
平滑器实现，单组、多组功能实现复杂。界面操作较多。
时序图</t>
    <phoneticPr fontId="2" type="noConversion"/>
  </si>
  <si>
    <t>阅读代码、集成、调试。直方图
简单、含组、包含拟合、包含拟合和组。平滑器。
频率、百分比、密度</t>
    <phoneticPr fontId="2" type="noConversion"/>
  </si>
  <si>
    <t>简单、含组、包含回归、包含回归（二次、三次拟合）、包含回归和组、包含连线、包含连线和组。平滑器
散点图</t>
    <phoneticPr fontId="2" type="noConversion"/>
  </si>
  <si>
    <t>阅读代码、集成、调试。帕累托图
质量工具 &gt; Pareto 图</t>
    <phoneticPr fontId="2" type="noConversion"/>
  </si>
  <si>
    <t>Individual Plot</t>
    <phoneticPr fontId="2" type="noConversion"/>
  </si>
  <si>
    <t>阅读代码、集成、调试。单值图</t>
    <phoneticPr fontId="2" type="noConversion"/>
  </si>
  <si>
    <t>阅读代码、集成、调试。箱线图</t>
    <phoneticPr fontId="2" type="noConversion"/>
  </si>
  <si>
    <r>
      <rPr>
        <b/>
        <sz val="10.5"/>
        <color rgb="FF000000"/>
        <rFont val="宋体"/>
        <family val="3"/>
        <charset val="134"/>
      </rPr>
      <t>目前状态</t>
    </r>
    <phoneticPr fontId="2" type="noConversion"/>
  </si>
  <si>
    <t>前端人力（工时）</t>
    <phoneticPr fontId="2" type="noConversion"/>
  </si>
  <si>
    <t>算法人力（工时）</t>
    <phoneticPr fontId="2" type="noConversion"/>
  </si>
  <si>
    <t>基本统计量、偏倚、能力。质量工具-&gt;量具研究</t>
    <phoneticPr fontId="2" type="noConversion"/>
  </si>
  <si>
    <t>质量工具-&gt;量具研究-&gt;属性一致性分析</t>
    <phoneticPr fontId="2" type="noConversion"/>
  </si>
  <si>
    <r>
      <rPr>
        <sz val="11"/>
        <color theme="1"/>
        <rFont val="宋体"/>
        <family val="2"/>
        <charset val="134"/>
      </rPr>
      <t>控制图-&gt;单变量控制图-</t>
    </r>
    <r>
      <rPr>
        <sz val="11"/>
        <color theme="1"/>
        <rFont val="Tahoma"/>
        <family val="2"/>
      </rPr>
      <t>I-MR chart</t>
    </r>
    <phoneticPr fontId="2" type="noConversion"/>
  </si>
  <si>
    <r>
      <rPr>
        <sz val="11"/>
        <color theme="1"/>
        <rFont val="宋体"/>
        <family val="2"/>
        <charset val="134"/>
      </rPr>
      <t>控制图</t>
    </r>
    <r>
      <rPr>
        <sz val="11"/>
        <color theme="1"/>
        <rFont val="Tahoma"/>
        <family val="2"/>
      </rPr>
      <t>-&gt;</t>
    </r>
    <r>
      <rPr>
        <sz val="11"/>
        <color theme="1"/>
        <rFont val="宋体"/>
        <family val="2"/>
        <charset val="134"/>
      </rPr>
      <t>子组的变量控制图-</t>
    </r>
    <r>
      <rPr>
        <sz val="11"/>
        <color theme="1"/>
        <rFont val="Tahoma"/>
        <family val="2"/>
      </rPr>
      <t>X-bar r chart</t>
    </r>
    <phoneticPr fontId="2" type="noConversion"/>
  </si>
  <si>
    <t>12个模块，方差分析。单因子方差分析、</t>
    <phoneticPr fontId="2" type="noConversion"/>
  </si>
  <si>
    <t>卡方检验。卡方统计量、自由度、P值。
三个功能区，表格下第三个功能</t>
    <phoneticPr fontId="2" type="noConversion"/>
  </si>
  <si>
    <t>需求确认-7月3日</t>
    <phoneticPr fontId="2" type="noConversion"/>
  </si>
  <si>
    <t>1、已完成
2、后端代码集成
3、前端展示在一个工作区中
4、平滑器不做。下同</t>
    <phoneticPr fontId="2" type="noConversion"/>
  </si>
  <si>
    <t>1、前端完成
2、后端代码需要开发
3、前端展示在一个工作区中
★4、简单、含组、包含回归、包含回归（二次、三次拟合）、包含回归和组、包含连线、包含连线和组。--需求待确认，未评估
5、数据视图-回归中：线性、二次、立方回归
6、多图形展示</t>
    <phoneticPr fontId="2" type="noConversion"/>
  </si>
  <si>
    <t>图形保留箱线图</t>
    <phoneticPr fontId="2" type="noConversion"/>
  </si>
  <si>
    <t>1、单因子方差分析
2、主效应图
3、交互作用图
4、选项中信息保持默认</t>
    <phoneticPr fontId="2" type="noConversion"/>
  </si>
  <si>
    <t>1、卡方，参数需要
2、其他参数默认</t>
    <phoneticPr fontId="2" type="noConversion"/>
  </si>
  <si>
    <t>统计-&gt;基本统计-&gt;双方差</t>
    <phoneticPr fontId="2" type="noConversion"/>
  </si>
  <si>
    <t>保留摘要图</t>
    <phoneticPr fontId="2" type="noConversion"/>
  </si>
  <si>
    <t>1、两水平因子默认生成元
2、创建因子
3、分析因子
4、优化因子</t>
    <phoneticPr fontId="2" type="noConversion"/>
  </si>
  <si>
    <t>1、创建
2、研究</t>
    <phoneticPr fontId="2" type="noConversion"/>
  </si>
  <si>
    <t>1、创建属性分析收集表
2、属性一致性分析
3、参数保持默认
4、已知标准保留</t>
    <phoneticPr fontId="2" type="noConversion"/>
  </si>
  <si>
    <t>1、选项中的阶段和检验信息保留
2、保留选项</t>
    <phoneticPr fontId="2" type="noConversion"/>
  </si>
  <si>
    <t>更换为：控制图-&gt;单变量控制图-单值</t>
    <phoneticPr fontId="2" type="noConversion"/>
  </si>
  <si>
    <r>
      <rPr>
        <sz val="11"/>
        <color theme="1"/>
        <rFont val="宋体"/>
        <family val="2"/>
        <charset val="134"/>
      </rPr>
      <t>质量工具下面的</t>
    </r>
    <r>
      <rPr>
        <sz val="11"/>
        <color theme="1"/>
        <rFont val="Tahoma"/>
        <family val="2"/>
      </rPr>
      <t>capability analysis/</t>
    </r>
    <r>
      <rPr>
        <sz val="11"/>
        <color theme="1"/>
        <rFont val="宋体"/>
        <family val="2"/>
        <charset val="134"/>
      </rPr>
      <t>的</t>
    </r>
    <r>
      <rPr>
        <sz val="11"/>
        <color theme="1"/>
        <rFont val="Tahoma"/>
        <family val="2"/>
      </rPr>
      <t>normal</t>
    </r>
    <phoneticPr fontId="2" type="noConversion"/>
  </si>
  <si>
    <r>
      <rPr>
        <sz val="11"/>
        <color theme="1"/>
        <rFont val="Tahoma"/>
        <family val="2"/>
      </rPr>
      <t>normal</t>
    </r>
    <r>
      <rPr>
        <sz val="11"/>
        <color theme="1"/>
        <rFont val="宋体"/>
        <family val="2"/>
        <charset val="134"/>
      </rPr>
      <t>功能</t>
    </r>
    <r>
      <rPr>
        <sz val="11"/>
        <color theme="1"/>
        <rFont val="Tahoma"/>
        <family val="2"/>
        <charset val="134"/>
      </rPr>
      <t xml:space="preserve">
1</t>
    </r>
    <r>
      <rPr>
        <sz val="11"/>
        <color theme="1"/>
        <rFont val="宋体"/>
        <family val="2"/>
        <charset val="134"/>
      </rPr>
      <t>、保留置信区间
2、子组内分析、整体分析功能</t>
    </r>
    <r>
      <rPr>
        <sz val="11"/>
        <color theme="1"/>
        <rFont val="Tahoma"/>
        <family val="2"/>
        <charset val="134"/>
      </rPr>
      <t xml:space="preserve">
3</t>
    </r>
    <r>
      <rPr>
        <sz val="11"/>
        <color theme="1"/>
        <rFont val="宋体"/>
        <family val="2"/>
        <charset val="134"/>
      </rPr>
      <t>、CPM 和K保留</t>
    </r>
    <r>
      <rPr>
        <sz val="11"/>
        <color theme="1"/>
        <rFont val="Tahoma"/>
        <family val="2"/>
        <charset val="134"/>
      </rPr>
      <t xml:space="preserve">
4</t>
    </r>
    <r>
      <rPr>
        <sz val="11"/>
        <color theme="1"/>
        <rFont val="宋体"/>
        <family val="2"/>
        <charset val="134"/>
      </rPr>
      <t>、sixpack不做</t>
    </r>
    <phoneticPr fontId="2" type="noConversion"/>
  </si>
  <si>
    <t>1、一般全因子
2、创建因子</t>
    <phoneticPr fontId="2" type="noConversion"/>
  </si>
  <si>
    <t>研发项目经费支出科目明细表</t>
  </si>
  <si>
    <t>（金额单位：万元）</t>
  </si>
  <si>
    <t>序号</t>
  </si>
  <si>
    <t>科目</t>
  </si>
  <si>
    <t>金额（万元）</t>
  </si>
  <si>
    <t>比例</t>
  </si>
  <si>
    <t>备注</t>
  </si>
  <si>
    <t>试（实）验费</t>
  </si>
  <si>
    <t>自行试（实）验</t>
  </si>
  <si>
    <t>委外试（实）验</t>
  </si>
  <si>
    <t>原材料购置费（零部件）</t>
  </si>
  <si>
    <t>设备购置费（样机）</t>
  </si>
  <si>
    <r>
      <rPr>
        <sz val="10"/>
        <color theme="1"/>
        <rFont val="Tahoma"/>
        <family val="3"/>
        <charset val="134"/>
        <scheme val="minor"/>
      </rPr>
      <t>若其中包含样机为</t>
    </r>
    <r>
      <rPr>
        <u/>
        <sz val="10"/>
        <color theme="1"/>
        <rFont val="Tahoma"/>
        <family val="3"/>
        <charset val="134"/>
        <scheme val="minor"/>
      </rPr>
      <t xml:space="preserve">    </t>
    </r>
    <r>
      <rPr>
        <sz val="10"/>
        <color theme="1"/>
        <rFont val="Tahoma"/>
        <family val="3"/>
        <charset val="134"/>
        <scheme val="minor"/>
      </rPr>
      <t>套，单套样机单价为</t>
    </r>
    <r>
      <rPr>
        <u/>
        <sz val="10"/>
        <color theme="1"/>
        <rFont val="Tahoma"/>
        <family val="3"/>
        <charset val="134"/>
        <scheme val="minor"/>
      </rPr>
      <t xml:space="preserve">    </t>
    </r>
    <r>
      <rPr>
        <sz val="10"/>
        <color theme="1"/>
        <rFont val="Tahoma"/>
        <family val="3"/>
        <charset val="134"/>
        <scheme val="minor"/>
      </rPr>
      <t>万元。</t>
    </r>
  </si>
  <si>
    <t>差旅费</t>
  </si>
  <si>
    <t>人员工资</t>
  </si>
  <si>
    <t>管理费</t>
  </si>
  <si>
    <t>折旧费</t>
  </si>
  <si>
    <t>其他费用</t>
  </si>
  <si>
    <t>合计</t>
  </si>
  <si>
    <t>序号</t>
    <phoneticPr fontId="2" type="noConversion"/>
  </si>
  <si>
    <t>姓名</t>
    <phoneticPr fontId="2" type="noConversion"/>
  </si>
  <si>
    <t>职级</t>
    <phoneticPr fontId="2" type="noConversion"/>
  </si>
  <si>
    <t>工作时间
（天）</t>
    <phoneticPr fontId="2" type="noConversion"/>
  </si>
  <si>
    <t>每日住宿
（元）</t>
    <phoneticPr fontId="2" type="noConversion"/>
  </si>
  <si>
    <t>交通费</t>
    <phoneticPr fontId="2" type="noConversion"/>
  </si>
  <si>
    <t>合计
（税前）</t>
    <phoneticPr fontId="2" type="noConversion"/>
  </si>
  <si>
    <t>备注</t>
    <phoneticPr fontId="2" type="noConversion"/>
  </si>
  <si>
    <t>副教授</t>
    <phoneticPr fontId="2" type="noConversion"/>
  </si>
  <si>
    <t>讲师</t>
    <phoneticPr fontId="2" type="noConversion"/>
  </si>
  <si>
    <t>出差补贴</t>
    <phoneticPr fontId="2" type="noConversion"/>
  </si>
  <si>
    <t>单程（元）</t>
    <phoneticPr fontId="2" type="noConversion"/>
  </si>
  <si>
    <t>住宿费</t>
    <phoneticPr fontId="2" type="noConversion"/>
  </si>
  <si>
    <t>每天补助
（元）</t>
    <phoneticPr fontId="2" type="noConversion"/>
  </si>
  <si>
    <t>小计
(元)</t>
    <phoneticPr fontId="2" type="noConversion"/>
  </si>
  <si>
    <t>总计</t>
    <phoneticPr fontId="2" type="noConversion"/>
  </si>
  <si>
    <t>往返次数</t>
    <phoneticPr fontId="2" type="noConversion"/>
  </si>
  <si>
    <t>研发设计费</t>
    <phoneticPr fontId="2" type="noConversion"/>
  </si>
  <si>
    <t>采埃孚技术咨询费</t>
    <phoneticPr fontId="2" type="noConversion"/>
  </si>
  <si>
    <t>行标签</t>
  </si>
  <si>
    <t>梅宇</t>
  </si>
  <si>
    <t>彭彬</t>
  </si>
  <si>
    <t>张毅</t>
  </si>
  <si>
    <t>(空白)</t>
  </si>
  <si>
    <t>总计</t>
  </si>
  <si>
    <t>求和项:算法人力（工时）</t>
  </si>
  <si>
    <t>工时费
（元/天）</t>
    <phoneticPr fontId="2" type="noConversion"/>
  </si>
  <si>
    <t>投入工时
（人天）</t>
    <phoneticPr fontId="2" type="noConversion"/>
  </si>
  <si>
    <t>投入工时
（小时）</t>
    <phoneticPr fontId="2" type="noConversion"/>
  </si>
  <si>
    <t>小计
（万元）</t>
    <phoneticPr fontId="2" type="noConversion"/>
  </si>
  <si>
    <t>工期（天）</t>
    <phoneticPr fontId="2" type="noConversion"/>
  </si>
  <si>
    <t>开始时间</t>
    <phoneticPr fontId="2" type="noConversion"/>
  </si>
  <si>
    <t>结束时间</t>
    <phoneticPr fontId="2" type="noConversion"/>
  </si>
  <si>
    <t>项目工期</t>
    <phoneticPr fontId="2" type="noConversion"/>
  </si>
  <si>
    <t>求和项:前端人力（工时）</t>
  </si>
  <si>
    <t>上海往返1次</t>
    <phoneticPr fontId="2" type="noConversion"/>
  </si>
  <si>
    <t>上海往返2次</t>
    <phoneticPr fontId="2" type="noConversion"/>
  </si>
  <si>
    <t>税费</t>
    <phoneticPr fontId="2" type="noConversion"/>
  </si>
  <si>
    <t>校、院提取的管理费（合同额×0.05）</t>
    <phoneticPr fontId="2" type="noConversion"/>
  </si>
  <si>
    <t>税费（合同额×0.06）</t>
    <phoneticPr fontId="2" type="noConversion"/>
  </si>
  <si>
    <t>因为表头不支持编辑，才有这个问题。如果表头支持编辑，则无此问题</t>
  </si>
  <si>
    <t>1、表格数据需要支持撤销功能
2、其他区域内容不支持撤销功能
3、数据分析结果和图表仅做展示功能、保存功能</t>
  </si>
  <si>
    <t>Yedi</t>
  </si>
  <si>
    <t>Pinhan</t>
  </si>
  <si>
    <t>Life</t>
  </si>
  <si>
    <t>Y</t>
  </si>
  <si>
    <t>X</t>
  </si>
  <si>
    <t>X-L</t>
  </si>
  <si>
    <t>X-U</t>
  </si>
  <si>
    <r>
      <rPr>
        <sz val="11"/>
        <color theme="1"/>
        <rFont val="宋体"/>
        <family val="2"/>
        <charset val="134"/>
      </rPr>
      <t>可随机生成指定数量和分布特征的数据，常用分布为：正态，对数正态，威布尔分布，</t>
    </r>
    <r>
      <rPr>
        <sz val="11"/>
        <color theme="1"/>
        <rFont val="Tahoma"/>
        <family val="2"/>
      </rPr>
      <t>F</t>
    </r>
    <r>
      <rPr>
        <sz val="11"/>
        <color theme="1"/>
        <rFont val="宋体"/>
        <family val="2"/>
        <charset val="134"/>
      </rPr>
      <t>分布，</t>
    </r>
    <r>
      <rPr>
        <sz val="11"/>
        <color theme="1"/>
        <rFont val="Tahoma"/>
        <family val="2"/>
      </rPr>
      <t>T</t>
    </r>
    <r>
      <rPr>
        <sz val="11"/>
        <color theme="1"/>
        <rFont val="宋体"/>
        <family val="2"/>
        <charset val="134"/>
      </rPr>
      <t>分布，二项分布，泊松分布，指数分布</t>
    </r>
  </si>
  <si>
    <t>需要定义数据文件的格式，导入导出方法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</si>
</sst>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33" x14ac:knownFonts="1">
    <font>
      <sz val="11"/>
      <color theme="1"/>
      <name val="Tahoma"/>
      <family val="2"/>
      <charset val="134"/>
    </font>
    <font>
      <sz val="11"/>
      <color theme="1"/>
      <name val="Tahoma"/>
      <family val="2"/>
      <scheme val="minor"/>
    </font>
    <font>
      <sz val="9"/>
      <name val="Tahoma"/>
      <family val="2"/>
      <charset val="134"/>
    </font>
    <font>
      <sz val="10.5"/>
      <color rgb="FF000000"/>
      <name val="Tahoma"/>
      <family val="2"/>
    </font>
    <font>
      <sz val="10.5"/>
      <color rgb="FF000000"/>
      <name val="宋体"/>
      <family val="3"/>
      <charset val="134"/>
    </font>
    <font>
      <sz val="10.5"/>
      <color rgb="FF000000"/>
      <name val="宋体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2"/>
      <charset val="134"/>
    </font>
    <font>
      <sz val="11"/>
      <color theme="1"/>
      <name val="Tahoma"/>
      <family val="2"/>
    </font>
    <font>
      <sz val="10"/>
      <color rgb="FF00B050"/>
      <name val="Tahoma"/>
      <family val="2"/>
    </font>
    <font>
      <sz val="10"/>
      <color rgb="FF9C0006"/>
      <name val="Tahoma"/>
      <family val="2"/>
    </font>
    <font>
      <sz val="10"/>
      <color rgb="FFFFC000"/>
      <name val="Tahoma"/>
      <family val="2"/>
    </font>
    <font>
      <sz val="10"/>
      <color rgb="FF00B050"/>
      <name val="宋体"/>
      <family val="3"/>
      <charset val="134"/>
    </font>
    <font>
      <sz val="10"/>
      <color rgb="FF9C0006"/>
      <name val="宋体"/>
      <family val="3"/>
      <charset val="134"/>
    </font>
    <font>
      <sz val="10"/>
      <color rgb="FFFFC000"/>
      <name val="宋体"/>
      <family val="3"/>
      <charset val="134"/>
    </font>
    <font>
      <sz val="10.5"/>
      <color theme="1"/>
      <name val="Tahoma"/>
      <family val="2"/>
    </font>
    <font>
      <sz val="10"/>
      <color theme="1"/>
      <name val="Tahoma"/>
      <family val="2"/>
    </font>
    <font>
      <sz val="10"/>
      <color theme="1"/>
      <name val="宋体"/>
      <family val="3"/>
      <charset val="134"/>
    </font>
    <font>
      <sz val="10.5"/>
      <color theme="1"/>
      <name val="宋体"/>
      <family val="2"/>
      <charset val="134"/>
    </font>
    <font>
      <sz val="11"/>
      <color theme="1"/>
      <name val="Calibri"/>
      <family val="2"/>
      <charset val="161"/>
    </font>
    <font>
      <b/>
      <sz val="10.5"/>
      <color rgb="FF000000"/>
      <name val="Tahoma"/>
      <family val="2"/>
    </font>
    <font>
      <b/>
      <sz val="10.5"/>
      <color rgb="FF000000"/>
      <name val="宋体"/>
      <family val="3"/>
      <charset val="134"/>
    </font>
    <font>
      <b/>
      <sz val="10.5"/>
      <color rgb="FF000000"/>
      <name val="宋体"/>
      <family val="2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宋体"/>
      <family val="2"/>
      <charset val="134"/>
    </font>
    <font>
      <b/>
      <sz val="11"/>
      <color theme="1"/>
      <name val="Tahoma"/>
      <family val="2"/>
    </font>
    <font>
      <sz val="11"/>
      <color theme="1"/>
      <name val="Tahoma"/>
      <family val="3"/>
      <charset val="134"/>
      <scheme val="minor"/>
    </font>
    <font>
      <b/>
      <sz val="12"/>
      <color theme="1"/>
      <name val="Tahoma"/>
      <family val="3"/>
      <charset val="134"/>
      <scheme val="minor"/>
    </font>
    <font>
      <sz val="12"/>
      <color theme="1"/>
      <name val="Tahoma"/>
      <family val="3"/>
      <charset val="134"/>
      <scheme val="minor"/>
    </font>
    <font>
      <sz val="10"/>
      <color theme="1"/>
      <name val="Tahoma"/>
      <family val="3"/>
      <charset val="134"/>
      <scheme val="minor"/>
    </font>
    <font>
      <u/>
      <sz val="10"/>
      <color theme="1"/>
      <name val="Tahoma"/>
      <family val="3"/>
      <charset val="134"/>
      <scheme val="minor"/>
    </font>
    <font>
      <b/>
      <sz val="11"/>
      <color theme="1"/>
      <name val="Tahoma"/>
      <family val="2"/>
      <charset val="134"/>
    </font>
    <font>
      <sz val="10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26" fillId="0" borderId="0">
      <alignment vertical="center"/>
    </xf>
    <xf numFmtId="9" fontId="26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 readingOrder="1"/>
    </xf>
    <xf numFmtId="0" fontId="3" fillId="0" borderId="1" xfId="0" applyFont="1" applyBorder="1" applyAlignment="1">
      <alignment horizontal="center" vertical="center" readingOrder="1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1" xfId="0" applyBorder="1">
      <alignment vertical="center"/>
    </xf>
    <xf numFmtId="0" fontId="22" fillId="0" borderId="1" xfId="0" applyFont="1" applyBorder="1" applyAlignment="1">
      <alignment horizontal="center" vertical="center" readingOrder="1"/>
    </xf>
    <xf numFmtId="0" fontId="20" fillId="0" borderId="1" xfId="0" applyFont="1" applyBorder="1" applyAlignment="1">
      <alignment horizontal="center" vertical="center" readingOrder="1"/>
    </xf>
    <xf numFmtId="0" fontId="2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readingOrder="1"/>
    </xf>
    <xf numFmtId="0" fontId="9" fillId="0" borderId="1" xfId="0" applyFont="1" applyBorder="1" applyAlignment="1">
      <alignment horizontal="center" vertical="center" readingOrder="1"/>
    </xf>
    <xf numFmtId="0" fontId="3" fillId="0" borderId="1" xfId="0" applyFont="1" applyBorder="1" applyAlignment="1">
      <alignment vertical="center" readingOrder="1"/>
    </xf>
    <xf numFmtId="0" fontId="10" fillId="0" borderId="1" xfId="0" applyFont="1" applyBorder="1" applyAlignment="1">
      <alignment horizontal="center" vertical="center" readingOrder="1"/>
    </xf>
    <xf numFmtId="0" fontId="11" fillId="0" borderId="1" xfId="0" applyFont="1" applyBorder="1" applyAlignment="1">
      <alignment horizontal="center" vertical="center" readingOrder="1"/>
    </xf>
    <xf numFmtId="0" fontId="6" fillId="0" borderId="1" xfId="0" applyFont="1" applyBorder="1">
      <alignment vertical="center"/>
    </xf>
    <xf numFmtId="0" fontId="15" fillId="0" borderId="1" xfId="0" applyFont="1" applyBorder="1" applyAlignment="1">
      <alignment horizontal="left" vertical="center" readingOrder="1"/>
    </xf>
    <xf numFmtId="0" fontId="16" fillId="0" borderId="1" xfId="0" applyFont="1" applyBorder="1" applyAlignment="1">
      <alignment horizontal="center" vertical="center" readingOrder="1"/>
    </xf>
    <xf numFmtId="0" fontId="15" fillId="0" borderId="1" xfId="0" applyFont="1" applyBorder="1" applyAlignment="1">
      <alignment horizontal="center" vertical="center" readingOrder="1"/>
    </xf>
    <xf numFmtId="0" fontId="4" fillId="0" borderId="1" xfId="0" applyFont="1" applyBorder="1" applyAlignment="1">
      <alignment horizontal="center" vertical="center" readingOrder="1"/>
    </xf>
    <xf numFmtId="0" fontId="18" fillId="0" borderId="1" xfId="0" applyFont="1" applyBorder="1" applyAlignment="1">
      <alignment horizontal="center" vertical="center" readingOrder="1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readingOrder="1"/>
    </xf>
    <xf numFmtId="0" fontId="24" fillId="0" borderId="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 wrapText="1" readingOrder="1"/>
    </xf>
    <xf numFmtId="0" fontId="7" fillId="0" borderId="1" xfId="0" applyFont="1" applyBorder="1" applyAlignment="1">
      <alignment vertical="top" wrapText="1"/>
    </xf>
    <xf numFmtId="0" fontId="7" fillId="0" borderId="0" xfId="0" applyFont="1" applyAlignment="1">
      <alignment vertical="center" wrapText="1"/>
    </xf>
    <xf numFmtId="0" fontId="4" fillId="0" borderId="1" xfId="0" applyFont="1" applyBorder="1" applyAlignment="1">
      <alignment horizontal="left" vertical="center" wrapText="1" readingOrder="1"/>
    </xf>
    <xf numFmtId="0" fontId="23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left" vertical="center" wrapText="1" readingOrder="1"/>
    </xf>
    <xf numFmtId="0" fontId="18" fillId="0" borderId="1" xfId="0" applyFont="1" applyBorder="1" applyAlignment="1">
      <alignment horizontal="left" vertical="center" wrapText="1" readingOrder="1"/>
    </xf>
    <xf numFmtId="0" fontId="7" fillId="0" borderId="1" xfId="0" applyFont="1" applyBorder="1" applyAlignment="1">
      <alignment vertical="top"/>
    </xf>
    <xf numFmtId="0" fontId="26" fillId="0" borderId="0" xfId="1" applyAlignment="1">
      <alignment horizontal="center" vertical="center"/>
    </xf>
    <xf numFmtId="0" fontId="27" fillId="0" borderId="1" xfId="1" applyFont="1" applyBorder="1" applyAlignment="1">
      <alignment horizontal="center" vertical="center"/>
    </xf>
    <xf numFmtId="0" fontId="27" fillId="0" borderId="2" xfId="1" applyFont="1" applyBorder="1" applyAlignment="1">
      <alignment horizontal="center" vertical="center"/>
    </xf>
    <xf numFmtId="0" fontId="28" fillId="0" borderId="1" xfId="1" applyFont="1" applyBorder="1" applyAlignment="1">
      <alignment horizontal="center" vertical="center"/>
    </xf>
    <xf numFmtId="0" fontId="29" fillId="0" borderId="1" xfId="1" applyFont="1" applyBorder="1" applyAlignment="1">
      <alignment horizontal="left" vertical="center" wrapText="1"/>
    </xf>
    <xf numFmtId="9" fontId="26" fillId="0" borderId="1" xfId="1" applyNumberFormat="1" applyBorder="1" applyAlignment="1">
      <alignment horizontal="center" vertical="center"/>
    </xf>
    <xf numFmtId="0" fontId="26" fillId="0" borderId="1" xfId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31" fillId="0" borderId="0" xfId="0" applyFont="1">
      <alignment vertical="center"/>
    </xf>
    <xf numFmtId="0" fontId="31" fillId="0" borderId="1" xfId="0" applyFont="1" applyBorder="1" applyAlignment="1">
      <alignment horizontal="center" vertical="center"/>
    </xf>
    <xf numFmtId="0" fontId="28" fillId="0" borderId="1" xfId="1" applyFont="1" applyBorder="1" applyAlignment="1">
      <alignment horizontal="center" vertical="center" wrapText="1"/>
    </xf>
    <xf numFmtId="10" fontId="28" fillId="0" borderId="5" xfId="1" applyNumberFormat="1" applyFont="1" applyBorder="1" applyAlignment="1">
      <alignment horizontal="center" vertical="center"/>
    </xf>
    <xf numFmtId="164" fontId="28" fillId="0" borderId="1" xfId="1" applyNumberFormat="1" applyFont="1" applyBorder="1" applyAlignment="1">
      <alignment horizontal="center" vertical="center"/>
    </xf>
    <xf numFmtId="164" fontId="28" fillId="0" borderId="6" xfId="1" applyNumberFormat="1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32" fillId="0" borderId="8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readingOrder="1"/>
    </xf>
    <xf numFmtId="0" fontId="3" fillId="0" borderId="1" xfId="0" applyFont="1" applyBorder="1" applyAlignment="1">
      <alignment horizontal="left" vertical="center" readingOrder="1"/>
    </xf>
    <xf numFmtId="0" fontId="5" fillId="0" borderId="1" xfId="0" applyFont="1" applyBorder="1" applyAlignment="1">
      <alignment horizontal="left" vertical="center" wrapText="1" readingOrder="1"/>
    </xf>
    <xf numFmtId="0" fontId="15" fillId="0" borderId="1" xfId="0" applyFont="1" applyBorder="1" applyAlignment="1">
      <alignment horizontal="left" vertical="center" readingOrder="1"/>
    </xf>
    <xf numFmtId="0" fontId="20" fillId="0" borderId="1" xfId="0" applyFont="1" applyBorder="1" applyAlignment="1">
      <alignment horizontal="center" vertical="center" readingOrder="1"/>
    </xf>
    <xf numFmtId="0" fontId="1" fillId="0" borderId="0" xfId="0" applyFont="1" applyAlignment="1"/>
    <xf numFmtId="0" fontId="32" fillId="0" borderId="1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readingOrder="1"/>
    </xf>
    <xf numFmtId="0" fontId="28" fillId="0" borderId="2" xfId="1" applyFont="1" applyBorder="1" applyAlignment="1">
      <alignment horizontal="center" vertical="center"/>
    </xf>
    <xf numFmtId="0" fontId="28" fillId="0" borderId="7" xfId="1" applyFont="1" applyBorder="1" applyAlignment="1">
      <alignment horizontal="center" vertical="center"/>
    </xf>
    <xf numFmtId="0" fontId="28" fillId="0" borderId="6" xfId="1" applyFont="1" applyBorder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8" fillId="0" borderId="0" xfId="1" applyFont="1" applyAlignment="1">
      <alignment horizontal="center" vertical="center"/>
    </xf>
    <xf numFmtId="0" fontId="28" fillId="0" borderId="3" xfId="1" applyFont="1" applyBorder="1" applyAlignment="1">
      <alignment horizontal="center" vertical="center"/>
    </xf>
    <xf numFmtId="0" fontId="28" fillId="0" borderId="5" xfId="1" applyFont="1" applyBorder="1" applyAlignment="1">
      <alignment horizontal="center" vertical="center"/>
    </xf>
    <xf numFmtId="0" fontId="28" fillId="0" borderId="1" xfId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readingOrder="1"/>
    </xf>
    <xf numFmtId="0" fontId="3" fillId="0" borderId="1" xfId="0" applyFont="1" applyBorder="1" applyAlignment="1">
      <alignment horizontal="left" vertical="center" readingOrder="1"/>
    </xf>
    <xf numFmtId="0" fontId="5" fillId="0" borderId="1" xfId="0" applyFont="1" applyBorder="1" applyAlignment="1">
      <alignment horizontal="left" vertical="center" wrapText="1" readingOrder="1"/>
    </xf>
    <xf numFmtId="0" fontId="32" fillId="0" borderId="9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 readingOrder="1"/>
    </xf>
    <xf numFmtId="0" fontId="20" fillId="0" borderId="1" xfId="0" applyFont="1" applyBorder="1" applyAlignment="1">
      <alignment horizontal="center" vertical="center" readingOrder="1"/>
    </xf>
    <xf numFmtId="0" fontId="4" fillId="0" borderId="11" xfId="0" applyFont="1" applyBorder="1" applyAlignment="1">
      <alignment horizontal="center" vertical="center" readingOrder="1"/>
    </xf>
    <xf numFmtId="0" fontId="4" fillId="0" borderId="12" xfId="0" applyFont="1" applyBorder="1" applyAlignment="1">
      <alignment horizontal="center" vertical="center" readingOrder="1"/>
    </xf>
    <xf numFmtId="0" fontId="4" fillId="0" borderId="13" xfId="0" applyFont="1" applyBorder="1" applyAlignment="1">
      <alignment horizontal="center" vertical="center" readingOrder="1"/>
    </xf>
    <xf numFmtId="0" fontId="5" fillId="0" borderId="14" xfId="0" applyFont="1" applyBorder="1" applyAlignment="1">
      <alignment horizontal="center" vertical="center" readingOrder="1"/>
    </xf>
    <xf numFmtId="0" fontId="5" fillId="0" borderId="15" xfId="0" applyFont="1" applyBorder="1" applyAlignment="1">
      <alignment horizontal="center" vertical="center" readingOrder="1"/>
    </xf>
    <xf numFmtId="0" fontId="5" fillId="0" borderId="16" xfId="0" applyFont="1" applyBorder="1" applyAlignment="1">
      <alignment horizontal="center" vertical="center" readingOrder="1"/>
    </xf>
    <xf numFmtId="0" fontId="18" fillId="0" borderId="14" xfId="0" applyFont="1" applyBorder="1" applyAlignment="1">
      <alignment horizontal="center" vertical="center" readingOrder="1"/>
    </xf>
    <xf numFmtId="0" fontId="18" fillId="0" borderId="15" xfId="0" applyFont="1" applyBorder="1" applyAlignment="1">
      <alignment horizontal="center" vertical="center" readingOrder="1"/>
    </xf>
    <xf numFmtId="0" fontId="18" fillId="0" borderId="16" xfId="0" applyFont="1" applyBorder="1" applyAlignment="1">
      <alignment horizontal="center" vertical="center" readingOrder="1"/>
    </xf>
  </cellXfs>
  <cellStyles count="3">
    <cellStyle name="Normal" xfId="0" builtinId="0"/>
    <cellStyle name="常规 2" xfId="1" xr:uid="{DA0AD96D-09B2-4393-8580-C6AF3035D8FD}"/>
    <cellStyle name="百分比 2" xfId="2" xr:uid="{510DE106-FEAD-4A68-9EE5-C03ACC48FF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209005</xdr:colOff>
      <xdr:row>8</xdr:row>
      <xdr:rowOff>91439</xdr:rowOff>
    </xdr:from>
    <xdr:to>
      <xdr:col>19</xdr:col>
      <xdr:colOff>612875</xdr:colOff>
      <xdr:row>10</xdr:row>
      <xdr:rowOff>1330365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4474359-C49B-4BB4-0CBA-9594C5B98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69491" y="1735182"/>
          <a:ext cx="1740817" cy="29341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209005</xdr:colOff>
      <xdr:row>8</xdr:row>
      <xdr:rowOff>91439</xdr:rowOff>
    </xdr:from>
    <xdr:to>
      <xdr:col>19</xdr:col>
      <xdr:colOff>612875</xdr:colOff>
      <xdr:row>10</xdr:row>
      <xdr:rowOff>1330365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4FB98FF-83EA-4667-A02C-339ADAEB7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87205" y="3463289"/>
          <a:ext cx="1724670" cy="285182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 Z" refreshedDate="45484.40924108796" createdVersion="8" refreshedVersion="8" minRefreshableVersion="3" recordCount="36" xr:uid="{FA4A1E87-2397-489A-A84B-467F3D890252}">
  <cacheSource type="worksheet">
    <worksheetSource ref="H1:J1048576" sheet="原始需求"/>
  </cacheSource>
  <cacheFields count="3">
    <cacheField name="人员" numFmtId="0">
      <sharedItems containsBlank="1" count="4">
        <s v="梅宇"/>
        <s v="彭彬"/>
        <s v="张毅"/>
        <m/>
      </sharedItems>
    </cacheField>
    <cacheField name="前端人力（工时）" numFmtId="0">
      <sharedItems containsString="0" containsBlank="1" containsNumber="1" containsInteger="1" minValue="8" maxValue="160"/>
    </cacheField>
    <cacheField name="算法人力（工时）" numFmtId="0">
      <sharedItems containsString="0" containsBlank="1" containsNumber="1" containsInteger="1" minValue="16" maxValue="2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n v="80"/>
    <m/>
  </r>
  <r>
    <x v="0"/>
    <n v="160"/>
    <m/>
  </r>
  <r>
    <x v="0"/>
    <m/>
    <m/>
  </r>
  <r>
    <x v="0"/>
    <n v="80"/>
    <m/>
  </r>
  <r>
    <x v="0"/>
    <n v="160"/>
    <m/>
  </r>
  <r>
    <x v="0"/>
    <m/>
    <m/>
  </r>
  <r>
    <x v="0"/>
    <m/>
    <m/>
  </r>
  <r>
    <x v="1"/>
    <m/>
    <n v="40"/>
  </r>
  <r>
    <x v="2"/>
    <n v="24"/>
    <n v="16"/>
  </r>
  <r>
    <x v="2"/>
    <n v="24"/>
    <n v="32"/>
  </r>
  <r>
    <x v="2"/>
    <n v="24"/>
    <n v="16"/>
  </r>
  <r>
    <x v="2"/>
    <n v="24"/>
    <n v="16"/>
  </r>
  <r>
    <x v="2"/>
    <n v="24"/>
    <n v="16"/>
  </r>
  <r>
    <x v="2"/>
    <n v="24"/>
    <n v="16"/>
  </r>
  <r>
    <x v="1"/>
    <n v="48"/>
    <n v="240"/>
  </r>
  <r>
    <x v="2"/>
    <n v="8"/>
    <n v="24"/>
  </r>
  <r>
    <x v="2"/>
    <n v="8"/>
    <n v="32"/>
  </r>
  <r>
    <x v="2"/>
    <n v="24"/>
    <n v="40"/>
  </r>
  <r>
    <x v="2"/>
    <n v="48"/>
    <n v="80"/>
  </r>
  <r>
    <x v="2"/>
    <n v="24"/>
    <n v="40"/>
  </r>
  <r>
    <x v="2"/>
    <n v="8"/>
    <n v="32"/>
  </r>
  <r>
    <x v="2"/>
    <n v="24"/>
    <n v="32"/>
  </r>
  <r>
    <x v="1"/>
    <n v="48"/>
    <n v="240"/>
  </r>
  <r>
    <x v="2"/>
    <n v="24"/>
    <n v="40"/>
  </r>
  <r>
    <x v="2"/>
    <n v="48"/>
    <n v="160"/>
  </r>
  <r>
    <x v="2"/>
    <n v="24"/>
    <n v="24"/>
  </r>
  <r>
    <x v="2"/>
    <n v="24"/>
    <n v="120"/>
  </r>
  <r>
    <x v="2"/>
    <n v="24"/>
    <n v="120"/>
  </r>
  <r>
    <x v="2"/>
    <n v="24"/>
    <n v="120"/>
  </r>
  <r>
    <x v="2"/>
    <n v="24"/>
    <n v="40"/>
  </r>
  <r>
    <x v="2"/>
    <n v="24"/>
    <n v="120"/>
  </r>
  <r>
    <x v="0"/>
    <n v="16"/>
    <m/>
  </r>
  <r>
    <x v="0"/>
    <n v="16"/>
    <m/>
  </r>
  <r>
    <x v="0"/>
    <m/>
    <m/>
  </r>
  <r>
    <x v="0"/>
    <m/>
    <m/>
  </r>
  <r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AAFF49-3924-4449-B404-CBABDE133332}" name="数据透视表2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C8" firstHeaderRow="0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算法人力（工时）" fld="2" baseField="0" baseItem="0"/>
    <dataField name="求和项:前端人力（工时）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ZF">
  <a:themeElements>
    <a:clrScheme name="ZF CD">
      <a:dk1>
        <a:srgbClr val="000000"/>
      </a:dk1>
      <a:lt1>
        <a:srgbClr val="FFFFFF"/>
      </a:lt1>
      <a:dk2>
        <a:srgbClr val="00ABE7"/>
      </a:dk2>
      <a:lt2>
        <a:srgbClr val="BFBFBF"/>
      </a:lt2>
      <a:accent1>
        <a:srgbClr val="7FD5F3"/>
      </a:accent1>
      <a:accent2>
        <a:srgbClr val="BFEAF9"/>
      </a:accent2>
      <a:accent3>
        <a:srgbClr val="1179BF"/>
      </a:accent3>
      <a:accent4>
        <a:srgbClr val="004D7A"/>
      </a:accent4>
      <a:accent5>
        <a:srgbClr val="7FA5BC"/>
      </a:accent5>
      <a:accent6>
        <a:srgbClr val="DD0C29"/>
      </a:accent6>
      <a:hlink>
        <a:srgbClr val="00ABE7"/>
      </a:hlink>
      <a:folHlink>
        <a:srgbClr val="1179BF"/>
      </a:folHlink>
    </a:clrScheme>
    <a:fontScheme name="© ZF Friedrichshafen AG">
      <a:majorFont>
        <a:latin typeface="Tahoma"/>
        <a:ea typeface=""/>
        <a:cs typeface=""/>
      </a:majorFont>
      <a:minorFont>
        <a:latin typeface="Tahoma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7FD5F3"/>
        </a:solidFill>
        <a:ln w="12700" cap="flat" cmpd="sng" algn="ctr">
          <a:noFill/>
          <a:prstDash val="solid"/>
        </a:ln>
        <a:effectLst/>
      </a:spPr>
      <a:bodyPr rot="0" spcFirstLastPara="0" vertOverflow="overflow" horzOverflow="overflow" vert="horz" wrap="square" lIns="90000" tIns="90000" rIns="90000" bIns="90000" numCol="1" spcCol="0" rtlCol="0" fromWordArt="0" anchor="ctr" anchorCtr="0" forceAA="0" compatLnSpc="1">
        <a:prstTxWarp prst="textNoShape">
          <a:avLst/>
        </a:prstTxWarp>
        <a:noAutofit/>
      </a:bodyPr>
      <a:lstStyle>
        <a:defPPr marL="0" marR="0" indent="0" algn="ctr" defTabSz="914400" eaLnBrk="1" fontAlgn="base" latinLnBrk="0" hangingPunct="1">
          <a:lnSpc>
            <a:spcPct val="100000"/>
          </a:lnSpc>
          <a:spcBef>
            <a:spcPts val="0"/>
          </a:spcBef>
          <a:spcAft>
            <a:spcPct val="0"/>
          </a:spcAft>
          <a:buClrTx/>
          <a:buSzTx/>
          <a:buFontTx/>
          <a:buNone/>
          <a:tabLst/>
          <a:defRPr kumimoji="0" sz="1200" b="0" i="0" u="none" strike="noStrike" kern="0" cap="none" spc="0" normalizeH="0" baseline="0" noProof="0" dirty="0" err="1" smtClean="0">
            <a:ln>
              <a:noFill/>
            </a:ln>
            <a:solidFill>
              <a:srgbClr val="000000"/>
            </a:solidFill>
            <a:effectLst/>
            <a:uLnTx/>
            <a:uFillTx/>
            <a:latin typeface="Tahoma"/>
            <a:ea typeface="+mn-ea"/>
            <a:cs typeface="Tahoma" pitchFamily="34" charset="0"/>
          </a:defRPr>
        </a:defPPr>
      </a:lstStyle>
    </a:spDef>
    <a:lnDef>
      <a:spPr>
        <a:noFill/>
        <a:ln w="28575" cap="rnd" cmpd="sng" algn="ctr">
          <a:solidFill>
            <a:srgbClr val="00ABE7"/>
          </a:solidFill>
          <a:prstDash val="sysDot"/>
          <a:round/>
        </a:ln>
        <a:effectLst/>
      </a:spPr>
      <a:bodyPr/>
      <a:lstStyle/>
    </a:lnDef>
    <a:txDef>
      <a:spPr>
        <a:noFill/>
      </a:spPr>
      <a:bodyPr wrap="square" lIns="0" tIns="0" rIns="0" bIns="0" rtlCol="0">
        <a:spAutoFit/>
      </a:bodyPr>
      <a:lstStyle>
        <a:defPPr marL="0" marR="0" indent="0" defTabSz="914400" eaLnBrk="1" fontAlgn="base" latinLnBrk="0" hangingPunct="1">
          <a:lnSpc>
            <a:spcPct val="100000"/>
          </a:lnSpc>
          <a:spcBef>
            <a:spcPts val="0"/>
          </a:spcBef>
          <a:spcAft>
            <a:spcPct val="0"/>
          </a:spcAft>
          <a:buClrTx/>
          <a:buSzTx/>
          <a:buFontTx/>
          <a:buNone/>
          <a:tabLst/>
          <a:defRPr kumimoji="0" sz="1200" b="0" i="0" u="none" strike="noStrike" kern="0" cap="none" spc="0" normalizeH="0" baseline="0" noProof="0" dirty="0" smtClean="0">
            <a:ln>
              <a:noFill/>
            </a:ln>
            <a:solidFill>
              <a:srgbClr val="000000"/>
            </a:solidFill>
            <a:effectLst/>
            <a:uLnTx/>
            <a:uFillTx/>
          </a:defRPr>
        </a:defPPr>
      </a:lstStyle>
    </a:txDef>
  </a:objectDefaults>
  <a:extraClrSchemeLst/>
  <a:custClrLst>
    <a:custClr name="ZF Cyan 100%">
      <a:srgbClr val="00ABE7"/>
    </a:custClr>
    <a:custClr name="ZF Cyan 50%">
      <a:srgbClr val="7FD5F3"/>
    </a:custClr>
    <a:custClr name="ZF Cyan 25%">
      <a:srgbClr val="BFEAF9"/>
    </a:custClr>
    <a:custClr>
      <a:srgbClr val="FFFFFF"/>
    </a:custClr>
    <a:custClr name="ZF Blue 100%">
      <a:srgbClr val="1179BF"/>
    </a:custClr>
    <a:custClr name="ZF Blue 50%">
      <a:srgbClr val="81BCDF"/>
    </a:custClr>
    <a:custClr>
      <a:srgbClr val="FFFFFF"/>
    </a:custClr>
    <a:custClr name="Middle Blue 100%">
      <a:srgbClr val="004D7A"/>
    </a:custClr>
    <a:custClr name="Middle Blue 50%">
      <a:srgbClr val="7FA5BC"/>
    </a:custClr>
    <a:custClr>
      <a:srgbClr val="FFFFFF"/>
    </a:custClr>
    <a:custClr name="Black 100%">
      <a:srgbClr val="000000"/>
    </a:custClr>
    <a:custClr name="Black 50%">
      <a:srgbClr val="7F7F7F"/>
    </a:custClr>
    <a:custClr name="Black 25%">
      <a:srgbClr val="BFBFBF"/>
    </a:custClr>
    <a:custClr>
      <a:srgbClr val="FFFFFF"/>
    </a:custClr>
    <a:custClr name="1. Step color gradient">
      <a:srgbClr val="1179BF"/>
    </a:custClr>
    <a:custClr name="2. Step color gradient">
      <a:srgbClr val="004D7A"/>
    </a:custClr>
    <a:custClr name="3. Step color gradient">
      <a:srgbClr val="001024"/>
    </a:custClr>
    <a:custClr>
      <a:srgbClr val="FFFFFF"/>
    </a:custClr>
    <a:custClr name="ZF Red - Only highlight color">
      <a:srgbClr val="DD0C29"/>
    </a:custClr>
  </a:custClrLst>
  <a:extLst>
    <a:ext uri="{05A4C25C-085E-4340-85A3-A5531E510DB2}">
      <thm15:themeFamily xmlns:thm15="http://schemas.microsoft.com/office/thememl/2012/main" name="ZF" id="{D9DB4961-03D2-4AB0-A5F8-B5056FD3896F}" vid="{CBC2B03A-44DE-495B-B9A3-848BC87019ED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AE4AA-C312-4D53-B346-9CFFF8AE1880}">
  <dimension ref="A1:F15"/>
  <sheetViews>
    <sheetView topLeftCell="A4" workbookViewId="0">
      <selection activeCell="L10" sqref="L10"/>
    </sheetView>
  </sheetViews>
  <sheetFormatPr defaultColWidth="8.08203125" defaultRowHeight="35.15" customHeight="1" x14ac:dyDescent="0.3"/>
  <cols>
    <col min="1" max="1" width="4.33203125" style="39" customWidth="1"/>
    <col min="2" max="2" width="13.6640625" style="39" bestFit="1" customWidth="1"/>
    <col min="3" max="3" width="15.9140625" style="39" bestFit="1" customWidth="1"/>
    <col min="4" max="4" width="12.08203125" style="39" customWidth="1"/>
    <col min="5" max="5" width="11.83203125" style="39" customWidth="1"/>
    <col min="6" max="6" width="42" style="39" bestFit="1" customWidth="1"/>
    <col min="7" max="16384" width="8.08203125" style="39"/>
  </cols>
  <sheetData>
    <row r="1" spans="1:6" ht="35.15" customHeight="1" x14ac:dyDescent="0.3">
      <c r="A1" s="72" t="s">
        <v>130</v>
      </c>
      <c r="B1" s="72"/>
      <c r="C1" s="72"/>
      <c r="D1" s="72"/>
      <c r="E1" s="72"/>
      <c r="F1" s="72"/>
    </row>
    <row r="2" spans="1:6" ht="29.15" customHeight="1" x14ac:dyDescent="0.3">
      <c r="A2" s="73" t="s">
        <v>131</v>
      </c>
      <c r="B2" s="73"/>
      <c r="C2" s="73"/>
      <c r="D2" s="73"/>
      <c r="E2" s="73"/>
      <c r="F2" s="73"/>
    </row>
    <row r="3" spans="1:6" ht="35.15" customHeight="1" x14ac:dyDescent="0.3">
      <c r="A3" s="40" t="s">
        <v>132</v>
      </c>
      <c r="B3" s="40" t="s">
        <v>133</v>
      </c>
      <c r="C3" s="41"/>
      <c r="D3" s="41" t="s">
        <v>134</v>
      </c>
      <c r="E3" s="40" t="s">
        <v>135</v>
      </c>
      <c r="F3" s="40" t="s">
        <v>136</v>
      </c>
    </row>
    <row r="4" spans="1:6" ht="35.15" customHeight="1" x14ac:dyDescent="0.3">
      <c r="A4" s="74">
        <v>1</v>
      </c>
      <c r="B4" s="76" t="s">
        <v>137</v>
      </c>
      <c r="C4" s="42" t="s">
        <v>138</v>
      </c>
      <c r="D4" s="53">
        <v>0</v>
      </c>
      <c r="E4" s="52">
        <f>D4/$D$15</f>
        <v>0</v>
      </c>
      <c r="F4" s="42"/>
    </row>
    <row r="5" spans="1:6" ht="35.15" customHeight="1" x14ac:dyDescent="0.3">
      <c r="A5" s="75"/>
      <c r="B5" s="76"/>
      <c r="C5" s="42" t="s">
        <v>139</v>
      </c>
      <c r="D5" s="53">
        <v>0</v>
      </c>
      <c r="E5" s="52">
        <f t="shared" ref="E5:E14" si="0">D5/$D$15</f>
        <v>0</v>
      </c>
      <c r="F5" s="42"/>
    </row>
    <row r="6" spans="1:6" ht="35.15" customHeight="1" x14ac:dyDescent="0.3">
      <c r="A6" s="42">
        <v>2</v>
      </c>
      <c r="B6" s="69" t="s">
        <v>140</v>
      </c>
      <c r="C6" s="71"/>
      <c r="D6" s="53">
        <v>0</v>
      </c>
      <c r="E6" s="52">
        <f t="shared" si="0"/>
        <v>0</v>
      </c>
      <c r="F6" s="42"/>
    </row>
    <row r="7" spans="1:6" ht="35.15" customHeight="1" x14ac:dyDescent="0.3">
      <c r="A7" s="42">
        <v>3</v>
      </c>
      <c r="B7" s="69" t="s">
        <v>141</v>
      </c>
      <c r="C7" s="71"/>
      <c r="D7" s="53">
        <v>0</v>
      </c>
      <c r="E7" s="52">
        <f t="shared" si="0"/>
        <v>0</v>
      </c>
      <c r="F7" s="43" t="s">
        <v>142</v>
      </c>
    </row>
    <row r="8" spans="1:6" ht="35.15" customHeight="1" x14ac:dyDescent="0.3">
      <c r="A8" s="42">
        <v>4</v>
      </c>
      <c r="B8" s="69" t="s">
        <v>143</v>
      </c>
      <c r="C8" s="71"/>
      <c r="D8" s="53">
        <f>项目差旅费!M6/10000</f>
        <v>2.6379999999999999</v>
      </c>
      <c r="E8" s="52">
        <f t="shared" si="0"/>
        <v>8.5944066183468781E-2</v>
      </c>
      <c r="F8" s="42"/>
    </row>
    <row r="9" spans="1:6" ht="35.15" customHeight="1" x14ac:dyDescent="0.3">
      <c r="A9" s="42">
        <v>5</v>
      </c>
      <c r="B9" s="69" t="s">
        <v>144</v>
      </c>
      <c r="C9" s="71"/>
      <c r="D9" s="53">
        <v>0</v>
      </c>
      <c r="E9" s="52">
        <f t="shared" si="0"/>
        <v>0</v>
      </c>
      <c r="F9" s="42"/>
    </row>
    <row r="10" spans="1:6" ht="35.15" customHeight="1" x14ac:dyDescent="0.3">
      <c r="A10" s="42">
        <v>6</v>
      </c>
      <c r="B10" s="69" t="s">
        <v>145</v>
      </c>
      <c r="C10" s="71"/>
      <c r="D10" s="53">
        <f>D15*0.05</f>
        <v>1.5347191011235954</v>
      </c>
      <c r="E10" s="52">
        <f t="shared" si="0"/>
        <v>0.05</v>
      </c>
      <c r="F10" s="51" t="s">
        <v>187</v>
      </c>
    </row>
    <row r="11" spans="1:6" ht="35.15" customHeight="1" x14ac:dyDescent="0.3">
      <c r="A11" s="42">
        <v>7</v>
      </c>
      <c r="B11" s="69" t="s">
        <v>186</v>
      </c>
      <c r="C11" s="71"/>
      <c r="D11" s="53">
        <f>D15*0.06</f>
        <v>1.8416629213483142</v>
      </c>
      <c r="E11" s="52">
        <f t="shared" si="0"/>
        <v>0.06</v>
      </c>
      <c r="F11" s="51" t="s">
        <v>188</v>
      </c>
    </row>
    <row r="12" spans="1:6" ht="35.15" customHeight="1" x14ac:dyDescent="0.3">
      <c r="A12" s="42">
        <v>8</v>
      </c>
      <c r="B12" s="69" t="s">
        <v>146</v>
      </c>
      <c r="C12" s="71"/>
      <c r="D12" s="53">
        <v>0</v>
      </c>
      <c r="E12" s="52">
        <f t="shared" si="0"/>
        <v>0</v>
      </c>
      <c r="F12" s="42"/>
    </row>
    <row r="13" spans="1:6" ht="35.15" customHeight="1" x14ac:dyDescent="0.3">
      <c r="A13" s="42">
        <v>9</v>
      </c>
      <c r="B13" s="69" t="s">
        <v>166</v>
      </c>
      <c r="C13" s="71"/>
      <c r="D13" s="53">
        <f>研发设计费!H3</f>
        <v>19.68</v>
      </c>
      <c r="E13" s="52">
        <f t="shared" si="0"/>
        <v>0.64115967493960035</v>
      </c>
      <c r="F13" s="42"/>
    </row>
    <row r="14" spans="1:6" ht="35.15" customHeight="1" x14ac:dyDescent="0.3">
      <c r="A14" s="42">
        <v>10</v>
      </c>
      <c r="B14" s="69" t="s">
        <v>147</v>
      </c>
      <c r="C14" s="71"/>
      <c r="D14" s="53">
        <v>5</v>
      </c>
      <c r="E14" s="52">
        <f t="shared" si="0"/>
        <v>0.16289625887693099</v>
      </c>
      <c r="F14" s="42" t="s">
        <v>167</v>
      </c>
    </row>
    <row r="15" spans="1:6" ht="35.15" customHeight="1" x14ac:dyDescent="0.3">
      <c r="A15" s="69" t="s">
        <v>148</v>
      </c>
      <c r="B15" s="70"/>
      <c r="C15" s="71"/>
      <c r="D15" s="54">
        <f>(D8+D13+D14)/0.89</f>
        <v>30.694382022471906</v>
      </c>
      <c r="E15" s="44">
        <f>SUM(E4:E14)</f>
        <v>1</v>
      </c>
      <c r="F15" s="45"/>
    </row>
  </sheetData>
  <mergeCells count="14">
    <mergeCell ref="B7:C7"/>
    <mergeCell ref="A1:F1"/>
    <mergeCell ref="A2:F2"/>
    <mergeCell ref="A4:A5"/>
    <mergeCell ref="B4:B5"/>
    <mergeCell ref="B6:C6"/>
    <mergeCell ref="A15:C15"/>
    <mergeCell ref="B8:C8"/>
    <mergeCell ref="B9:C9"/>
    <mergeCell ref="B10:C10"/>
    <mergeCell ref="B12:C12"/>
    <mergeCell ref="B13:C13"/>
    <mergeCell ref="B14:C14"/>
    <mergeCell ref="B11:C11"/>
  </mergeCells>
  <phoneticPr fontId="2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06378-87EF-4545-8F6D-8585BEA13319}">
  <dimension ref="A1:M5"/>
  <sheetViews>
    <sheetView zoomScale="130" zoomScaleNormal="130" workbookViewId="0">
      <selection activeCell="M4" sqref="M4"/>
    </sheetView>
  </sheetViews>
  <sheetFormatPr defaultRowHeight="14" x14ac:dyDescent="0.3"/>
  <cols>
    <col min="1" max="2" width="5.1640625" bestFit="1" customWidth="1"/>
    <col min="3" max="3" width="6.83203125" bestFit="1" customWidth="1"/>
    <col min="4" max="4" width="9" bestFit="1" customWidth="1"/>
    <col min="5" max="5" width="14.08203125" bestFit="1" customWidth="1"/>
    <col min="6" max="6" width="10" bestFit="1" customWidth="1"/>
    <col min="7" max="7" width="9" bestFit="1" customWidth="1"/>
    <col min="8" max="8" width="5.4140625" bestFit="1" customWidth="1"/>
    <col min="11" max="11" width="13.6640625" style="57" bestFit="1" customWidth="1"/>
    <col min="12" max="12" width="14.9140625" style="57" bestFit="1" customWidth="1"/>
    <col min="13" max="13" width="11" bestFit="1" customWidth="1"/>
  </cols>
  <sheetData>
    <row r="1" spans="1:13" x14ac:dyDescent="0.3">
      <c r="A1" s="77" t="s">
        <v>166</v>
      </c>
      <c r="B1" s="78"/>
      <c r="C1" s="78"/>
      <c r="D1" s="78"/>
      <c r="E1" s="78"/>
      <c r="F1" s="78"/>
      <c r="G1" s="78"/>
      <c r="H1" s="78"/>
      <c r="K1" s="77" t="s">
        <v>182</v>
      </c>
      <c r="L1" s="78"/>
      <c r="M1" s="78"/>
    </row>
    <row r="2" spans="1:13" ht="28" x14ac:dyDescent="0.3">
      <c r="A2" s="13" t="s">
        <v>149</v>
      </c>
      <c r="B2" s="13" t="s">
        <v>150</v>
      </c>
      <c r="C2" s="13" t="s">
        <v>151</v>
      </c>
      <c r="D2" s="34" t="s">
        <v>177</v>
      </c>
      <c r="E2" s="34" t="s">
        <v>176</v>
      </c>
      <c r="F2" s="34" t="s">
        <v>175</v>
      </c>
      <c r="G2" s="34" t="s">
        <v>178</v>
      </c>
      <c r="H2" s="13" t="s">
        <v>164</v>
      </c>
      <c r="K2" s="28" t="s">
        <v>180</v>
      </c>
      <c r="L2" s="28" t="s">
        <v>181</v>
      </c>
      <c r="M2" s="28" t="s">
        <v>179</v>
      </c>
    </row>
    <row r="3" spans="1:13" x14ac:dyDescent="0.3">
      <c r="A3" s="47">
        <v>1</v>
      </c>
      <c r="B3" s="46" t="s">
        <v>72</v>
      </c>
      <c r="C3" s="46" t="s">
        <v>157</v>
      </c>
      <c r="D3" s="47">
        <f>GETPIVOTDATA("求和项:算法人力（工时）",研发设计工时!$A$3,"人员","彭彬")</f>
        <v>520</v>
      </c>
      <c r="E3" s="47">
        <f>D3/8</f>
        <v>65</v>
      </c>
      <c r="F3" s="47">
        <v>650</v>
      </c>
      <c r="G3" s="47">
        <f>E3*F3/10000</f>
        <v>4.2249999999999996</v>
      </c>
      <c r="H3" s="47">
        <f>SUM(G3:G5)</f>
        <v>19.68</v>
      </c>
      <c r="K3" s="58">
        <v>45505</v>
      </c>
      <c r="L3" s="58">
        <v>45716</v>
      </c>
      <c r="M3" s="26">
        <f>L3-K3</f>
        <v>211</v>
      </c>
    </row>
    <row r="4" spans="1:13" x14ac:dyDescent="0.3">
      <c r="A4" s="47">
        <v>2</v>
      </c>
      <c r="B4" s="46" t="s">
        <v>70</v>
      </c>
      <c r="C4" s="46" t="s">
        <v>158</v>
      </c>
      <c r="D4" s="47">
        <f>GETPIVOTDATA("求和项:前端人力（工时）",研发设计工时!$A$3)</f>
        <v>1112</v>
      </c>
      <c r="E4" s="47">
        <f t="shared" ref="E4:E5" si="0">D4/8</f>
        <v>139</v>
      </c>
      <c r="F4" s="47">
        <v>550</v>
      </c>
      <c r="G4" s="47">
        <f>E4*F4/10000</f>
        <v>7.6449999999999996</v>
      </c>
      <c r="H4" s="47"/>
    </row>
    <row r="5" spans="1:13" x14ac:dyDescent="0.3">
      <c r="A5" s="47">
        <v>3</v>
      </c>
      <c r="B5" s="46" t="s">
        <v>73</v>
      </c>
      <c r="C5" s="46" t="s">
        <v>158</v>
      </c>
      <c r="D5" s="47">
        <f>GETPIVOTDATA("求和项:算法人力（工时）",研发设计工时!$A$3,"人员","张毅")</f>
        <v>1136</v>
      </c>
      <c r="E5" s="47">
        <f t="shared" si="0"/>
        <v>142</v>
      </c>
      <c r="F5" s="47">
        <v>550</v>
      </c>
      <c r="G5" s="47">
        <f t="shared" ref="G5" si="1">E5*F5/10000</f>
        <v>7.81</v>
      </c>
      <c r="H5" s="47"/>
    </row>
  </sheetData>
  <mergeCells count="2">
    <mergeCell ref="A1:H1"/>
    <mergeCell ref="K1:M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87EBC-8A85-4527-BE06-A5D7BE407FAD}">
  <dimension ref="A1:N6"/>
  <sheetViews>
    <sheetView zoomScale="115" zoomScaleNormal="115" workbookViewId="0">
      <selection activeCell="H20" sqref="H20"/>
    </sheetView>
  </sheetViews>
  <sheetFormatPr defaultRowHeight="14" x14ac:dyDescent="0.3"/>
  <cols>
    <col min="1" max="2" width="5.1640625" bestFit="1" customWidth="1"/>
    <col min="3" max="3" width="6.83203125" bestFit="1" customWidth="1"/>
    <col min="4" max="5" width="9" bestFit="1" customWidth="1"/>
    <col min="6" max="6" width="5.4140625" bestFit="1" customWidth="1"/>
    <col min="7" max="7" width="11" bestFit="1" customWidth="1"/>
    <col min="8" max="8" width="9" bestFit="1" customWidth="1"/>
    <col min="9" max="9" width="5.4140625" bestFit="1" customWidth="1"/>
    <col min="10" max="11" width="9" bestFit="1" customWidth="1"/>
    <col min="12" max="12" width="5.4140625" bestFit="1" customWidth="1"/>
    <col min="13" max="13" width="10" customWidth="1"/>
    <col min="14" max="14" width="11.4140625" bestFit="1" customWidth="1"/>
  </cols>
  <sheetData>
    <row r="1" spans="1:14" s="49" customFormat="1" x14ac:dyDescent="0.3">
      <c r="A1" s="77" t="s">
        <v>149</v>
      </c>
      <c r="B1" s="77" t="s">
        <v>150</v>
      </c>
      <c r="C1" s="77" t="s">
        <v>151</v>
      </c>
      <c r="D1" s="77" t="s">
        <v>161</v>
      </c>
      <c r="E1" s="77"/>
      <c r="F1" s="77"/>
      <c r="G1" s="79" t="s">
        <v>154</v>
      </c>
      <c r="H1" s="79"/>
      <c r="I1" s="79"/>
      <c r="J1" s="79" t="s">
        <v>159</v>
      </c>
      <c r="K1" s="79"/>
      <c r="L1" s="79"/>
      <c r="M1" s="79" t="s">
        <v>155</v>
      </c>
      <c r="N1" s="77" t="s">
        <v>156</v>
      </c>
    </row>
    <row r="2" spans="1:14" s="49" customFormat="1" ht="28" x14ac:dyDescent="0.3">
      <c r="A2" s="77"/>
      <c r="B2" s="77"/>
      <c r="C2" s="77"/>
      <c r="D2" s="48" t="s">
        <v>152</v>
      </c>
      <c r="E2" s="48" t="s">
        <v>153</v>
      </c>
      <c r="F2" s="48" t="s">
        <v>163</v>
      </c>
      <c r="G2" s="28" t="s">
        <v>160</v>
      </c>
      <c r="H2" s="28" t="s">
        <v>165</v>
      </c>
      <c r="I2" s="48" t="s">
        <v>163</v>
      </c>
      <c r="J2" s="48" t="s">
        <v>152</v>
      </c>
      <c r="K2" s="48" t="s">
        <v>162</v>
      </c>
      <c r="L2" s="48" t="s">
        <v>163</v>
      </c>
      <c r="M2" s="79"/>
      <c r="N2" s="77"/>
    </row>
    <row r="3" spans="1:14" x14ac:dyDescent="0.3">
      <c r="A3" s="47">
        <v>1</v>
      </c>
      <c r="B3" s="46" t="s">
        <v>72</v>
      </c>
      <c r="C3" s="46" t="s">
        <v>157</v>
      </c>
      <c r="D3" s="47">
        <v>5</v>
      </c>
      <c r="E3" s="47">
        <v>500</v>
      </c>
      <c r="F3" s="47">
        <f>D3*E3</f>
        <v>2500</v>
      </c>
      <c r="G3" s="47">
        <v>938</v>
      </c>
      <c r="H3" s="47">
        <v>1</v>
      </c>
      <c r="I3" s="47">
        <f>G3*H3*2</f>
        <v>1876</v>
      </c>
      <c r="J3" s="47">
        <f>D3</f>
        <v>5</v>
      </c>
      <c r="K3" s="47">
        <v>180</v>
      </c>
      <c r="L3" s="47">
        <f>K3*J3</f>
        <v>900</v>
      </c>
      <c r="M3" s="47">
        <f>F3+I3+L3</f>
        <v>5276</v>
      </c>
      <c r="N3" s="46" t="s">
        <v>184</v>
      </c>
    </row>
    <row r="4" spans="1:14" x14ac:dyDescent="0.3">
      <c r="A4" s="47">
        <v>2</v>
      </c>
      <c r="B4" s="46" t="s">
        <v>70</v>
      </c>
      <c r="C4" s="46" t="s">
        <v>158</v>
      </c>
      <c r="D4" s="47">
        <v>10</v>
      </c>
      <c r="E4" s="47">
        <v>500</v>
      </c>
      <c r="F4" s="47">
        <f t="shared" ref="F4:F5" si="0">D4*E4</f>
        <v>5000</v>
      </c>
      <c r="G4" s="47">
        <v>938</v>
      </c>
      <c r="H4" s="47">
        <v>2</v>
      </c>
      <c r="I4" s="47">
        <f t="shared" ref="I4:I5" si="1">G4*H4*2</f>
        <v>3752</v>
      </c>
      <c r="J4" s="47">
        <f t="shared" ref="J4:J5" si="2">D4</f>
        <v>10</v>
      </c>
      <c r="K4" s="47">
        <v>180</v>
      </c>
      <c r="L4" s="47">
        <f t="shared" ref="L4:L5" si="3">K4*J4</f>
        <v>1800</v>
      </c>
      <c r="M4" s="47">
        <f t="shared" ref="M4:M5" si="4">F4+I4+L4</f>
        <v>10552</v>
      </c>
      <c r="N4" s="46" t="s">
        <v>185</v>
      </c>
    </row>
    <row r="5" spans="1:14" x14ac:dyDescent="0.3">
      <c r="A5" s="47">
        <v>3</v>
      </c>
      <c r="B5" s="46" t="s">
        <v>73</v>
      </c>
      <c r="C5" s="46" t="s">
        <v>158</v>
      </c>
      <c r="D5" s="47">
        <v>10</v>
      </c>
      <c r="E5" s="47">
        <v>500</v>
      </c>
      <c r="F5" s="47">
        <f t="shared" si="0"/>
        <v>5000</v>
      </c>
      <c r="G5" s="47">
        <v>938</v>
      </c>
      <c r="H5" s="47">
        <v>2</v>
      </c>
      <c r="I5" s="47">
        <f t="shared" si="1"/>
        <v>3752</v>
      </c>
      <c r="J5" s="47">
        <f t="shared" si="2"/>
        <v>10</v>
      </c>
      <c r="K5" s="47">
        <v>180</v>
      </c>
      <c r="L5" s="47">
        <f t="shared" si="3"/>
        <v>1800</v>
      </c>
      <c r="M5" s="47">
        <f t="shared" si="4"/>
        <v>10552</v>
      </c>
      <c r="N5" s="46" t="s">
        <v>185</v>
      </c>
    </row>
    <row r="6" spans="1:14" s="49" customFormat="1" x14ac:dyDescent="0.3">
      <c r="A6" s="28" t="s">
        <v>164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>
        <f>SUM(M3:M5)</f>
        <v>26380</v>
      </c>
      <c r="N6" s="50"/>
    </row>
  </sheetData>
  <mergeCells count="8">
    <mergeCell ref="A1:A2"/>
    <mergeCell ref="B1:B2"/>
    <mergeCell ref="C1:C2"/>
    <mergeCell ref="N1:N2"/>
    <mergeCell ref="M1:M2"/>
    <mergeCell ref="D1:F1"/>
    <mergeCell ref="G1:I1"/>
    <mergeCell ref="J1:L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E7414-AB60-44D8-8E10-FA10CFC08C60}">
  <dimension ref="A3:C8"/>
  <sheetViews>
    <sheetView workbookViewId="0">
      <selection activeCell="C10" sqref="C10"/>
    </sheetView>
  </sheetViews>
  <sheetFormatPr defaultRowHeight="14" x14ac:dyDescent="0.3"/>
  <cols>
    <col min="2" max="4" width="22.9140625" bestFit="1" customWidth="1"/>
  </cols>
  <sheetData>
    <row r="3" spans="1:3" x14ac:dyDescent="0.3">
      <c r="A3" s="55" t="s">
        <v>168</v>
      </c>
      <c r="B3" t="s">
        <v>174</v>
      </c>
      <c r="C3" t="s">
        <v>183</v>
      </c>
    </row>
    <row r="4" spans="1:3" x14ac:dyDescent="0.3">
      <c r="A4" s="56" t="s">
        <v>169</v>
      </c>
      <c r="C4">
        <v>512</v>
      </c>
    </row>
    <row r="5" spans="1:3" x14ac:dyDescent="0.3">
      <c r="A5" s="56" t="s">
        <v>170</v>
      </c>
      <c r="B5">
        <v>520</v>
      </c>
      <c r="C5">
        <v>96</v>
      </c>
    </row>
    <row r="6" spans="1:3" x14ac:dyDescent="0.3">
      <c r="A6" s="56" t="s">
        <v>171</v>
      </c>
      <c r="B6">
        <v>1136</v>
      </c>
      <c r="C6">
        <v>504</v>
      </c>
    </row>
    <row r="7" spans="1:3" x14ac:dyDescent="0.3">
      <c r="A7" s="56" t="s">
        <v>172</v>
      </c>
    </row>
    <row r="8" spans="1:3" x14ac:dyDescent="0.3">
      <c r="A8" s="56" t="s">
        <v>173</v>
      </c>
      <c r="B8">
        <v>1656</v>
      </c>
      <c r="C8">
        <v>1112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C443A-766A-44EA-A7D5-12573284E0B9}">
  <dimension ref="A1:L36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:H8"/>
    </sheetView>
  </sheetViews>
  <sheetFormatPr defaultColWidth="8.6640625" defaultRowHeight="14" x14ac:dyDescent="0.3"/>
  <cols>
    <col min="1" max="1" width="8.6640625" style="1"/>
    <col min="2" max="2" width="11.6640625" style="1" bestFit="1" customWidth="1"/>
    <col min="3" max="3" width="13.5" style="1" bestFit="1" customWidth="1"/>
    <col min="4" max="4" width="0" style="1" hidden="1" customWidth="1"/>
    <col min="5" max="5" width="8.6640625" style="1" hidden="1" customWidth="1"/>
    <col min="6" max="6" width="28.6640625" style="5" customWidth="1"/>
    <col min="7" max="7" width="26.6640625" style="5" customWidth="1"/>
    <col min="8" max="8" width="5.1640625" style="25" bestFit="1" customWidth="1"/>
    <col min="9" max="9" width="15.33203125" style="25" hidden="1" customWidth="1"/>
    <col min="10" max="10" width="16.33203125" style="25" hidden="1" customWidth="1"/>
    <col min="11" max="11" width="32.9140625" style="5" bestFit="1" customWidth="1"/>
    <col min="12" max="12" width="40.4140625" style="1" customWidth="1"/>
    <col min="13" max="16384" width="8.6640625" style="1"/>
  </cols>
  <sheetData>
    <row r="1" spans="1:12" s="29" customFormat="1" x14ac:dyDescent="0.3">
      <c r="A1" s="12" t="s">
        <v>0</v>
      </c>
      <c r="B1" s="91" t="s">
        <v>1</v>
      </c>
      <c r="C1" s="91"/>
      <c r="D1" s="12" t="s">
        <v>2</v>
      </c>
      <c r="E1" s="12" t="s">
        <v>3</v>
      </c>
      <c r="F1" s="35" t="s">
        <v>105</v>
      </c>
      <c r="G1" s="34" t="s">
        <v>46</v>
      </c>
      <c r="H1" s="11" t="s">
        <v>76</v>
      </c>
      <c r="I1" s="27" t="s">
        <v>106</v>
      </c>
      <c r="J1" s="27" t="s">
        <v>107</v>
      </c>
      <c r="K1" s="13" t="s">
        <v>114</v>
      </c>
      <c r="L1" s="28" t="s">
        <v>96</v>
      </c>
    </row>
    <row r="2" spans="1:12" ht="40.5" x14ac:dyDescent="0.3">
      <c r="A2" s="84" t="s">
        <v>4</v>
      </c>
      <c r="B2" s="85" t="s">
        <v>5</v>
      </c>
      <c r="C2" s="85"/>
      <c r="D2" s="15" t="s">
        <v>29</v>
      </c>
      <c r="E2" s="7" t="s">
        <v>6</v>
      </c>
      <c r="F2" s="33" t="s">
        <v>36</v>
      </c>
      <c r="G2" s="3" t="s">
        <v>37</v>
      </c>
      <c r="H2" s="23" t="s">
        <v>70</v>
      </c>
      <c r="I2" s="59">
        <v>80</v>
      </c>
      <c r="J2" s="26"/>
      <c r="K2" s="32" t="s">
        <v>189</v>
      </c>
      <c r="L2" s="9"/>
    </row>
    <row r="3" spans="1:12" ht="72" customHeight="1" x14ac:dyDescent="0.3">
      <c r="A3" s="84"/>
      <c r="B3" s="84" t="s">
        <v>40</v>
      </c>
      <c r="C3" s="16" t="s">
        <v>39</v>
      </c>
      <c r="D3" s="15" t="s">
        <v>29</v>
      </c>
      <c r="E3" s="7" t="s">
        <v>6</v>
      </c>
      <c r="F3" s="30" t="s">
        <v>41</v>
      </c>
      <c r="G3" s="86" t="s">
        <v>43</v>
      </c>
      <c r="H3" s="23" t="s">
        <v>70</v>
      </c>
      <c r="I3" s="87">
        <v>160</v>
      </c>
      <c r="J3" s="23"/>
      <c r="K3" s="80" t="s">
        <v>190</v>
      </c>
      <c r="L3" s="83" t="s">
        <v>64</v>
      </c>
    </row>
    <row r="4" spans="1:12" x14ac:dyDescent="0.3">
      <c r="A4" s="84"/>
      <c r="B4" s="84"/>
      <c r="C4" s="16" t="s">
        <v>35</v>
      </c>
      <c r="D4" s="15"/>
      <c r="E4" s="7"/>
      <c r="F4" s="30" t="s">
        <v>42</v>
      </c>
      <c r="G4" s="86"/>
      <c r="H4" s="23" t="s">
        <v>70</v>
      </c>
      <c r="I4" s="89"/>
      <c r="J4" s="23"/>
      <c r="K4" s="81"/>
      <c r="L4" s="83"/>
    </row>
    <row r="5" spans="1:12" ht="42" x14ac:dyDescent="0.3">
      <c r="A5" s="84"/>
      <c r="B5" s="85" t="s">
        <v>38</v>
      </c>
      <c r="C5" s="85"/>
      <c r="D5" s="15" t="s">
        <v>29</v>
      </c>
      <c r="E5" s="7" t="s">
        <v>6</v>
      </c>
      <c r="F5" s="30" t="s">
        <v>44</v>
      </c>
      <c r="G5" s="3" t="s">
        <v>45</v>
      </c>
      <c r="H5" s="23" t="s">
        <v>70</v>
      </c>
      <c r="I5" s="59">
        <v>80</v>
      </c>
      <c r="J5" s="23"/>
      <c r="K5" s="82"/>
      <c r="L5" s="8" t="s">
        <v>65</v>
      </c>
    </row>
    <row r="6" spans="1:12" ht="27" x14ac:dyDescent="0.3">
      <c r="A6" s="84" t="s">
        <v>7</v>
      </c>
      <c r="B6" s="85" t="s">
        <v>8</v>
      </c>
      <c r="C6" s="85"/>
      <c r="D6" s="17" t="s">
        <v>30</v>
      </c>
      <c r="E6" s="7" t="s">
        <v>9</v>
      </c>
      <c r="F6" s="36" t="s">
        <v>31</v>
      </c>
      <c r="G6" s="2"/>
      <c r="H6" s="23" t="s">
        <v>70</v>
      </c>
      <c r="I6" s="87">
        <f>20*8</f>
        <v>160</v>
      </c>
      <c r="J6" s="23"/>
      <c r="K6" s="9"/>
      <c r="L6" s="9"/>
    </row>
    <row r="7" spans="1:12" ht="28" x14ac:dyDescent="0.3">
      <c r="A7" s="84"/>
      <c r="B7" s="85" t="s">
        <v>10</v>
      </c>
      <c r="C7" s="85"/>
      <c r="D7" s="17" t="s">
        <v>30</v>
      </c>
      <c r="E7" s="7" t="s">
        <v>9</v>
      </c>
      <c r="F7" s="30" t="s">
        <v>47</v>
      </c>
      <c r="G7" s="3" t="s">
        <v>48</v>
      </c>
      <c r="H7" s="23" t="s">
        <v>70</v>
      </c>
      <c r="I7" s="88"/>
      <c r="J7" s="23"/>
      <c r="K7" s="8"/>
      <c r="L7" s="8" t="s">
        <v>66</v>
      </c>
    </row>
    <row r="8" spans="1:12" ht="28" x14ac:dyDescent="0.3">
      <c r="A8" s="84"/>
      <c r="B8" s="85" t="s">
        <v>11</v>
      </c>
      <c r="C8" s="85"/>
      <c r="D8" s="17" t="s">
        <v>30</v>
      </c>
      <c r="E8" s="7" t="s">
        <v>9</v>
      </c>
      <c r="F8" s="30" t="s">
        <v>47</v>
      </c>
      <c r="G8" s="3" t="s">
        <v>48</v>
      </c>
      <c r="H8" s="23" t="s">
        <v>70</v>
      </c>
      <c r="I8" s="89"/>
      <c r="J8" s="23"/>
      <c r="K8" s="8"/>
      <c r="L8" s="9"/>
    </row>
    <row r="9" spans="1:12" ht="71" x14ac:dyDescent="0.3">
      <c r="A9" s="7" t="s">
        <v>71</v>
      </c>
      <c r="B9" s="85" t="s">
        <v>12</v>
      </c>
      <c r="C9" s="85"/>
      <c r="D9" s="17" t="s">
        <v>30</v>
      </c>
      <c r="E9" s="7" t="s">
        <v>13</v>
      </c>
      <c r="F9" s="30" t="s">
        <v>47</v>
      </c>
      <c r="G9" s="4" t="s">
        <v>49</v>
      </c>
      <c r="H9" s="6" t="s">
        <v>72</v>
      </c>
      <c r="I9" s="59"/>
      <c r="J9" s="6">
        <f>5*8</f>
        <v>40</v>
      </c>
      <c r="K9" s="10"/>
      <c r="L9" s="8" t="s">
        <v>67</v>
      </c>
    </row>
    <row r="10" spans="1:12" ht="56" x14ac:dyDescent="0.3">
      <c r="A10" s="84" t="s">
        <v>14</v>
      </c>
      <c r="B10" s="85" t="s">
        <v>97</v>
      </c>
      <c r="C10" s="85"/>
      <c r="D10" s="15" t="s">
        <v>29</v>
      </c>
      <c r="E10" s="7" t="s">
        <v>6</v>
      </c>
      <c r="F10" s="30" t="s">
        <v>50</v>
      </c>
      <c r="G10" s="3" t="s">
        <v>51</v>
      </c>
      <c r="H10" s="6" t="s">
        <v>73</v>
      </c>
      <c r="I10" s="59">
        <v>24</v>
      </c>
      <c r="J10" s="6">
        <f>2*8</f>
        <v>16</v>
      </c>
      <c r="K10" s="31" t="s">
        <v>115</v>
      </c>
      <c r="L10" s="3" t="s">
        <v>98</v>
      </c>
    </row>
    <row r="11" spans="1:12" ht="140" x14ac:dyDescent="0.3">
      <c r="A11" s="84"/>
      <c r="B11" s="85" t="s">
        <v>77</v>
      </c>
      <c r="C11" s="85"/>
      <c r="D11" s="18" t="s">
        <v>32</v>
      </c>
      <c r="E11" s="7" t="s">
        <v>6</v>
      </c>
      <c r="F11" s="33" t="s">
        <v>52</v>
      </c>
      <c r="G11" s="3" t="s">
        <v>51</v>
      </c>
      <c r="H11" s="6" t="s">
        <v>73</v>
      </c>
      <c r="I11" s="59">
        <v>24</v>
      </c>
      <c r="J11" s="6">
        <f>4*8</f>
        <v>32</v>
      </c>
      <c r="K11" s="31" t="s">
        <v>116</v>
      </c>
      <c r="L11" s="3" t="s">
        <v>100</v>
      </c>
    </row>
    <row r="12" spans="1:12" ht="56" x14ac:dyDescent="0.3">
      <c r="A12" s="84"/>
      <c r="B12" s="85" t="s">
        <v>78</v>
      </c>
      <c r="C12" s="85"/>
      <c r="D12" s="15" t="s">
        <v>29</v>
      </c>
      <c r="E12" s="7" t="s">
        <v>6</v>
      </c>
      <c r="F12" s="33" t="s">
        <v>53</v>
      </c>
      <c r="G12" s="3" t="s">
        <v>54</v>
      </c>
      <c r="H12" s="6" t="s">
        <v>73</v>
      </c>
      <c r="I12" s="59">
        <v>24</v>
      </c>
      <c r="J12" s="6">
        <f t="shared" ref="J12:J15" si="0">2*8</f>
        <v>16</v>
      </c>
      <c r="K12" s="31" t="s">
        <v>115</v>
      </c>
      <c r="L12" s="8" t="s">
        <v>99</v>
      </c>
    </row>
    <row r="13" spans="1:12" ht="56" x14ac:dyDescent="0.3">
      <c r="A13" s="84"/>
      <c r="B13" s="85" t="s">
        <v>79</v>
      </c>
      <c r="C13" s="85"/>
      <c r="D13" s="15" t="s">
        <v>29</v>
      </c>
      <c r="E13" s="7" t="s">
        <v>6</v>
      </c>
      <c r="F13" s="30" t="s">
        <v>55</v>
      </c>
      <c r="G13" s="3" t="s">
        <v>51</v>
      </c>
      <c r="H13" s="6" t="s">
        <v>73</v>
      </c>
      <c r="I13" s="59">
        <v>24</v>
      </c>
      <c r="J13" s="6">
        <f t="shared" si="0"/>
        <v>16</v>
      </c>
      <c r="K13" s="31" t="s">
        <v>115</v>
      </c>
      <c r="L13" s="3" t="s">
        <v>101</v>
      </c>
    </row>
    <row r="14" spans="1:12" ht="56" x14ac:dyDescent="0.3">
      <c r="A14" s="84"/>
      <c r="B14" s="85" t="s">
        <v>102</v>
      </c>
      <c r="C14" s="85"/>
      <c r="D14" s="15" t="s">
        <v>29</v>
      </c>
      <c r="E14" s="7" t="s">
        <v>6</v>
      </c>
      <c r="F14" s="30" t="s">
        <v>56</v>
      </c>
      <c r="G14" s="3" t="s">
        <v>51</v>
      </c>
      <c r="H14" s="6" t="s">
        <v>73</v>
      </c>
      <c r="I14" s="59">
        <v>24</v>
      </c>
      <c r="J14" s="6">
        <f t="shared" si="0"/>
        <v>16</v>
      </c>
      <c r="K14" s="31" t="s">
        <v>115</v>
      </c>
      <c r="L14" s="19" t="s">
        <v>103</v>
      </c>
    </row>
    <row r="15" spans="1:12" ht="56" x14ac:dyDescent="0.3">
      <c r="A15" s="84"/>
      <c r="B15" s="85" t="s">
        <v>15</v>
      </c>
      <c r="C15" s="85"/>
      <c r="D15" s="15" t="s">
        <v>29</v>
      </c>
      <c r="E15" s="7" t="s">
        <v>6</v>
      </c>
      <c r="F15" s="30" t="s">
        <v>56</v>
      </c>
      <c r="G15" s="3" t="s">
        <v>51</v>
      </c>
      <c r="H15" s="6" t="s">
        <v>73</v>
      </c>
      <c r="I15" s="59">
        <v>24</v>
      </c>
      <c r="J15" s="6">
        <f t="shared" si="0"/>
        <v>16</v>
      </c>
      <c r="K15" s="31" t="s">
        <v>115</v>
      </c>
      <c r="L15" s="19" t="s">
        <v>104</v>
      </c>
    </row>
    <row r="16" spans="1:12" ht="28" x14ac:dyDescent="0.3">
      <c r="A16" s="84"/>
      <c r="B16" s="85" t="s">
        <v>16</v>
      </c>
      <c r="C16" s="85"/>
      <c r="D16" s="17" t="s">
        <v>30</v>
      </c>
      <c r="E16" s="7" t="s">
        <v>6</v>
      </c>
      <c r="F16" s="30" t="s">
        <v>47</v>
      </c>
      <c r="G16" s="3" t="s">
        <v>57</v>
      </c>
      <c r="H16" s="6" t="s">
        <v>72</v>
      </c>
      <c r="I16" s="59">
        <v>48</v>
      </c>
      <c r="J16" s="6">
        <f>30*8</f>
        <v>240</v>
      </c>
      <c r="K16" s="8"/>
      <c r="L16" s="9" t="s">
        <v>68</v>
      </c>
    </row>
    <row r="17" spans="1:12" ht="14" customHeight="1" x14ac:dyDescent="0.3">
      <c r="A17" s="84" t="s">
        <v>17</v>
      </c>
      <c r="B17" s="90" t="s">
        <v>69</v>
      </c>
      <c r="C17" s="90"/>
      <c r="D17" s="21" t="s">
        <v>89</v>
      </c>
      <c r="E17" s="22" t="s">
        <v>6</v>
      </c>
      <c r="F17" s="37" t="s">
        <v>47</v>
      </c>
      <c r="G17" s="3" t="s">
        <v>51</v>
      </c>
      <c r="H17" s="24" t="s">
        <v>73</v>
      </c>
      <c r="I17" s="59">
        <v>8</v>
      </c>
      <c r="J17" s="24">
        <f>3*8</f>
        <v>24</v>
      </c>
      <c r="K17" s="31" t="s">
        <v>117</v>
      </c>
      <c r="L17" s="8" t="s">
        <v>88</v>
      </c>
    </row>
    <row r="18" spans="1:12" x14ac:dyDescent="0.3">
      <c r="A18" s="84"/>
      <c r="B18" s="90" t="s">
        <v>74</v>
      </c>
      <c r="C18" s="90"/>
      <c r="D18" s="21" t="s">
        <v>89</v>
      </c>
      <c r="E18" s="22" t="s">
        <v>6</v>
      </c>
      <c r="F18" s="37" t="s">
        <v>47</v>
      </c>
      <c r="G18" s="3" t="s">
        <v>51</v>
      </c>
      <c r="H18" s="24" t="s">
        <v>73</v>
      </c>
      <c r="I18" s="59">
        <v>8</v>
      </c>
      <c r="J18" s="24">
        <f>4*8</f>
        <v>32</v>
      </c>
      <c r="K18" s="31" t="s">
        <v>117</v>
      </c>
      <c r="L18" s="8" t="s">
        <v>88</v>
      </c>
    </row>
    <row r="19" spans="1:12" ht="29" x14ac:dyDescent="0.3">
      <c r="A19" s="84"/>
      <c r="B19" s="90" t="s">
        <v>63</v>
      </c>
      <c r="C19" s="90"/>
      <c r="D19" s="21" t="s">
        <v>89</v>
      </c>
      <c r="E19" s="22" t="s">
        <v>6</v>
      </c>
      <c r="F19" s="37" t="s">
        <v>47</v>
      </c>
      <c r="G19" s="3" t="s">
        <v>57</v>
      </c>
      <c r="H19" s="24" t="s">
        <v>73</v>
      </c>
      <c r="I19" s="59">
        <v>24</v>
      </c>
      <c r="J19" s="24">
        <f>5*8</f>
        <v>40</v>
      </c>
      <c r="K19" s="31" t="s">
        <v>117</v>
      </c>
      <c r="L19" s="3" t="s">
        <v>90</v>
      </c>
    </row>
    <row r="20" spans="1:12" ht="56" x14ac:dyDescent="0.3">
      <c r="A20" s="84"/>
      <c r="B20" s="85" t="s">
        <v>18</v>
      </c>
      <c r="C20" s="85"/>
      <c r="D20" s="17" t="s">
        <v>30</v>
      </c>
      <c r="E20" s="7" t="s">
        <v>6</v>
      </c>
      <c r="F20" s="30" t="s">
        <v>47</v>
      </c>
      <c r="G20" s="3" t="s">
        <v>51</v>
      </c>
      <c r="H20" s="6" t="s">
        <v>73</v>
      </c>
      <c r="I20" s="59">
        <v>48</v>
      </c>
      <c r="J20" s="6">
        <f>10*8</f>
        <v>80</v>
      </c>
      <c r="K20" s="31" t="s">
        <v>118</v>
      </c>
      <c r="L20" s="8" t="s">
        <v>112</v>
      </c>
    </row>
    <row r="21" spans="1:12" ht="28" x14ac:dyDescent="0.3">
      <c r="A21" s="84"/>
      <c r="B21" s="90" t="s">
        <v>81</v>
      </c>
      <c r="C21" s="90"/>
      <c r="D21" s="21" t="s">
        <v>89</v>
      </c>
      <c r="E21" s="22" t="s">
        <v>6</v>
      </c>
      <c r="F21" s="37" t="s">
        <v>47</v>
      </c>
      <c r="G21" s="3" t="s">
        <v>51</v>
      </c>
      <c r="H21" s="24" t="s">
        <v>73</v>
      </c>
      <c r="I21" s="59">
        <v>24</v>
      </c>
      <c r="J21" s="24">
        <f>5*8</f>
        <v>40</v>
      </c>
      <c r="K21" s="31" t="s">
        <v>119</v>
      </c>
      <c r="L21" s="3" t="s">
        <v>113</v>
      </c>
    </row>
    <row r="22" spans="1:12" x14ac:dyDescent="0.3">
      <c r="A22" s="84"/>
      <c r="B22" s="90" t="s">
        <v>80</v>
      </c>
      <c r="C22" s="90"/>
      <c r="D22" s="21" t="s">
        <v>89</v>
      </c>
      <c r="E22" s="22" t="s">
        <v>6</v>
      </c>
      <c r="F22" s="37" t="s">
        <v>47</v>
      </c>
      <c r="G22" s="3" t="s">
        <v>51</v>
      </c>
      <c r="H22" s="24" t="s">
        <v>73</v>
      </c>
      <c r="I22" s="59">
        <v>8</v>
      </c>
      <c r="J22" s="24">
        <f>4*8</f>
        <v>32</v>
      </c>
      <c r="K22" s="38" t="s">
        <v>121</v>
      </c>
      <c r="L22" s="8" t="s">
        <v>120</v>
      </c>
    </row>
    <row r="23" spans="1:12" x14ac:dyDescent="0.3">
      <c r="A23" s="84"/>
      <c r="B23" s="90" t="s">
        <v>82</v>
      </c>
      <c r="C23" s="90"/>
      <c r="D23" s="21" t="s">
        <v>89</v>
      </c>
      <c r="E23" s="22" t="s">
        <v>6</v>
      </c>
      <c r="F23" s="37" t="s">
        <v>47</v>
      </c>
      <c r="G23" s="3" t="s">
        <v>51</v>
      </c>
      <c r="H23" s="24" t="s">
        <v>73</v>
      </c>
      <c r="I23" s="59">
        <v>24</v>
      </c>
      <c r="J23" s="24">
        <f>4*8</f>
        <v>32</v>
      </c>
      <c r="K23" s="38"/>
      <c r="L23" s="8" t="s">
        <v>95</v>
      </c>
    </row>
    <row r="24" spans="1:12" ht="28" x14ac:dyDescent="0.3">
      <c r="A24" s="84"/>
      <c r="B24" s="90" t="s">
        <v>58</v>
      </c>
      <c r="C24" s="90"/>
      <c r="D24" s="21" t="s">
        <v>89</v>
      </c>
      <c r="E24" s="22" t="s">
        <v>6</v>
      </c>
      <c r="F24" s="37" t="s">
        <v>47</v>
      </c>
      <c r="G24" s="3" t="s">
        <v>57</v>
      </c>
      <c r="H24" s="24" t="s">
        <v>72</v>
      </c>
      <c r="I24" s="59">
        <v>48</v>
      </c>
      <c r="J24" s="24">
        <f>30*8</f>
        <v>240</v>
      </c>
      <c r="K24" s="38"/>
      <c r="L24" s="8" t="s">
        <v>94</v>
      </c>
    </row>
    <row r="25" spans="1:12" ht="28" x14ac:dyDescent="0.3">
      <c r="A25" s="84"/>
      <c r="B25" s="85" t="s">
        <v>19</v>
      </c>
      <c r="C25" s="14" t="s">
        <v>20</v>
      </c>
      <c r="D25" s="17" t="s">
        <v>30</v>
      </c>
      <c r="E25" s="7" t="s">
        <v>6</v>
      </c>
      <c r="F25" s="30" t="s">
        <v>47</v>
      </c>
      <c r="G25" s="3" t="s">
        <v>51</v>
      </c>
      <c r="H25" s="6" t="s">
        <v>73</v>
      </c>
      <c r="I25" s="59">
        <v>24</v>
      </c>
      <c r="J25" s="6">
        <f>5*8</f>
        <v>40</v>
      </c>
      <c r="K25" s="31" t="s">
        <v>129</v>
      </c>
      <c r="L25" s="19"/>
    </row>
    <row r="26" spans="1:12" ht="56" x14ac:dyDescent="0.3">
      <c r="A26" s="84"/>
      <c r="B26" s="85"/>
      <c r="C26" s="14" t="s">
        <v>62</v>
      </c>
      <c r="D26" s="17" t="s">
        <v>30</v>
      </c>
      <c r="E26" s="7" t="s">
        <v>13</v>
      </c>
      <c r="F26" s="30" t="s">
        <v>47</v>
      </c>
      <c r="G26" s="3" t="s">
        <v>61</v>
      </c>
      <c r="H26" s="6" t="s">
        <v>73</v>
      </c>
      <c r="I26" s="59">
        <v>48</v>
      </c>
      <c r="J26" s="6">
        <f>20*8</f>
        <v>160</v>
      </c>
      <c r="K26" s="31" t="s">
        <v>122</v>
      </c>
      <c r="L26" s="8" t="s">
        <v>91</v>
      </c>
    </row>
    <row r="27" spans="1:12" x14ac:dyDescent="0.3">
      <c r="A27" s="84" t="s">
        <v>21</v>
      </c>
      <c r="B27" s="85" t="s">
        <v>92</v>
      </c>
      <c r="C27" s="85"/>
      <c r="D27" s="17" t="s">
        <v>30</v>
      </c>
      <c r="E27" s="7" t="s">
        <v>6</v>
      </c>
      <c r="F27" s="30" t="s">
        <v>47</v>
      </c>
      <c r="G27" s="3" t="s">
        <v>51</v>
      </c>
      <c r="H27" s="6" t="s">
        <v>73</v>
      </c>
      <c r="I27" s="59">
        <v>24</v>
      </c>
      <c r="J27" s="6">
        <f>3*8</f>
        <v>24</v>
      </c>
      <c r="K27" s="8"/>
      <c r="L27" s="8" t="s">
        <v>108</v>
      </c>
    </row>
    <row r="28" spans="1:12" ht="28" x14ac:dyDescent="0.3">
      <c r="A28" s="84"/>
      <c r="B28" s="85" t="s">
        <v>83</v>
      </c>
      <c r="C28" s="85"/>
      <c r="D28" s="17" t="s">
        <v>30</v>
      </c>
      <c r="E28" s="7" t="s">
        <v>6</v>
      </c>
      <c r="F28" s="30" t="s">
        <v>47</v>
      </c>
      <c r="G28" s="3" t="s">
        <v>51</v>
      </c>
      <c r="H28" s="6" t="s">
        <v>73</v>
      </c>
      <c r="I28" s="59">
        <v>24</v>
      </c>
      <c r="J28" s="6">
        <f>15*8</f>
        <v>120</v>
      </c>
      <c r="K28" s="3" t="s">
        <v>123</v>
      </c>
      <c r="L28" s="8" t="s">
        <v>93</v>
      </c>
    </row>
    <row r="29" spans="1:12" ht="56" x14ac:dyDescent="0.3">
      <c r="A29" s="84"/>
      <c r="B29" s="90" t="s">
        <v>84</v>
      </c>
      <c r="C29" s="90"/>
      <c r="D29" s="21" t="s">
        <v>89</v>
      </c>
      <c r="E29" s="22" t="s">
        <v>6</v>
      </c>
      <c r="F29" s="37" t="s">
        <v>47</v>
      </c>
      <c r="G29" s="3" t="s">
        <v>51</v>
      </c>
      <c r="H29" s="24" t="s">
        <v>73</v>
      </c>
      <c r="I29" s="59">
        <v>24</v>
      </c>
      <c r="J29" s="24">
        <f>15*8</f>
        <v>120</v>
      </c>
      <c r="K29" s="3" t="s">
        <v>124</v>
      </c>
      <c r="L29" s="8" t="s">
        <v>109</v>
      </c>
    </row>
    <row r="30" spans="1:12" ht="72.5" x14ac:dyDescent="0.3">
      <c r="A30" s="84"/>
      <c r="B30" s="90" t="s">
        <v>85</v>
      </c>
      <c r="C30" s="90"/>
      <c r="D30" s="21" t="s">
        <v>89</v>
      </c>
      <c r="E30" s="22" t="s">
        <v>6</v>
      </c>
      <c r="F30" s="37" t="s">
        <v>47</v>
      </c>
      <c r="G30" s="3" t="s">
        <v>51</v>
      </c>
      <c r="H30" s="24" t="s">
        <v>73</v>
      </c>
      <c r="I30" s="59">
        <v>24</v>
      </c>
      <c r="J30" s="24">
        <f>15*8</f>
        <v>120</v>
      </c>
      <c r="K30" s="4" t="s">
        <v>128</v>
      </c>
      <c r="L30" s="10" t="s">
        <v>127</v>
      </c>
    </row>
    <row r="31" spans="1:12" x14ac:dyDescent="0.3">
      <c r="A31" s="84"/>
      <c r="B31" s="90" t="s">
        <v>86</v>
      </c>
      <c r="C31" s="20" t="s">
        <v>87</v>
      </c>
      <c r="D31" s="21" t="s">
        <v>89</v>
      </c>
      <c r="E31" s="22" t="s">
        <v>6</v>
      </c>
      <c r="F31" s="37" t="s">
        <v>47</v>
      </c>
      <c r="G31" s="3" t="s">
        <v>51</v>
      </c>
      <c r="H31" s="24" t="s">
        <v>73</v>
      </c>
      <c r="I31" s="59">
        <v>24</v>
      </c>
      <c r="J31" s="24">
        <f>5*8</f>
        <v>40</v>
      </c>
      <c r="K31" s="8" t="s">
        <v>126</v>
      </c>
      <c r="L31" s="10" t="s">
        <v>110</v>
      </c>
    </row>
    <row r="32" spans="1:12" ht="28" x14ac:dyDescent="0.3">
      <c r="A32" s="84"/>
      <c r="B32" s="90"/>
      <c r="C32" s="20" t="s">
        <v>22</v>
      </c>
      <c r="D32" s="21" t="s">
        <v>89</v>
      </c>
      <c r="E32" s="22" t="s">
        <v>6</v>
      </c>
      <c r="F32" s="37" t="s">
        <v>47</v>
      </c>
      <c r="G32" s="3" t="s">
        <v>51</v>
      </c>
      <c r="H32" s="24" t="s">
        <v>73</v>
      </c>
      <c r="I32" s="59">
        <v>24</v>
      </c>
      <c r="J32" s="24">
        <f>15*8</f>
        <v>120</v>
      </c>
      <c r="K32" s="3" t="s">
        <v>125</v>
      </c>
      <c r="L32" s="10" t="s">
        <v>111</v>
      </c>
    </row>
    <row r="33" spans="1:12" x14ac:dyDescent="0.3">
      <c r="A33" s="84" t="s">
        <v>23</v>
      </c>
      <c r="B33" s="85" t="s">
        <v>24</v>
      </c>
      <c r="C33" s="85"/>
      <c r="D33" s="15" t="s">
        <v>29</v>
      </c>
      <c r="E33" s="7" t="s">
        <v>9</v>
      </c>
      <c r="F33" s="30" t="s">
        <v>59</v>
      </c>
      <c r="G33" s="3" t="s">
        <v>51</v>
      </c>
      <c r="H33" s="6" t="s">
        <v>70</v>
      </c>
      <c r="I33" s="59">
        <v>16</v>
      </c>
      <c r="J33" s="6"/>
      <c r="K33" s="8"/>
      <c r="L33" s="9"/>
    </row>
    <row r="34" spans="1:12" x14ac:dyDescent="0.3">
      <c r="A34" s="84"/>
      <c r="B34" s="85" t="s">
        <v>75</v>
      </c>
      <c r="C34" s="85"/>
      <c r="D34" s="15" t="s">
        <v>29</v>
      </c>
      <c r="E34" s="7" t="s">
        <v>9</v>
      </c>
      <c r="F34" s="30" t="s">
        <v>59</v>
      </c>
      <c r="G34" s="3" t="s">
        <v>51</v>
      </c>
      <c r="H34" s="6" t="s">
        <v>70</v>
      </c>
      <c r="I34" s="59">
        <v>16</v>
      </c>
      <c r="J34" s="6"/>
      <c r="K34" s="8"/>
      <c r="L34" s="9"/>
    </row>
    <row r="35" spans="1:12" x14ac:dyDescent="0.3">
      <c r="A35" s="7" t="s">
        <v>25</v>
      </c>
      <c r="B35" s="85" t="s">
        <v>26</v>
      </c>
      <c r="C35" s="85"/>
      <c r="D35" s="17" t="s">
        <v>30</v>
      </c>
      <c r="E35" s="7" t="s">
        <v>9</v>
      </c>
      <c r="F35" s="36" t="s">
        <v>33</v>
      </c>
      <c r="G35" s="3" t="s">
        <v>60</v>
      </c>
      <c r="H35" s="6" t="s">
        <v>70</v>
      </c>
      <c r="I35" s="59"/>
      <c r="J35" s="6"/>
      <c r="K35" s="8"/>
      <c r="L35" s="9"/>
    </row>
    <row r="36" spans="1:12" x14ac:dyDescent="0.3">
      <c r="A36" s="7" t="s">
        <v>27</v>
      </c>
      <c r="B36" s="85" t="s">
        <v>28</v>
      </c>
      <c r="C36" s="85"/>
      <c r="D36" s="17" t="s">
        <v>30</v>
      </c>
      <c r="E36" s="7" t="s">
        <v>9</v>
      </c>
      <c r="F36" s="36" t="s">
        <v>34</v>
      </c>
      <c r="G36" s="3" t="s">
        <v>60</v>
      </c>
      <c r="H36" s="6" t="s">
        <v>70</v>
      </c>
      <c r="I36" s="59"/>
      <c r="J36" s="6"/>
      <c r="K36" s="8"/>
      <c r="L36" s="9"/>
    </row>
  </sheetData>
  <mergeCells count="44">
    <mergeCell ref="I3:I4"/>
    <mergeCell ref="B1:C1"/>
    <mergeCell ref="B2:C2"/>
    <mergeCell ref="B5:C5"/>
    <mergeCell ref="B6:C6"/>
    <mergeCell ref="B7:C7"/>
    <mergeCell ref="B3:B4"/>
    <mergeCell ref="A33:A34"/>
    <mergeCell ref="B33:C33"/>
    <mergeCell ref="B34:C34"/>
    <mergeCell ref="B19:C19"/>
    <mergeCell ref="B20:C20"/>
    <mergeCell ref="B35:C35"/>
    <mergeCell ref="A27:A32"/>
    <mergeCell ref="B36:C36"/>
    <mergeCell ref="B21:C21"/>
    <mergeCell ref="B22:C22"/>
    <mergeCell ref="B23:C23"/>
    <mergeCell ref="B24:C24"/>
    <mergeCell ref="B25:B26"/>
    <mergeCell ref="B27:C27"/>
    <mergeCell ref="B28:C28"/>
    <mergeCell ref="B29:C29"/>
    <mergeCell ref="B30:C30"/>
    <mergeCell ref="B31:B32"/>
    <mergeCell ref="A17:A26"/>
    <mergeCell ref="B17:C17"/>
    <mergeCell ref="B18:C18"/>
    <mergeCell ref="K3:K5"/>
    <mergeCell ref="L3:L4"/>
    <mergeCell ref="A2:A5"/>
    <mergeCell ref="A6:A8"/>
    <mergeCell ref="A10:A16"/>
    <mergeCell ref="B14:C14"/>
    <mergeCell ref="B15:C15"/>
    <mergeCell ref="B16:C16"/>
    <mergeCell ref="G3:G4"/>
    <mergeCell ref="B13:C13"/>
    <mergeCell ref="B8:C8"/>
    <mergeCell ref="B9:C9"/>
    <mergeCell ref="B10:C10"/>
    <mergeCell ref="B11:C11"/>
    <mergeCell ref="B12:C12"/>
    <mergeCell ref="I6:I8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10DA0-4A21-4C29-A091-E9B786B493AF}">
  <dimension ref="A1:L36"/>
  <sheetViews>
    <sheetView showGridLines="0"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" sqref="F6"/>
    </sheetView>
  </sheetViews>
  <sheetFormatPr defaultColWidth="8.6640625" defaultRowHeight="14" x14ac:dyDescent="0.3"/>
  <cols>
    <col min="1" max="1" width="8.6640625" style="1"/>
    <col min="2" max="2" width="11.6640625" style="1" bestFit="1" customWidth="1"/>
    <col min="3" max="3" width="13.5" style="1" bestFit="1" customWidth="1"/>
    <col min="4" max="4" width="0" style="1" hidden="1" customWidth="1"/>
    <col min="5" max="5" width="8.6640625" style="1" hidden="1" customWidth="1"/>
    <col min="6" max="6" width="28.6640625" style="5" customWidth="1"/>
    <col min="7" max="7" width="26.6640625" style="5" customWidth="1"/>
    <col min="8" max="8" width="5.1640625" style="25" bestFit="1" customWidth="1"/>
    <col min="9" max="9" width="15.33203125" style="25" hidden="1" customWidth="1"/>
    <col min="10" max="10" width="16.33203125" style="25" hidden="1" customWidth="1"/>
    <col min="11" max="11" width="32.9140625" style="5" bestFit="1" customWidth="1"/>
    <col min="12" max="12" width="40.4140625" style="1" customWidth="1"/>
    <col min="13" max="16384" width="8.6640625" style="1"/>
  </cols>
  <sheetData>
    <row r="1" spans="1:12" s="29" customFormat="1" x14ac:dyDescent="0.3">
      <c r="A1" s="65" t="s">
        <v>0</v>
      </c>
      <c r="B1" s="91" t="s">
        <v>1</v>
      </c>
      <c r="C1" s="91"/>
      <c r="D1" s="65" t="s">
        <v>2</v>
      </c>
      <c r="E1" s="65" t="s">
        <v>3</v>
      </c>
      <c r="F1" s="35" t="s">
        <v>105</v>
      </c>
      <c r="G1" s="34" t="s">
        <v>46</v>
      </c>
      <c r="H1" s="11" t="s">
        <v>76</v>
      </c>
      <c r="I1" s="27" t="s">
        <v>106</v>
      </c>
      <c r="J1" s="27" t="s">
        <v>107</v>
      </c>
      <c r="K1" s="13" t="s">
        <v>114</v>
      </c>
      <c r="L1" s="60" t="s">
        <v>96</v>
      </c>
    </row>
    <row r="2" spans="1:12" ht="40.5" x14ac:dyDescent="0.3">
      <c r="A2" s="84" t="s">
        <v>4</v>
      </c>
      <c r="B2" s="85" t="s">
        <v>5</v>
      </c>
      <c r="C2" s="85"/>
      <c r="D2" s="15" t="s">
        <v>29</v>
      </c>
      <c r="E2" s="61" t="s">
        <v>6</v>
      </c>
      <c r="F2" s="33" t="s">
        <v>36</v>
      </c>
      <c r="G2" s="3" t="s">
        <v>37</v>
      </c>
      <c r="H2" s="92" t="s">
        <v>191</v>
      </c>
      <c r="I2" s="59">
        <v>80</v>
      </c>
      <c r="J2" s="26"/>
      <c r="K2" s="32" t="s">
        <v>189</v>
      </c>
      <c r="L2" s="9"/>
    </row>
    <row r="3" spans="1:12" ht="72" customHeight="1" x14ac:dyDescent="0.3">
      <c r="A3" s="84"/>
      <c r="B3" s="84" t="s">
        <v>40</v>
      </c>
      <c r="C3" s="16" t="s">
        <v>39</v>
      </c>
      <c r="D3" s="15" t="s">
        <v>29</v>
      </c>
      <c r="E3" s="61" t="s">
        <v>6</v>
      </c>
      <c r="F3" s="63" t="s">
        <v>41</v>
      </c>
      <c r="G3" s="86" t="s">
        <v>43</v>
      </c>
      <c r="H3" s="93"/>
      <c r="I3" s="87">
        <v>160</v>
      </c>
      <c r="J3" s="23"/>
      <c r="K3" s="80" t="s">
        <v>190</v>
      </c>
      <c r="L3" s="83" t="s">
        <v>64</v>
      </c>
    </row>
    <row r="4" spans="1:12" x14ac:dyDescent="0.3">
      <c r="A4" s="84"/>
      <c r="B4" s="84"/>
      <c r="C4" s="16" t="s">
        <v>35</v>
      </c>
      <c r="D4" s="15"/>
      <c r="E4" s="61"/>
      <c r="F4" s="63" t="s">
        <v>42</v>
      </c>
      <c r="G4" s="86"/>
      <c r="H4" s="93"/>
      <c r="I4" s="89"/>
      <c r="J4" s="23"/>
      <c r="K4" s="81"/>
      <c r="L4" s="83"/>
    </row>
    <row r="5" spans="1:12" ht="42" x14ac:dyDescent="0.3">
      <c r="A5" s="84"/>
      <c r="B5" s="85" t="s">
        <v>38</v>
      </c>
      <c r="C5" s="85"/>
      <c r="D5" s="15" t="s">
        <v>29</v>
      </c>
      <c r="E5" s="61" t="s">
        <v>6</v>
      </c>
      <c r="F5" s="63" t="s">
        <v>44</v>
      </c>
      <c r="G5" s="3" t="s">
        <v>45</v>
      </c>
      <c r="H5" s="93"/>
      <c r="I5" s="59">
        <v>80</v>
      </c>
      <c r="J5" s="23"/>
      <c r="K5" s="82"/>
      <c r="L5" s="8" t="s">
        <v>65</v>
      </c>
    </row>
    <row r="6" spans="1:12" ht="27" x14ac:dyDescent="0.3">
      <c r="A6" s="84" t="s">
        <v>7</v>
      </c>
      <c r="B6" s="85" t="s">
        <v>8</v>
      </c>
      <c r="C6" s="85"/>
      <c r="D6" s="17" t="s">
        <v>30</v>
      </c>
      <c r="E6" s="61" t="s">
        <v>9</v>
      </c>
      <c r="F6" s="33" t="s">
        <v>199</v>
      </c>
      <c r="G6" s="2"/>
      <c r="H6" s="93"/>
      <c r="I6" s="87">
        <f>20*8</f>
        <v>160</v>
      </c>
      <c r="J6" s="23"/>
      <c r="K6" s="9"/>
      <c r="L6" s="9"/>
    </row>
    <row r="7" spans="1:12" ht="28" x14ac:dyDescent="0.3">
      <c r="A7" s="84"/>
      <c r="B7" s="85" t="s">
        <v>10</v>
      </c>
      <c r="C7" s="85"/>
      <c r="D7" s="17" t="s">
        <v>30</v>
      </c>
      <c r="E7" s="61" t="s">
        <v>9</v>
      </c>
      <c r="F7" s="63" t="s">
        <v>47</v>
      </c>
      <c r="G7" s="3" t="s">
        <v>48</v>
      </c>
      <c r="H7" s="93"/>
      <c r="I7" s="88"/>
      <c r="J7" s="23"/>
      <c r="K7" s="8"/>
      <c r="L7" s="8" t="s">
        <v>66</v>
      </c>
    </row>
    <row r="8" spans="1:12" ht="28" x14ac:dyDescent="0.3">
      <c r="A8" s="84"/>
      <c r="B8" s="85" t="s">
        <v>11</v>
      </c>
      <c r="C8" s="85"/>
      <c r="D8" s="17" t="s">
        <v>30</v>
      </c>
      <c r="E8" s="61" t="s">
        <v>9</v>
      </c>
      <c r="F8" s="63" t="s">
        <v>47</v>
      </c>
      <c r="G8" s="3" t="s">
        <v>48</v>
      </c>
      <c r="H8" s="94"/>
      <c r="I8" s="89"/>
      <c r="J8" s="23"/>
      <c r="K8" s="8"/>
      <c r="L8" s="9"/>
    </row>
    <row r="9" spans="1:12" ht="71" x14ac:dyDescent="0.3">
      <c r="A9" s="61" t="s">
        <v>71</v>
      </c>
      <c r="B9" s="85" t="s">
        <v>12</v>
      </c>
      <c r="C9" s="85"/>
      <c r="D9" s="17" t="s">
        <v>30</v>
      </c>
      <c r="E9" s="61" t="s">
        <v>13</v>
      </c>
      <c r="F9" s="63" t="s">
        <v>47</v>
      </c>
      <c r="G9" s="4" t="s">
        <v>198</v>
      </c>
      <c r="H9" s="68" t="s">
        <v>192</v>
      </c>
      <c r="I9" s="67"/>
      <c r="J9" s="6">
        <f>5*8</f>
        <v>40</v>
      </c>
      <c r="K9" s="10"/>
      <c r="L9" s="8" t="s">
        <v>67</v>
      </c>
    </row>
    <row r="10" spans="1:12" ht="56" x14ac:dyDescent="0.3">
      <c r="A10" s="84" t="s">
        <v>14</v>
      </c>
      <c r="B10" s="85" t="s">
        <v>97</v>
      </c>
      <c r="C10" s="85"/>
      <c r="D10" s="15" t="s">
        <v>29</v>
      </c>
      <c r="E10" s="61" t="s">
        <v>6</v>
      </c>
      <c r="F10" s="63" t="s">
        <v>50</v>
      </c>
      <c r="G10" s="3" t="s">
        <v>51</v>
      </c>
      <c r="H10" s="95" t="s">
        <v>191</v>
      </c>
      <c r="I10" s="59">
        <v>24</v>
      </c>
      <c r="J10" s="6">
        <f>2*8</f>
        <v>16</v>
      </c>
      <c r="K10" s="31" t="s">
        <v>115</v>
      </c>
      <c r="L10" s="3" t="s">
        <v>98</v>
      </c>
    </row>
    <row r="11" spans="1:12" ht="140" x14ac:dyDescent="0.3">
      <c r="A11" s="84"/>
      <c r="B11" s="85" t="s">
        <v>77</v>
      </c>
      <c r="C11" s="85"/>
      <c r="D11" s="18" t="s">
        <v>32</v>
      </c>
      <c r="E11" s="61" t="s">
        <v>6</v>
      </c>
      <c r="F11" s="33" t="s">
        <v>52</v>
      </c>
      <c r="G11" s="3" t="s">
        <v>51</v>
      </c>
      <c r="H11" s="96"/>
      <c r="I11" s="59">
        <v>24</v>
      </c>
      <c r="J11" s="6">
        <f>4*8</f>
        <v>32</v>
      </c>
      <c r="K11" s="31" t="s">
        <v>116</v>
      </c>
      <c r="L11" s="3" t="s">
        <v>100</v>
      </c>
    </row>
    <row r="12" spans="1:12" ht="56" x14ac:dyDescent="0.3">
      <c r="A12" s="84"/>
      <c r="B12" s="85" t="s">
        <v>78</v>
      </c>
      <c r="C12" s="85"/>
      <c r="D12" s="15" t="s">
        <v>29</v>
      </c>
      <c r="E12" s="61" t="s">
        <v>6</v>
      </c>
      <c r="F12" s="33" t="s">
        <v>53</v>
      </c>
      <c r="G12" s="3" t="s">
        <v>54</v>
      </c>
      <c r="H12" s="97"/>
      <c r="I12" s="59">
        <v>24</v>
      </c>
      <c r="J12" s="6">
        <f t="shared" ref="J12:J15" si="0">2*8</f>
        <v>16</v>
      </c>
      <c r="K12" s="31" t="s">
        <v>115</v>
      </c>
      <c r="L12" s="8" t="s">
        <v>99</v>
      </c>
    </row>
    <row r="13" spans="1:12" ht="56" x14ac:dyDescent="0.3">
      <c r="A13" s="84"/>
      <c r="B13" s="85" t="s">
        <v>79</v>
      </c>
      <c r="C13" s="85"/>
      <c r="D13" s="15" t="s">
        <v>29</v>
      </c>
      <c r="E13" s="61" t="s">
        <v>6</v>
      </c>
      <c r="F13" s="63" t="s">
        <v>55</v>
      </c>
      <c r="G13" s="3" t="s">
        <v>51</v>
      </c>
      <c r="H13" s="95" t="s">
        <v>192</v>
      </c>
      <c r="I13" s="59">
        <v>24</v>
      </c>
      <c r="J13" s="6">
        <f t="shared" si="0"/>
        <v>16</v>
      </c>
      <c r="K13" s="31" t="s">
        <v>115</v>
      </c>
      <c r="L13" s="3" t="s">
        <v>101</v>
      </c>
    </row>
    <row r="14" spans="1:12" ht="56" x14ac:dyDescent="0.3">
      <c r="A14" s="84"/>
      <c r="B14" s="85" t="s">
        <v>102</v>
      </c>
      <c r="C14" s="85"/>
      <c r="D14" s="15" t="s">
        <v>29</v>
      </c>
      <c r="E14" s="61" t="s">
        <v>6</v>
      </c>
      <c r="F14" s="63" t="s">
        <v>56</v>
      </c>
      <c r="G14" s="3" t="s">
        <v>51</v>
      </c>
      <c r="H14" s="96"/>
      <c r="I14" s="59">
        <v>24</v>
      </c>
      <c r="J14" s="6">
        <f t="shared" si="0"/>
        <v>16</v>
      </c>
      <c r="K14" s="31" t="s">
        <v>115</v>
      </c>
      <c r="L14" s="19" t="s">
        <v>103</v>
      </c>
    </row>
    <row r="15" spans="1:12" ht="56" x14ac:dyDescent="0.3">
      <c r="A15" s="84"/>
      <c r="B15" s="85" t="s">
        <v>15</v>
      </c>
      <c r="C15" s="85"/>
      <c r="D15" s="15" t="s">
        <v>29</v>
      </c>
      <c r="E15" s="61" t="s">
        <v>6</v>
      </c>
      <c r="F15" s="63" t="s">
        <v>56</v>
      </c>
      <c r="G15" s="3" t="s">
        <v>51</v>
      </c>
      <c r="H15" s="97"/>
      <c r="I15" s="59">
        <v>24</v>
      </c>
      <c r="J15" s="6">
        <f t="shared" si="0"/>
        <v>16</v>
      </c>
      <c r="K15" s="31" t="s">
        <v>115</v>
      </c>
      <c r="L15" s="19" t="s">
        <v>104</v>
      </c>
    </row>
    <row r="16" spans="1:12" ht="28" x14ac:dyDescent="0.3">
      <c r="A16" s="84"/>
      <c r="B16" s="85" t="s">
        <v>16</v>
      </c>
      <c r="C16" s="85"/>
      <c r="D16" s="17" t="s">
        <v>30</v>
      </c>
      <c r="E16" s="61" t="s">
        <v>6</v>
      </c>
      <c r="F16" s="63" t="s">
        <v>47</v>
      </c>
      <c r="G16" s="3" t="s">
        <v>57</v>
      </c>
      <c r="H16" s="6" t="s">
        <v>191</v>
      </c>
      <c r="I16" s="59">
        <v>48</v>
      </c>
      <c r="J16" s="6">
        <f>30*8</f>
        <v>240</v>
      </c>
      <c r="K16" s="8"/>
      <c r="L16" s="9" t="s">
        <v>68</v>
      </c>
    </row>
    <row r="17" spans="1:12" ht="14" customHeight="1" x14ac:dyDescent="0.3">
      <c r="A17" s="84" t="s">
        <v>17</v>
      </c>
      <c r="B17" s="90" t="s">
        <v>69</v>
      </c>
      <c r="C17" s="90"/>
      <c r="D17" s="21" t="s">
        <v>89</v>
      </c>
      <c r="E17" s="22" t="s">
        <v>6</v>
      </c>
      <c r="F17" s="37" t="s">
        <v>47</v>
      </c>
      <c r="G17" s="3" t="s">
        <v>51</v>
      </c>
      <c r="H17" s="98" t="s">
        <v>191</v>
      </c>
      <c r="I17" s="59">
        <v>8</v>
      </c>
      <c r="J17" s="24">
        <f>3*8</f>
        <v>24</v>
      </c>
      <c r="K17" s="31" t="s">
        <v>117</v>
      </c>
      <c r="L17" s="8" t="s">
        <v>88</v>
      </c>
    </row>
    <row r="18" spans="1:12" x14ac:dyDescent="0.3">
      <c r="A18" s="84"/>
      <c r="B18" s="90" t="s">
        <v>74</v>
      </c>
      <c r="C18" s="90"/>
      <c r="D18" s="21" t="s">
        <v>89</v>
      </c>
      <c r="E18" s="22" t="s">
        <v>6</v>
      </c>
      <c r="F18" s="37" t="s">
        <v>47</v>
      </c>
      <c r="G18" s="3" t="s">
        <v>51</v>
      </c>
      <c r="H18" s="99"/>
      <c r="I18" s="59">
        <v>8</v>
      </c>
      <c r="J18" s="24">
        <f>4*8</f>
        <v>32</v>
      </c>
      <c r="K18" s="31" t="s">
        <v>117</v>
      </c>
      <c r="L18" s="8" t="s">
        <v>88</v>
      </c>
    </row>
    <row r="19" spans="1:12" ht="29" x14ac:dyDescent="0.3">
      <c r="A19" s="84"/>
      <c r="B19" s="90" t="s">
        <v>63</v>
      </c>
      <c r="C19" s="90"/>
      <c r="D19" s="21" t="s">
        <v>89</v>
      </c>
      <c r="E19" s="22" t="s">
        <v>6</v>
      </c>
      <c r="F19" s="37" t="s">
        <v>47</v>
      </c>
      <c r="G19" s="3" t="s">
        <v>57</v>
      </c>
      <c r="H19" s="99"/>
      <c r="I19" s="59">
        <v>24</v>
      </c>
      <c r="J19" s="24">
        <f>5*8</f>
        <v>40</v>
      </c>
      <c r="K19" s="31" t="s">
        <v>117</v>
      </c>
      <c r="L19" s="3" t="s">
        <v>90</v>
      </c>
    </row>
    <row r="20" spans="1:12" ht="56" x14ac:dyDescent="0.3">
      <c r="A20" s="84"/>
      <c r="B20" s="85" t="s">
        <v>18</v>
      </c>
      <c r="C20" s="85"/>
      <c r="D20" s="17" t="s">
        <v>30</v>
      </c>
      <c r="E20" s="61" t="s">
        <v>6</v>
      </c>
      <c r="F20" s="63" t="s">
        <v>47</v>
      </c>
      <c r="G20" s="3" t="s">
        <v>51</v>
      </c>
      <c r="H20" s="99"/>
      <c r="I20" s="59">
        <v>48</v>
      </c>
      <c r="J20" s="6">
        <f>10*8</f>
        <v>80</v>
      </c>
      <c r="K20" s="31" t="s">
        <v>118</v>
      </c>
      <c r="L20" s="8" t="s">
        <v>112</v>
      </c>
    </row>
    <row r="21" spans="1:12" ht="28" x14ac:dyDescent="0.3">
      <c r="A21" s="84"/>
      <c r="B21" s="90" t="s">
        <v>81</v>
      </c>
      <c r="C21" s="90"/>
      <c r="D21" s="21" t="s">
        <v>89</v>
      </c>
      <c r="E21" s="22" t="s">
        <v>6</v>
      </c>
      <c r="F21" s="37" t="s">
        <v>47</v>
      </c>
      <c r="G21" s="3" t="s">
        <v>51</v>
      </c>
      <c r="H21" s="99"/>
      <c r="I21" s="59">
        <v>24</v>
      </c>
      <c r="J21" s="24">
        <f>5*8</f>
        <v>40</v>
      </c>
      <c r="K21" s="31" t="s">
        <v>119</v>
      </c>
      <c r="L21" s="3" t="s">
        <v>113</v>
      </c>
    </row>
    <row r="22" spans="1:12" x14ac:dyDescent="0.3">
      <c r="A22" s="84"/>
      <c r="B22" s="90" t="s">
        <v>80</v>
      </c>
      <c r="C22" s="90"/>
      <c r="D22" s="21" t="s">
        <v>89</v>
      </c>
      <c r="E22" s="22" t="s">
        <v>6</v>
      </c>
      <c r="F22" s="37" t="s">
        <v>47</v>
      </c>
      <c r="G22" s="3" t="s">
        <v>51</v>
      </c>
      <c r="H22" s="99"/>
      <c r="I22" s="59">
        <v>8</v>
      </c>
      <c r="J22" s="24">
        <f>4*8</f>
        <v>32</v>
      </c>
      <c r="K22" s="38" t="s">
        <v>121</v>
      </c>
      <c r="L22" s="8" t="s">
        <v>120</v>
      </c>
    </row>
    <row r="23" spans="1:12" x14ac:dyDescent="0.3">
      <c r="A23" s="84"/>
      <c r="B23" s="90" t="s">
        <v>82</v>
      </c>
      <c r="C23" s="90"/>
      <c r="D23" s="21" t="s">
        <v>89</v>
      </c>
      <c r="E23" s="22" t="s">
        <v>6</v>
      </c>
      <c r="F23" s="37" t="s">
        <v>47</v>
      </c>
      <c r="G23" s="3" t="s">
        <v>51</v>
      </c>
      <c r="H23" s="99"/>
      <c r="I23" s="59">
        <v>24</v>
      </c>
      <c r="J23" s="24">
        <f>4*8</f>
        <v>32</v>
      </c>
      <c r="K23" s="38"/>
      <c r="L23" s="8" t="s">
        <v>95</v>
      </c>
    </row>
    <row r="24" spans="1:12" ht="28" x14ac:dyDescent="0.3">
      <c r="A24" s="84"/>
      <c r="B24" s="90" t="s">
        <v>58</v>
      </c>
      <c r="C24" s="90"/>
      <c r="D24" s="21" t="s">
        <v>89</v>
      </c>
      <c r="E24" s="22" t="s">
        <v>6</v>
      </c>
      <c r="F24" s="37" t="s">
        <v>47</v>
      </c>
      <c r="G24" s="3" t="s">
        <v>57</v>
      </c>
      <c r="H24" s="99"/>
      <c r="I24" s="59">
        <v>48</v>
      </c>
      <c r="J24" s="24">
        <f>30*8</f>
        <v>240</v>
      </c>
      <c r="K24" s="38"/>
      <c r="L24" s="8" t="s">
        <v>94</v>
      </c>
    </row>
    <row r="25" spans="1:12" ht="28" x14ac:dyDescent="0.3">
      <c r="A25" s="84"/>
      <c r="B25" s="85" t="s">
        <v>19</v>
      </c>
      <c r="C25" s="62" t="s">
        <v>20</v>
      </c>
      <c r="D25" s="17" t="s">
        <v>30</v>
      </c>
      <c r="E25" s="61" t="s">
        <v>6</v>
      </c>
      <c r="F25" s="63" t="s">
        <v>47</v>
      </c>
      <c r="G25" s="3" t="s">
        <v>51</v>
      </c>
      <c r="H25" s="99"/>
      <c r="I25" s="59">
        <v>24</v>
      </c>
      <c r="J25" s="6">
        <f>5*8</f>
        <v>40</v>
      </c>
      <c r="K25" s="31" t="s">
        <v>129</v>
      </c>
      <c r="L25" s="19"/>
    </row>
    <row r="26" spans="1:12" ht="56" x14ac:dyDescent="0.3">
      <c r="A26" s="84"/>
      <c r="B26" s="85"/>
      <c r="C26" s="62" t="s">
        <v>62</v>
      </c>
      <c r="D26" s="17" t="s">
        <v>30</v>
      </c>
      <c r="E26" s="61" t="s">
        <v>13</v>
      </c>
      <c r="F26" s="63" t="s">
        <v>47</v>
      </c>
      <c r="G26" s="3" t="s">
        <v>61</v>
      </c>
      <c r="H26" s="100"/>
      <c r="I26" s="59">
        <v>48</v>
      </c>
      <c r="J26" s="6">
        <f>20*8</f>
        <v>160</v>
      </c>
      <c r="K26" s="31" t="s">
        <v>122</v>
      </c>
      <c r="L26" s="8" t="s">
        <v>91</v>
      </c>
    </row>
    <row r="27" spans="1:12" x14ac:dyDescent="0.3">
      <c r="A27" s="84" t="s">
        <v>21</v>
      </c>
      <c r="B27" s="85" t="s">
        <v>92</v>
      </c>
      <c r="C27" s="85"/>
      <c r="D27" s="17" t="s">
        <v>30</v>
      </c>
      <c r="E27" s="61" t="s">
        <v>6</v>
      </c>
      <c r="F27" s="63" t="s">
        <v>47</v>
      </c>
      <c r="G27" s="3" t="s">
        <v>51</v>
      </c>
      <c r="H27" s="95" t="s">
        <v>192</v>
      </c>
      <c r="I27" s="59">
        <v>24</v>
      </c>
      <c r="J27" s="6">
        <f>3*8</f>
        <v>24</v>
      </c>
      <c r="K27" s="8"/>
      <c r="L27" s="8" t="s">
        <v>108</v>
      </c>
    </row>
    <row r="28" spans="1:12" ht="28" x14ac:dyDescent="0.3">
      <c r="A28" s="84"/>
      <c r="B28" s="85" t="s">
        <v>83</v>
      </c>
      <c r="C28" s="85"/>
      <c r="D28" s="17" t="s">
        <v>30</v>
      </c>
      <c r="E28" s="61" t="s">
        <v>6</v>
      </c>
      <c r="F28" s="63" t="s">
        <v>47</v>
      </c>
      <c r="G28" s="3" t="s">
        <v>51</v>
      </c>
      <c r="H28" s="96"/>
      <c r="I28" s="59">
        <v>24</v>
      </c>
      <c r="J28" s="6">
        <f>15*8</f>
        <v>120</v>
      </c>
      <c r="K28" s="3" t="s">
        <v>123</v>
      </c>
      <c r="L28" s="8" t="s">
        <v>93</v>
      </c>
    </row>
    <row r="29" spans="1:12" ht="56" x14ac:dyDescent="0.3">
      <c r="A29" s="84"/>
      <c r="B29" s="90" t="s">
        <v>84</v>
      </c>
      <c r="C29" s="90"/>
      <c r="D29" s="21" t="s">
        <v>89</v>
      </c>
      <c r="E29" s="22" t="s">
        <v>6</v>
      </c>
      <c r="F29" s="37" t="s">
        <v>47</v>
      </c>
      <c r="G29" s="3" t="s">
        <v>51</v>
      </c>
      <c r="H29" s="96"/>
      <c r="I29" s="59">
        <v>24</v>
      </c>
      <c r="J29" s="24">
        <f>15*8</f>
        <v>120</v>
      </c>
      <c r="K29" s="3" t="s">
        <v>124</v>
      </c>
      <c r="L29" s="8" t="s">
        <v>109</v>
      </c>
    </row>
    <row r="30" spans="1:12" ht="72.5" x14ac:dyDescent="0.3">
      <c r="A30" s="84"/>
      <c r="B30" s="90" t="s">
        <v>85</v>
      </c>
      <c r="C30" s="90"/>
      <c r="D30" s="21" t="s">
        <v>89</v>
      </c>
      <c r="E30" s="22" t="s">
        <v>6</v>
      </c>
      <c r="F30" s="37" t="s">
        <v>47</v>
      </c>
      <c r="G30" s="3" t="s">
        <v>51</v>
      </c>
      <c r="H30" s="96"/>
      <c r="I30" s="59">
        <v>24</v>
      </c>
      <c r="J30" s="24">
        <f>15*8</f>
        <v>120</v>
      </c>
      <c r="K30" s="4" t="s">
        <v>128</v>
      </c>
      <c r="L30" s="10" t="s">
        <v>127</v>
      </c>
    </row>
    <row r="31" spans="1:12" x14ac:dyDescent="0.3">
      <c r="A31" s="84"/>
      <c r="B31" s="90" t="s">
        <v>86</v>
      </c>
      <c r="C31" s="64" t="s">
        <v>87</v>
      </c>
      <c r="D31" s="21" t="s">
        <v>89</v>
      </c>
      <c r="E31" s="22" t="s">
        <v>6</v>
      </c>
      <c r="F31" s="37" t="s">
        <v>47</v>
      </c>
      <c r="G31" s="3" t="s">
        <v>51</v>
      </c>
      <c r="H31" s="96"/>
      <c r="I31" s="59">
        <v>24</v>
      </c>
      <c r="J31" s="24">
        <f>5*8</f>
        <v>40</v>
      </c>
      <c r="K31" s="8" t="s">
        <v>126</v>
      </c>
      <c r="L31" s="10" t="s">
        <v>110</v>
      </c>
    </row>
    <row r="32" spans="1:12" ht="28" x14ac:dyDescent="0.3">
      <c r="A32" s="84"/>
      <c r="B32" s="90"/>
      <c r="C32" s="64" t="s">
        <v>22</v>
      </c>
      <c r="D32" s="21" t="s">
        <v>89</v>
      </c>
      <c r="E32" s="22" t="s">
        <v>6</v>
      </c>
      <c r="F32" s="37" t="s">
        <v>47</v>
      </c>
      <c r="G32" s="3" t="s">
        <v>51</v>
      </c>
      <c r="H32" s="97"/>
      <c r="I32" s="59">
        <v>24</v>
      </c>
      <c r="J32" s="24">
        <f>15*8</f>
        <v>120</v>
      </c>
      <c r="K32" s="3" t="s">
        <v>125</v>
      </c>
      <c r="L32" s="10" t="s">
        <v>111</v>
      </c>
    </row>
    <row r="33" spans="1:12" x14ac:dyDescent="0.3">
      <c r="A33" s="84" t="s">
        <v>23</v>
      </c>
      <c r="B33" s="85" t="s">
        <v>24</v>
      </c>
      <c r="C33" s="85"/>
      <c r="D33" s="15" t="s">
        <v>29</v>
      </c>
      <c r="E33" s="61" t="s">
        <v>9</v>
      </c>
      <c r="F33" s="63" t="s">
        <v>59</v>
      </c>
      <c r="G33" s="3" t="s">
        <v>51</v>
      </c>
      <c r="H33" s="6"/>
      <c r="I33" s="59">
        <v>16</v>
      </c>
      <c r="J33" s="6"/>
      <c r="K33" s="8"/>
      <c r="L33" s="9"/>
    </row>
    <row r="34" spans="1:12" x14ac:dyDescent="0.3">
      <c r="A34" s="84"/>
      <c r="B34" s="85" t="s">
        <v>75</v>
      </c>
      <c r="C34" s="85"/>
      <c r="D34" s="15" t="s">
        <v>29</v>
      </c>
      <c r="E34" s="61" t="s">
        <v>9</v>
      </c>
      <c r="F34" s="63" t="s">
        <v>59</v>
      </c>
      <c r="G34" s="3" t="s">
        <v>51</v>
      </c>
      <c r="H34" s="6"/>
      <c r="I34" s="59">
        <v>16</v>
      </c>
      <c r="J34" s="6"/>
      <c r="K34" s="8"/>
      <c r="L34" s="9"/>
    </row>
    <row r="35" spans="1:12" x14ac:dyDescent="0.3">
      <c r="A35" s="61" t="s">
        <v>25</v>
      </c>
      <c r="B35" s="85" t="s">
        <v>26</v>
      </c>
      <c r="C35" s="85"/>
      <c r="D35" s="17" t="s">
        <v>30</v>
      </c>
      <c r="E35" s="61" t="s">
        <v>9</v>
      </c>
      <c r="F35" s="36" t="s">
        <v>33</v>
      </c>
      <c r="G35" s="3" t="s">
        <v>60</v>
      </c>
      <c r="H35" s="6"/>
      <c r="I35" s="59"/>
      <c r="J35" s="6"/>
      <c r="K35" s="8"/>
      <c r="L35" s="9"/>
    </row>
    <row r="36" spans="1:12" x14ac:dyDescent="0.3">
      <c r="A36" s="61" t="s">
        <v>27</v>
      </c>
      <c r="B36" s="85" t="s">
        <v>28</v>
      </c>
      <c r="C36" s="85"/>
      <c r="D36" s="17" t="s">
        <v>30</v>
      </c>
      <c r="E36" s="61" t="s">
        <v>9</v>
      </c>
      <c r="F36" s="36" t="s">
        <v>34</v>
      </c>
      <c r="G36" s="3" t="s">
        <v>60</v>
      </c>
      <c r="H36" s="6"/>
      <c r="I36" s="59"/>
      <c r="J36" s="6"/>
      <c r="K36" s="8"/>
      <c r="L36" s="9"/>
    </row>
  </sheetData>
  <mergeCells count="49">
    <mergeCell ref="B1:C1"/>
    <mergeCell ref="A2:A5"/>
    <mergeCell ref="B2:C2"/>
    <mergeCell ref="B3:B4"/>
    <mergeCell ref="G3:G4"/>
    <mergeCell ref="K3:K5"/>
    <mergeCell ref="L3:L4"/>
    <mergeCell ref="B5:C5"/>
    <mergeCell ref="A6:A8"/>
    <mergeCell ref="B6:C6"/>
    <mergeCell ref="I6:I8"/>
    <mergeCell ref="B7:C7"/>
    <mergeCell ref="B8:C8"/>
    <mergeCell ref="I3:I4"/>
    <mergeCell ref="B9:C9"/>
    <mergeCell ref="A10:A16"/>
    <mergeCell ref="B10:C10"/>
    <mergeCell ref="B11:C11"/>
    <mergeCell ref="B12:C12"/>
    <mergeCell ref="B13:C13"/>
    <mergeCell ref="B14:C14"/>
    <mergeCell ref="B15:C15"/>
    <mergeCell ref="B16:C16"/>
    <mergeCell ref="A17:A26"/>
    <mergeCell ref="B17:C17"/>
    <mergeCell ref="B18:C18"/>
    <mergeCell ref="B19:C19"/>
    <mergeCell ref="B20:C20"/>
    <mergeCell ref="B21:C21"/>
    <mergeCell ref="B22:C22"/>
    <mergeCell ref="B23:C23"/>
    <mergeCell ref="B24:C24"/>
    <mergeCell ref="B25:B26"/>
    <mergeCell ref="A27:A32"/>
    <mergeCell ref="B27:C27"/>
    <mergeCell ref="B28:C28"/>
    <mergeCell ref="B29:C29"/>
    <mergeCell ref="B30:C30"/>
    <mergeCell ref="B31:B32"/>
    <mergeCell ref="H2:H8"/>
    <mergeCell ref="H10:H12"/>
    <mergeCell ref="H13:H15"/>
    <mergeCell ref="H27:H32"/>
    <mergeCell ref="H17:H26"/>
    <mergeCell ref="A33:A34"/>
    <mergeCell ref="B33:C33"/>
    <mergeCell ref="B34:C34"/>
    <mergeCell ref="B35:C35"/>
    <mergeCell ref="B36:C36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04D2B-5ACF-46FA-9F04-EE7B211958A0}">
  <dimension ref="B1:R100"/>
  <sheetViews>
    <sheetView workbookViewId="0">
      <selection activeCell="H2" sqref="H2"/>
    </sheetView>
  </sheetViews>
  <sheetFormatPr defaultRowHeight="14" x14ac:dyDescent="0.3"/>
  <cols>
    <col min="3" max="3" width="12.08203125" bestFit="1" customWidth="1"/>
    <col min="10" max="10" width="12.08203125" bestFit="1" customWidth="1"/>
    <col min="19" max="19" width="12.08203125" bestFit="1" customWidth="1"/>
  </cols>
  <sheetData>
    <row r="1" spans="2:18" x14ac:dyDescent="0.3">
      <c r="F1" t="s">
        <v>194</v>
      </c>
      <c r="G1" t="s">
        <v>195</v>
      </c>
      <c r="H1" t="s">
        <v>196</v>
      </c>
      <c r="I1" t="s">
        <v>197</v>
      </c>
    </row>
    <row r="2" spans="2:18" x14ac:dyDescent="0.3">
      <c r="B2" s="66" t="s">
        <v>193</v>
      </c>
      <c r="D2">
        <f>AVERAGE(B:B)</f>
        <v>223868.41666666666</v>
      </c>
      <c r="F2">
        <v>0.01</v>
      </c>
      <c r="G2">
        <f>NORMINV(F2,$D$2,$D$3)</f>
        <v>62119.179906252219</v>
      </c>
      <c r="H2">
        <f>G2-1.96*$D$3/SQRT($D$4)</f>
        <v>22779.299960361423</v>
      </c>
      <c r="I2">
        <f>G2+1.96*$D$3/SQRT($D$4)</f>
        <v>101459.05985214302</v>
      </c>
      <c r="J2">
        <f>NORMDIST(G2,$D$2,$D$3,FALSE)</f>
        <v>3.8332270120994418E-7</v>
      </c>
      <c r="K2">
        <f>NORMSINV(0.975)</f>
        <v>1.9599639845400536</v>
      </c>
      <c r="L2">
        <f>TINV(0.025,D4-1)</f>
        <v>2.5930926825393619</v>
      </c>
      <c r="M2">
        <f>G2+L2*D3/SQRT(D4)</f>
        <v>114166.09563057183</v>
      </c>
      <c r="O2">
        <v>139628</v>
      </c>
      <c r="P2">
        <f>O2-G2</f>
        <v>77508.820093747781</v>
      </c>
      <c r="Q2">
        <f>P2/(D3/SQRT(D4))</f>
        <v>3.8616611843426329</v>
      </c>
      <c r="R2">
        <f>NORMSDIST(Q2)</f>
        <v>0.99994369066239752</v>
      </c>
    </row>
    <row r="3" spans="2:18" x14ac:dyDescent="0.3">
      <c r="B3" s="66">
        <v>321103</v>
      </c>
      <c r="C3">
        <f>NORMDIST(B3,$D$2,$D$3,TRUE)</f>
        <v>0.91901402259641518</v>
      </c>
      <c r="D3">
        <f>STDEV(B:B)</f>
        <v>69529.255948921258</v>
      </c>
      <c r="F3">
        <v>0.02</v>
      </c>
      <c r="G3">
        <f t="shared" ref="G3:G66" si="0">NORMINV(F3,$D$2,$D$3)</f>
        <v>81072.783004528465</v>
      </c>
      <c r="H3">
        <f t="shared" ref="H3:H66" si="1">G3-1.96*$D$3/SQRT($D$4)</f>
        <v>41732.903058637668</v>
      </c>
      <c r="I3">
        <f t="shared" ref="I3:I66" si="2">G3+1.96*$D$3/SQRT($D$4)</f>
        <v>120412.66295041927</v>
      </c>
      <c r="J3">
        <f t="shared" ref="J3:J66" si="3">NORMDIST(G3,$D$2,$D$3,FALSE)</f>
        <v>6.9637068914288122E-7</v>
      </c>
    </row>
    <row r="4" spans="2:18" x14ac:dyDescent="0.3">
      <c r="B4" s="66">
        <v>241089</v>
      </c>
      <c r="C4">
        <f t="shared" ref="C4:C14" si="4">NORMDIST(B4,$D$2,$D$3,TRUE)</f>
        <v>0.59780664371995029</v>
      </c>
      <c r="D4">
        <f>COUNT(B:B)</f>
        <v>12</v>
      </c>
      <c r="F4">
        <v>0.03</v>
      </c>
      <c r="G4">
        <f t="shared" si="0"/>
        <v>93098.236498423226</v>
      </c>
      <c r="H4">
        <f t="shared" si="1"/>
        <v>53758.35655253243</v>
      </c>
      <c r="I4">
        <f t="shared" si="2"/>
        <v>132438.11644431402</v>
      </c>
      <c r="J4">
        <f t="shared" si="3"/>
        <v>9.7860893932804693E-7</v>
      </c>
    </row>
    <row r="5" spans="2:18" x14ac:dyDescent="0.3">
      <c r="B5" s="66">
        <v>204266</v>
      </c>
      <c r="C5">
        <f t="shared" si="4"/>
        <v>0.38899840783937306</v>
      </c>
      <c r="F5">
        <v>0.04</v>
      </c>
      <c r="G5">
        <f t="shared" si="0"/>
        <v>102144.51673236316</v>
      </c>
      <c r="H5">
        <f t="shared" si="1"/>
        <v>62804.636786472365</v>
      </c>
      <c r="I5">
        <f t="shared" si="2"/>
        <v>141484.39667825395</v>
      </c>
      <c r="J5">
        <f t="shared" si="3"/>
        <v>1.2393886983241669E-6</v>
      </c>
    </row>
    <row r="6" spans="2:18" x14ac:dyDescent="0.3">
      <c r="B6" s="66">
        <v>126916</v>
      </c>
      <c r="C6">
        <f t="shared" si="4"/>
        <v>8.159663966269573E-2</v>
      </c>
      <c r="F6">
        <v>0.05</v>
      </c>
      <c r="G6">
        <f t="shared" si="0"/>
        <v>109502.96783984627</v>
      </c>
      <c r="H6">
        <f t="shared" si="1"/>
        <v>70163.087893955468</v>
      </c>
      <c r="I6">
        <f t="shared" si="2"/>
        <v>148842.84778573707</v>
      </c>
      <c r="J6">
        <f t="shared" si="3"/>
        <v>1.4833416375279285E-6</v>
      </c>
    </row>
    <row r="7" spans="2:18" x14ac:dyDescent="0.3">
      <c r="B7" s="66">
        <v>202102</v>
      </c>
      <c r="C7">
        <f t="shared" si="4"/>
        <v>0.37711979102412702</v>
      </c>
      <c r="F7">
        <v>0.06</v>
      </c>
      <c r="G7">
        <f t="shared" si="0"/>
        <v>115766.16546531772</v>
      </c>
      <c r="H7">
        <f t="shared" si="1"/>
        <v>76426.285519426921</v>
      </c>
      <c r="I7">
        <f t="shared" si="2"/>
        <v>155106.04541120853</v>
      </c>
      <c r="J7">
        <f t="shared" si="3"/>
        <v>1.713278296551485E-6</v>
      </c>
    </row>
    <row r="8" spans="2:18" x14ac:dyDescent="0.3">
      <c r="B8" s="66">
        <v>321103</v>
      </c>
      <c r="C8">
        <f t="shared" si="4"/>
        <v>0.91901402259641518</v>
      </c>
      <c r="F8">
        <v>7.0000000000000007E-2</v>
      </c>
      <c r="G8">
        <f t="shared" si="0"/>
        <v>121257.76454127546</v>
      </c>
      <c r="H8">
        <f t="shared" si="1"/>
        <v>81917.884595384676</v>
      </c>
      <c r="I8">
        <f t="shared" si="2"/>
        <v>160597.64448716625</v>
      </c>
      <c r="J8">
        <f t="shared" si="3"/>
        <v>1.9310995456197575E-6</v>
      </c>
    </row>
    <row r="9" spans="2:18" x14ac:dyDescent="0.3">
      <c r="B9" s="66">
        <v>240692</v>
      </c>
      <c r="C9">
        <f t="shared" si="4"/>
        <v>0.59559600677428137</v>
      </c>
      <c r="F9">
        <v>0.08</v>
      </c>
      <c r="G9">
        <f t="shared" si="0"/>
        <v>126174.83652334787</v>
      </c>
      <c r="H9">
        <f t="shared" si="1"/>
        <v>86834.95657745708</v>
      </c>
      <c r="I9">
        <f t="shared" si="2"/>
        <v>165514.71646923866</v>
      </c>
      <c r="J9">
        <f t="shared" si="3"/>
        <v>2.1381823267441017E-6</v>
      </c>
    </row>
    <row r="10" spans="2:18" x14ac:dyDescent="0.3">
      <c r="B10" s="66">
        <v>120674</v>
      </c>
      <c r="C10">
        <f t="shared" si="4"/>
        <v>6.8879660975325996E-2</v>
      </c>
      <c r="F10">
        <v>0.09</v>
      </c>
      <c r="G10">
        <f t="shared" si="0"/>
        <v>130646.71676441508</v>
      </c>
      <c r="H10">
        <f t="shared" si="1"/>
        <v>91306.836818524287</v>
      </c>
      <c r="I10">
        <f t="shared" si="2"/>
        <v>169986.59671030586</v>
      </c>
      <c r="J10">
        <f t="shared" si="3"/>
        <v>2.3355726392262214E-6</v>
      </c>
    </row>
    <row r="11" spans="2:18" x14ac:dyDescent="0.3">
      <c r="B11" s="66">
        <v>186405</v>
      </c>
      <c r="C11">
        <f t="shared" si="4"/>
        <v>0.29500720349984744</v>
      </c>
      <c r="F11">
        <v>0.1</v>
      </c>
      <c r="G11">
        <f t="shared" si="0"/>
        <v>134763.0898541754</v>
      </c>
      <c r="H11">
        <f t="shared" si="1"/>
        <v>95423.209908284596</v>
      </c>
      <c r="I11">
        <f t="shared" si="2"/>
        <v>174102.9698000662</v>
      </c>
      <c r="J11">
        <f t="shared" si="3"/>
        <v>2.5240933408148991E-6</v>
      </c>
    </row>
    <row r="12" spans="2:18" x14ac:dyDescent="0.3">
      <c r="B12" s="66">
        <v>324131</v>
      </c>
      <c r="C12">
        <f t="shared" si="4"/>
        <v>0.92535164571269457</v>
      </c>
      <c r="F12">
        <v>0.11</v>
      </c>
      <c r="G12">
        <f t="shared" si="0"/>
        <v>138588.82908009196</v>
      </c>
      <c r="H12">
        <f t="shared" si="1"/>
        <v>99248.949134201161</v>
      </c>
      <c r="I12">
        <f t="shared" si="2"/>
        <v>177928.70902598277</v>
      </c>
      <c r="J12">
        <f t="shared" si="3"/>
        <v>2.7044093086172179E-6</v>
      </c>
    </row>
    <row r="13" spans="2:18" x14ac:dyDescent="0.3">
      <c r="B13" s="66">
        <v>192415</v>
      </c>
      <c r="C13">
        <f t="shared" si="4"/>
        <v>0.32549880794359065</v>
      </c>
      <c r="F13">
        <v>0.12</v>
      </c>
      <c r="G13">
        <f t="shared" si="0"/>
        <v>142172.45926450152</v>
      </c>
      <c r="H13">
        <f t="shared" si="1"/>
        <v>102832.57931861072</v>
      </c>
      <c r="I13">
        <f t="shared" si="2"/>
        <v>181512.33921039233</v>
      </c>
      <c r="J13">
        <f t="shared" si="3"/>
        <v>2.8770692431493381E-6</v>
      </c>
    </row>
    <row r="14" spans="2:18" x14ac:dyDescent="0.3">
      <c r="B14" s="66">
        <v>205525</v>
      </c>
      <c r="C14">
        <f t="shared" si="4"/>
        <v>0.39595815666951562</v>
      </c>
      <c r="F14">
        <v>0.13</v>
      </c>
      <c r="G14">
        <f t="shared" si="0"/>
        <v>145551.27955713344</v>
      </c>
      <c r="H14">
        <f t="shared" si="1"/>
        <v>106211.39961124264</v>
      </c>
      <c r="I14">
        <f t="shared" si="2"/>
        <v>184891.15950302425</v>
      </c>
      <c r="J14">
        <f t="shared" si="3"/>
        <v>3.0425337695256556E-6</v>
      </c>
    </row>
    <row r="15" spans="2:18" x14ac:dyDescent="0.3">
      <c r="F15">
        <v>0.14000000000000001</v>
      </c>
      <c r="G15">
        <f t="shared" si="0"/>
        <v>148754.61671257365</v>
      </c>
      <c r="H15">
        <f t="shared" si="1"/>
        <v>109414.73676668285</v>
      </c>
      <c r="I15">
        <f t="shared" si="2"/>
        <v>188094.49665846446</v>
      </c>
      <c r="J15">
        <f t="shared" si="3"/>
        <v>3.2011950518940203E-6</v>
      </c>
    </row>
    <row r="16" spans="2:18" x14ac:dyDescent="0.3">
      <c r="F16">
        <v>0.15</v>
      </c>
      <c r="G16">
        <f t="shared" si="0"/>
        <v>151805.97425454494</v>
      </c>
      <c r="H16">
        <f t="shared" si="1"/>
        <v>112466.09430865414</v>
      </c>
      <c r="I16">
        <f t="shared" si="2"/>
        <v>191145.85420043574</v>
      </c>
      <c r="J16">
        <f t="shared" si="3"/>
        <v>3.3533909154006941E-6</v>
      </c>
    </row>
    <row r="17" spans="6:10" x14ac:dyDescent="0.3">
      <c r="F17">
        <v>0.16</v>
      </c>
      <c r="G17">
        <f t="shared" si="0"/>
        <v>154724.49997455353</v>
      </c>
      <c r="H17">
        <f t="shared" si="1"/>
        <v>115384.62002866273</v>
      </c>
      <c r="I17">
        <f t="shared" si="2"/>
        <v>194064.37992044433</v>
      </c>
      <c r="J17">
        <f t="shared" si="3"/>
        <v>3.4994152815916425E-6</v>
      </c>
    </row>
    <row r="18" spans="6:10" x14ac:dyDescent="0.3">
      <c r="F18">
        <v>0.17</v>
      </c>
      <c r="G18">
        <f t="shared" si="0"/>
        <v>157526.0165630976</v>
      </c>
      <c r="H18">
        <f t="shared" si="1"/>
        <v>118186.13661720679</v>
      </c>
      <c r="I18">
        <f t="shared" si="2"/>
        <v>196865.8965089884</v>
      </c>
      <c r="J18">
        <f t="shared" si="3"/>
        <v>3.6395260521567419E-6</v>
      </c>
    </row>
    <row r="19" spans="6:10" x14ac:dyDescent="0.3">
      <c r="F19">
        <v>0.18</v>
      </c>
      <c r="G19">
        <f t="shared" si="0"/>
        <v>160223.76318733679</v>
      </c>
      <c r="H19">
        <f t="shared" si="1"/>
        <v>120883.88324144599</v>
      </c>
      <c r="I19">
        <f t="shared" si="2"/>
        <v>199563.6431332276</v>
      </c>
      <c r="J19">
        <f t="shared" si="3"/>
        <v>3.7739511795061139E-6</v>
      </c>
    </row>
    <row r="20" spans="6:10" x14ac:dyDescent="0.3">
      <c r="F20">
        <v>0.19</v>
      </c>
      <c r="G20">
        <f t="shared" si="0"/>
        <v>162828.94047144009</v>
      </c>
      <c r="H20">
        <f t="shared" si="1"/>
        <v>123489.06052554928</v>
      </c>
      <c r="I20">
        <f t="shared" si="2"/>
        <v>202168.82041733089</v>
      </c>
      <c r="J20">
        <f t="shared" si="3"/>
        <v>3.9028934192862949E-6</v>
      </c>
    </row>
    <row r="21" spans="6:10" x14ac:dyDescent="0.3">
      <c r="F21">
        <v>0.2</v>
      </c>
      <c r="G21">
        <f t="shared" si="0"/>
        <v>165351.11850552863</v>
      </c>
      <c r="H21">
        <f t="shared" si="1"/>
        <v>126011.23855963783</v>
      </c>
      <c r="I21">
        <f t="shared" si="2"/>
        <v>204690.99845141944</v>
      </c>
      <c r="J21">
        <f t="shared" si="3"/>
        <v>4.0265341054919176E-6</v>
      </c>
    </row>
    <row r="22" spans="6:10" x14ac:dyDescent="0.3">
      <c r="F22">
        <v>0.21</v>
      </c>
      <c r="G22">
        <f t="shared" si="0"/>
        <v>167798.54738008714</v>
      </c>
      <c r="H22">
        <f t="shared" si="1"/>
        <v>128458.66743419634</v>
      </c>
      <c r="I22">
        <f t="shared" si="2"/>
        <v>207138.42732597794</v>
      </c>
      <c r="J22">
        <f t="shared" si="3"/>
        <v>4.145036187943788E-6</v>
      </c>
    </row>
    <row r="23" spans="6:10" x14ac:dyDescent="0.3">
      <c r="F23">
        <v>0.22</v>
      </c>
      <c r="G23">
        <f t="shared" si="0"/>
        <v>170178.3970353214</v>
      </c>
      <c r="H23">
        <f t="shared" si="1"/>
        <v>130838.51708943059</v>
      </c>
      <c r="I23">
        <f t="shared" si="2"/>
        <v>209518.2769812122</v>
      </c>
      <c r="J23">
        <f t="shared" si="3"/>
        <v>4.2585467043199828E-6</v>
      </c>
    </row>
    <row r="24" spans="6:10" x14ac:dyDescent="0.3">
      <c r="F24">
        <v>0.23</v>
      </c>
      <c r="G24">
        <f t="shared" si="0"/>
        <v>172496.9449826139</v>
      </c>
      <c r="H24">
        <f t="shared" si="1"/>
        <v>133157.0650367231</v>
      </c>
      <c r="I24">
        <f t="shared" si="2"/>
        <v>211836.82492850471</v>
      </c>
      <c r="J24">
        <f t="shared" si="3"/>
        <v>4.3671988126224199E-6</v>
      </c>
    </row>
    <row r="25" spans="6:10" x14ac:dyDescent="0.3">
      <c r="F25">
        <v>0.24</v>
      </c>
      <c r="G25">
        <f t="shared" si="0"/>
        <v>174759.72499757918</v>
      </c>
      <c r="H25">
        <f t="shared" si="1"/>
        <v>135419.84505168837</v>
      </c>
      <c r="I25">
        <f t="shared" si="2"/>
        <v>214099.60494346998</v>
      </c>
      <c r="J25">
        <f t="shared" si="3"/>
        <v>4.4711134775948779E-6</v>
      </c>
    </row>
    <row r="26" spans="6:10" x14ac:dyDescent="0.3">
      <c r="F26">
        <v>0.25</v>
      </c>
      <c r="G26">
        <f t="shared" si="0"/>
        <v>176971.64619035932</v>
      </c>
      <c r="H26">
        <f t="shared" si="1"/>
        <v>137631.76624446851</v>
      </c>
      <c r="I26">
        <f t="shared" si="2"/>
        <v>216311.52613625012</v>
      </c>
      <c r="J26">
        <f t="shared" si="3"/>
        <v>4.5704008815736095E-6</v>
      </c>
    </row>
    <row r="27" spans="6:10" x14ac:dyDescent="0.3">
      <c r="F27">
        <v>0.26</v>
      </c>
      <c r="G27">
        <f t="shared" si="0"/>
        <v>179137.08931154001</v>
      </c>
      <c r="H27">
        <f t="shared" si="1"/>
        <v>139797.20936564921</v>
      </c>
      <c r="I27">
        <f t="shared" si="2"/>
        <v>218476.96925743081</v>
      </c>
      <c r="J27">
        <f t="shared" si="3"/>
        <v>4.6651616135891709E-6</v>
      </c>
    </row>
    <row r="28" spans="6:10" x14ac:dyDescent="0.3">
      <c r="F28">
        <v>0.27</v>
      </c>
      <c r="G28">
        <f t="shared" si="0"/>
        <v>181259.98536544759</v>
      </c>
      <c r="H28">
        <f t="shared" si="1"/>
        <v>141920.10541955678</v>
      </c>
      <c r="I28">
        <f t="shared" si="2"/>
        <v>220599.86531133839</v>
      </c>
      <c r="J28">
        <f t="shared" si="3"/>
        <v>4.7554876783054367E-6</v>
      </c>
    </row>
    <row r="29" spans="6:10" x14ac:dyDescent="0.3">
      <c r="F29">
        <v>0.28000000000000003</v>
      </c>
      <c r="G29">
        <f t="shared" si="0"/>
        <v>183343.88032995121</v>
      </c>
      <c r="H29">
        <f t="shared" si="1"/>
        <v>144004.0003840604</v>
      </c>
      <c r="I29">
        <f t="shared" si="2"/>
        <v>222683.76027584201</v>
      </c>
      <c r="J29">
        <f t="shared" si="3"/>
        <v>4.8414633572796616E-6</v>
      </c>
    </row>
    <row r="30" spans="6:10" x14ac:dyDescent="0.3">
      <c r="F30">
        <v>0.28999999999999998</v>
      </c>
      <c r="G30">
        <f t="shared" si="0"/>
        <v>185391.98886245827</v>
      </c>
      <c r="H30">
        <f t="shared" si="1"/>
        <v>146052.10891656746</v>
      </c>
      <c r="I30">
        <f t="shared" si="2"/>
        <v>224731.86880834907</v>
      </c>
      <c r="J30">
        <f t="shared" si="3"/>
        <v>4.9231659481699422E-6</v>
      </c>
    </row>
    <row r="31" spans="6:10" x14ac:dyDescent="0.3">
      <c r="F31">
        <v>0.3</v>
      </c>
      <c r="G31">
        <f t="shared" si="0"/>
        <v>187407.23919884374</v>
      </c>
      <c r="H31">
        <f t="shared" si="1"/>
        <v>148067.35925295294</v>
      </c>
      <c r="I31">
        <f t="shared" si="2"/>
        <v>226747.11914473455</v>
      </c>
      <c r="J31">
        <f t="shared" si="3"/>
        <v>5.0006664022911669E-6</v>
      </c>
    </row>
    <row r="32" spans="6:10" x14ac:dyDescent="0.3">
      <c r="F32">
        <v>0.31</v>
      </c>
      <c r="G32">
        <f t="shared" si="0"/>
        <v>189392.31095358403</v>
      </c>
      <c r="H32">
        <f t="shared" si="1"/>
        <v>150052.43100769323</v>
      </c>
      <c r="I32">
        <f t="shared" si="2"/>
        <v>228732.19089947484</v>
      </c>
      <c r="J32">
        <f t="shared" si="3"/>
        <v>5.0740298768965806E-6</v>
      </c>
    </row>
    <row r="33" spans="6:10" x14ac:dyDescent="0.3">
      <c r="F33">
        <v>0.32</v>
      </c>
      <c r="G33">
        <f t="shared" si="0"/>
        <v>191349.66715603089</v>
      </c>
      <c r="H33">
        <f t="shared" si="1"/>
        <v>152009.78721014009</v>
      </c>
      <c r="I33">
        <f t="shared" si="2"/>
        <v>230689.54710192169</v>
      </c>
      <c r="J33">
        <f t="shared" si="3"/>
        <v>5.1433162154328394E-6</v>
      </c>
    </row>
    <row r="34" spans="6:10" x14ac:dyDescent="0.3">
      <c r="F34">
        <v>0.33</v>
      </c>
      <c r="G34">
        <f t="shared" si="0"/>
        <v>193281.5815752722</v>
      </c>
      <c r="H34">
        <f t="shared" si="1"/>
        <v>153941.70162938139</v>
      </c>
      <c r="I34">
        <f t="shared" si="2"/>
        <v>232621.461521163</v>
      </c>
      <c r="J34">
        <f t="shared" si="3"/>
        <v>5.2085803665605051E-6</v>
      </c>
    </row>
    <row r="35" spans="6:10" x14ac:dyDescent="0.3">
      <c r="F35">
        <v>0.34</v>
      </c>
      <c r="G35">
        <f t="shared" si="0"/>
        <v>195190.16217024217</v>
      </c>
      <c r="H35">
        <f t="shared" si="1"/>
        <v>155850.28222435137</v>
      </c>
      <c r="I35">
        <f t="shared" si="2"/>
        <v>234530.04211613297</v>
      </c>
      <c r="J35">
        <f t="shared" si="3"/>
        <v>5.2698727507879513E-6</v>
      </c>
    </row>
    <row r="36" spans="6:10" x14ac:dyDescent="0.3">
      <c r="F36">
        <v>0.35</v>
      </c>
      <c r="G36">
        <f t="shared" si="0"/>
        <v>197077.37133545717</v>
      </c>
      <c r="H36">
        <f t="shared" si="1"/>
        <v>157737.49138956636</v>
      </c>
      <c r="I36">
        <f t="shared" si="2"/>
        <v>236417.25128134797</v>
      </c>
      <c r="J36">
        <f t="shared" si="3"/>
        <v>5.3272395820152934E-6</v>
      </c>
    </row>
    <row r="37" spans="6:10" x14ac:dyDescent="0.3">
      <c r="F37">
        <v>0.36</v>
      </c>
      <c r="G37">
        <f t="shared" si="0"/>
        <v>198945.04348356294</v>
      </c>
      <c r="H37">
        <f t="shared" si="1"/>
        <v>159605.16353767214</v>
      </c>
      <c r="I37">
        <f t="shared" si="2"/>
        <v>238284.92342945375</v>
      </c>
      <c r="J37">
        <f t="shared" si="3"/>
        <v>5.3807231500373655E-6</v>
      </c>
    </row>
    <row r="38" spans="6:10" x14ac:dyDescent="0.3">
      <c r="F38">
        <v>0.37</v>
      </c>
      <c r="G38">
        <f t="shared" si="0"/>
        <v>200794.9004047552</v>
      </c>
      <c r="H38">
        <f t="shared" si="1"/>
        <v>161455.0204588644</v>
      </c>
      <c r="I38">
        <f t="shared" si="2"/>
        <v>240134.780350646</v>
      </c>
      <c r="J38">
        <f t="shared" si="3"/>
        <v>5.4303620690441559E-6</v>
      </c>
    </row>
    <row r="39" spans="6:10" x14ac:dyDescent="0.3">
      <c r="F39">
        <v>0.38</v>
      </c>
      <c r="G39">
        <f t="shared" si="0"/>
        <v>202628.5647634255</v>
      </c>
      <c r="H39">
        <f t="shared" si="1"/>
        <v>163288.6848175347</v>
      </c>
      <c r="I39">
        <f t="shared" si="2"/>
        <v>241968.4447093163</v>
      </c>
      <c r="J39">
        <f t="shared" si="3"/>
        <v>5.4761914963324027E-6</v>
      </c>
    </row>
    <row r="40" spans="6:10" x14ac:dyDescent="0.3">
      <c r="F40">
        <v>0.39</v>
      </c>
      <c r="G40">
        <f t="shared" si="0"/>
        <v>204447.57202916406</v>
      </c>
      <c r="H40">
        <f t="shared" si="1"/>
        <v>165107.69208327326</v>
      </c>
      <c r="I40">
        <f t="shared" si="2"/>
        <v>243787.45197505486</v>
      </c>
      <c r="J40">
        <f t="shared" si="3"/>
        <v>5.5182433247646192E-6</v>
      </c>
    </row>
    <row r="41" spans="6:10" x14ac:dyDescent="0.3">
      <c r="F41">
        <v>0.4</v>
      </c>
      <c r="G41">
        <f t="shared" si="0"/>
        <v>206253.38108881988</v>
      </c>
      <c r="H41">
        <f t="shared" si="1"/>
        <v>166913.50114292908</v>
      </c>
      <c r="I41">
        <f t="shared" si="2"/>
        <v>245593.26103471068</v>
      </c>
      <c r="J41">
        <f t="shared" si="3"/>
        <v>5.5565463519512106E-6</v>
      </c>
    </row>
    <row r="42" spans="6:10" x14ac:dyDescent="0.3">
      <c r="F42">
        <v>0.41</v>
      </c>
      <c r="G42">
        <f t="shared" si="0"/>
        <v>208047.38374589288</v>
      </c>
      <c r="H42">
        <f t="shared" si="1"/>
        <v>168707.50380000207</v>
      </c>
      <c r="I42">
        <f t="shared" si="2"/>
        <v>247387.26369178368</v>
      </c>
      <c r="J42">
        <f t="shared" si="3"/>
        <v>5.5911264286644079E-6</v>
      </c>
    </row>
    <row r="43" spans="6:10" x14ac:dyDescent="0.3">
      <c r="F43">
        <v>0.42</v>
      </c>
      <c r="G43">
        <f t="shared" si="0"/>
        <v>209830.91328099472</v>
      </c>
      <c r="H43">
        <f t="shared" si="1"/>
        <v>170491.03333510392</v>
      </c>
      <c r="I43">
        <f t="shared" si="2"/>
        <v>249170.79322688552</v>
      </c>
      <c r="J43">
        <f t="shared" si="3"/>
        <v>5.622006588600899E-6</v>
      </c>
    </row>
    <row r="44" spans="6:10" x14ac:dyDescent="0.3">
      <c r="F44">
        <v>0.43</v>
      </c>
      <c r="G44">
        <f t="shared" si="0"/>
        <v>211605.25222084092</v>
      </c>
      <c r="H44">
        <f t="shared" si="1"/>
        <v>172265.37227495012</v>
      </c>
      <c r="I44">
        <f t="shared" si="2"/>
        <v>250945.13216673172</v>
      </c>
      <c r="J44">
        <f t="shared" si="3"/>
        <v>5.6492071612788213E-6</v>
      </c>
    </row>
    <row r="45" spans="6:10" x14ac:dyDescent="0.3">
      <c r="F45">
        <v>0.44</v>
      </c>
      <c r="G45">
        <f t="shared" si="0"/>
        <v>213371.63944198337</v>
      </c>
      <c r="H45">
        <f t="shared" si="1"/>
        <v>174031.75949609256</v>
      </c>
      <c r="I45">
        <f t="shared" si="2"/>
        <v>252711.51938787417</v>
      </c>
      <c r="J45">
        <f t="shared" si="3"/>
        <v>5.6727458695724581E-6</v>
      </c>
    </row>
    <row r="46" spans="6:10" x14ac:dyDescent="0.3">
      <c r="F46">
        <v>0.45</v>
      </c>
      <c r="G46">
        <f t="shared" si="0"/>
        <v>215131.27671829404</v>
      </c>
      <c r="H46">
        <f t="shared" si="1"/>
        <v>175791.39677240324</v>
      </c>
      <c r="I46">
        <f t="shared" si="2"/>
        <v>254471.15666418485</v>
      </c>
      <c r="J46">
        <f t="shared" si="3"/>
        <v>5.6926379131453603E-6</v>
      </c>
    </row>
    <row r="47" spans="6:10" x14ac:dyDescent="0.3">
      <c r="F47">
        <v>0.46</v>
      </c>
      <c r="G47">
        <f t="shared" si="0"/>
        <v>216885.33480732224</v>
      </c>
      <c r="H47">
        <f t="shared" si="1"/>
        <v>177545.45486143144</v>
      </c>
      <c r="I47">
        <f t="shared" si="2"/>
        <v>256225.21475321305</v>
      </c>
      <c r="J47">
        <f t="shared" si="3"/>
        <v>5.7088960388320023E-6</v>
      </c>
    </row>
    <row r="48" spans="6:10" x14ac:dyDescent="0.3">
      <c r="F48">
        <v>0.47</v>
      </c>
      <c r="G48">
        <f t="shared" si="0"/>
        <v>218634.95915948757</v>
      </c>
      <c r="H48">
        <f t="shared" si="1"/>
        <v>179295.07921359676</v>
      </c>
      <c r="I48">
        <f t="shared" si="2"/>
        <v>257974.83910537837</v>
      </c>
      <c r="J48">
        <f t="shared" si="3"/>
        <v>5.7215305988332615E-6</v>
      </c>
    </row>
    <row r="49" spans="6:10" x14ac:dyDescent="0.3">
      <c r="F49">
        <v>0.48</v>
      </c>
      <c r="G49">
        <f t="shared" si="0"/>
        <v>220381.27532519161</v>
      </c>
      <c r="H49">
        <f t="shared" si="1"/>
        <v>181041.39537930081</v>
      </c>
      <c r="I49">
        <f t="shared" si="2"/>
        <v>259721.15527108242</v>
      </c>
      <c r="J49">
        <f t="shared" si="3"/>
        <v>5.7305495974269053E-6</v>
      </c>
    </row>
    <row r="50" spans="6:10" x14ac:dyDescent="0.3">
      <c r="F50">
        <v>0.49</v>
      </c>
      <c r="G50">
        <f t="shared" si="0"/>
        <v>222125.39412798671</v>
      </c>
      <c r="H50">
        <f t="shared" si="1"/>
        <v>182785.51418209591</v>
      </c>
      <c r="I50">
        <f t="shared" si="2"/>
        <v>261465.27407387752</v>
      </c>
      <c r="J50">
        <f t="shared" si="3"/>
        <v>5.7359587267464344E-6</v>
      </c>
    </row>
    <row r="51" spans="6:10" x14ac:dyDescent="0.3">
      <c r="F51">
        <v>0.5</v>
      </c>
      <c r="G51">
        <f t="shared" si="0"/>
        <v>223868.41666666666</v>
      </c>
      <c r="H51">
        <f t="shared" si="1"/>
        <v>184528.53672077585</v>
      </c>
      <c r="I51">
        <f t="shared" si="2"/>
        <v>263208.29661255743</v>
      </c>
      <c r="J51">
        <f t="shared" si="3"/>
        <v>5.7377613920463971E-6</v>
      </c>
    </row>
    <row r="52" spans="6:10" x14ac:dyDescent="0.3">
      <c r="F52">
        <v>0.51</v>
      </c>
      <c r="G52">
        <f t="shared" si="0"/>
        <v>225611.4392053466</v>
      </c>
      <c r="H52">
        <f t="shared" si="1"/>
        <v>186271.5592594558</v>
      </c>
      <c r="I52">
        <f t="shared" si="2"/>
        <v>264951.31915123737</v>
      </c>
      <c r="J52">
        <f t="shared" si="3"/>
        <v>5.7359587267464344E-6</v>
      </c>
    </row>
    <row r="53" spans="6:10" x14ac:dyDescent="0.3">
      <c r="F53">
        <v>0.52</v>
      </c>
      <c r="G53">
        <f t="shared" si="0"/>
        <v>227355.5580081417</v>
      </c>
      <c r="H53">
        <f t="shared" si="1"/>
        <v>188015.6780622509</v>
      </c>
      <c r="I53">
        <f t="shared" si="2"/>
        <v>266695.4379540325</v>
      </c>
      <c r="J53">
        <f t="shared" si="3"/>
        <v>5.7305495974269053E-6</v>
      </c>
    </row>
    <row r="54" spans="6:10" x14ac:dyDescent="0.3">
      <c r="F54">
        <v>0.53</v>
      </c>
      <c r="G54">
        <f t="shared" si="0"/>
        <v>229101.87417384575</v>
      </c>
      <c r="H54">
        <f t="shared" si="1"/>
        <v>189761.99422795494</v>
      </c>
      <c r="I54">
        <f t="shared" si="2"/>
        <v>268441.75411973655</v>
      </c>
      <c r="J54">
        <f t="shared" si="3"/>
        <v>5.7215305988332615E-6</v>
      </c>
    </row>
    <row r="55" spans="6:10" x14ac:dyDescent="0.3">
      <c r="F55">
        <v>0.54</v>
      </c>
      <c r="G55">
        <f t="shared" si="0"/>
        <v>230851.49852601107</v>
      </c>
      <c r="H55">
        <f t="shared" si="1"/>
        <v>191511.61858012027</v>
      </c>
      <c r="I55">
        <f t="shared" si="2"/>
        <v>270191.37847190187</v>
      </c>
      <c r="J55">
        <f t="shared" si="3"/>
        <v>5.7088960388320023E-6</v>
      </c>
    </row>
    <row r="56" spans="6:10" x14ac:dyDescent="0.3">
      <c r="F56">
        <v>0.55000000000000004</v>
      </c>
      <c r="G56">
        <f t="shared" si="0"/>
        <v>232605.55661503927</v>
      </c>
      <c r="H56">
        <f t="shared" si="1"/>
        <v>193265.67666914847</v>
      </c>
      <c r="I56">
        <f t="shared" si="2"/>
        <v>271945.43656093004</v>
      </c>
      <c r="J56">
        <f t="shared" si="3"/>
        <v>5.6926379131453603E-6</v>
      </c>
    </row>
    <row r="57" spans="6:10" x14ac:dyDescent="0.3">
      <c r="F57">
        <v>0.56000000000000005</v>
      </c>
      <c r="G57">
        <f t="shared" si="0"/>
        <v>234365.19389134995</v>
      </c>
      <c r="H57">
        <f t="shared" si="1"/>
        <v>195025.31394545914</v>
      </c>
      <c r="I57">
        <f t="shared" si="2"/>
        <v>273705.07383724075</v>
      </c>
      <c r="J57">
        <f t="shared" si="3"/>
        <v>5.6727458695724581E-6</v>
      </c>
    </row>
    <row r="58" spans="6:10" x14ac:dyDescent="0.3">
      <c r="F58">
        <v>0.56999999999999995</v>
      </c>
      <c r="G58">
        <f t="shared" si="0"/>
        <v>236131.58111249236</v>
      </c>
      <c r="H58">
        <f t="shared" si="1"/>
        <v>196791.70116660156</v>
      </c>
      <c r="I58">
        <f t="shared" si="2"/>
        <v>275471.46105838317</v>
      </c>
      <c r="J58">
        <f t="shared" si="3"/>
        <v>5.6492071612788213E-6</v>
      </c>
    </row>
    <row r="59" spans="6:10" x14ac:dyDescent="0.3">
      <c r="F59">
        <v>0.57999999999999996</v>
      </c>
      <c r="G59">
        <f t="shared" si="0"/>
        <v>237905.9200523386</v>
      </c>
      <c r="H59">
        <f t="shared" si="1"/>
        <v>198566.04010644779</v>
      </c>
      <c r="I59">
        <f t="shared" si="2"/>
        <v>277245.79999822937</v>
      </c>
      <c r="J59">
        <f t="shared" si="3"/>
        <v>5.622006588600899E-6</v>
      </c>
    </row>
    <row r="60" spans="6:10" x14ac:dyDescent="0.3">
      <c r="F60">
        <v>0.59</v>
      </c>
      <c r="G60">
        <f t="shared" si="0"/>
        <v>239689.44958744044</v>
      </c>
      <c r="H60">
        <f t="shared" si="1"/>
        <v>200349.56964154963</v>
      </c>
      <c r="I60">
        <f t="shared" si="2"/>
        <v>279029.32953333121</v>
      </c>
      <c r="J60">
        <f t="shared" si="3"/>
        <v>5.5911264286644079E-6</v>
      </c>
    </row>
    <row r="61" spans="6:10" x14ac:dyDescent="0.3">
      <c r="F61">
        <v>0.6</v>
      </c>
      <c r="G61">
        <f t="shared" si="0"/>
        <v>241483.45224451344</v>
      </c>
      <c r="H61">
        <f t="shared" si="1"/>
        <v>202143.57229862263</v>
      </c>
      <c r="I61">
        <f t="shared" si="2"/>
        <v>280823.33219040424</v>
      </c>
      <c r="J61">
        <f t="shared" si="3"/>
        <v>5.5565463519512106E-6</v>
      </c>
    </row>
    <row r="62" spans="6:10" x14ac:dyDescent="0.3">
      <c r="F62">
        <v>0.61</v>
      </c>
      <c r="G62">
        <f t="shared" si="0"/>
        <v>243289.26130416925</v>
      </c>
      <c r="H62">
        <f t="shared" si="1"/>
        <v>203949.38135827845</v>
      </c>
      <c r="I62">
        <f t="shared" si="2"/>
        <v>282629.14125006006</v>
      </c>
      <c r="J62">
        <f t="shared" si="3"/>
        <v>5.5182433247646192E-6</v>
      </c>
    </row>
    <row r="63" spans="6:10" x14ac:dyDescent="0.3">
      <c r="F63">
        <v>0.62</v>
      </c>
      <c r="G63">
        <f t="shared" si="0"/>
        <v>245108.26856990781</v>
      </c>
      <c r="H63">
        <f t="shared" si="1"/>
        <v>205768.38862401701</v>
      </c>
      <c r="I63">
        <f t="shared" si="2"/>
        <v>284448.14851579862</v>
      </c>
      <c r="J63">
        <f t="shared" si="3"/>
        <v>5.4761914963324027E-6</v>
      </c>
    </row>
    <row r="64" spans="6:10" x14ac:dyDescent="0.3">
      <c r="F64">
        <v>0.63</v>
      </c>
      <c r="G64">
        <f t="shared" si="0"/>
        <v>246941.93292857811</v>
      </c>
      <c r="H64">
        <f t="shared" si="1"/>
        <v>207602.05298268731</v>
      </c>
      <c r="I64">
        <f t="shared" si="2"/>
        <v>286281.81287446892</v>
      </c>
      <c r="J64">
        <f t="shared" si="3"/>
        <v>5.4303620690441559E-6</v>
      </c>
    </row>
    <row r="65" spans="6:10" x14ac:dyDescent="0.3">
      <c r="F65">
        <v>0.64</v>
      </c>
      <c r="G65">
        <f t="shared" si="0"/>
        <v>248791.78984977037</v>
      </c>
      <c r="H65">
        <f t="shared" si="1"/>
        <v>209451.90990387957</v>
      </c>
      <c r="I65">
        <f t="shared" si="2"/>
        <v>288131.66979566118</v>
      </c>
      <c r="J65">
        <f t="shared" si="3"/>
        <v>5.3807231500373655E-6</v>
      </c>
    </row>
    <row r="66" spans="6:10" x14ac:dyDescent="0.3">
      <c r="F66">
        <v>0.65</v>
      </c>
      <c r="G66">
        <f t="shared" si="0"/>
        <v>250659.46199787615</v>
      </c>
      <c r="H66">
        <f t="shared" si="1"/>
        <v>211319.58205198534</v>
      </c>
      <c r="I66">
        <f t="shared" si="2"/>
        <v>289999.34194376692</v>
      </c>
      <c r="J66">
        <f t="shared" si="3"/>
        <v>5.3272395820152934E-6</v>
      </c>
    </row>
    <row r="67" spans="6:10" x14ac:dyDescent="0.3">
      <c r="F67">
        <v>0.66</v>
      </c>
      <c r="G67">
        <f t="shared" ref="G67:G100" si="5">NORMINV(F67,$D$2,$D$3)</f>
        <v>252546.67116309112</v>
      </c>
      <c r="H67">
        <f t="shared" ref="H67:H100" si="6">G67-1.96*$D$3/SQRT($D$4)</f>
        <v>213206.79121720031</v>
      </c>
      <c r="I67">
        <f t="shared" ref="I67:I100" si="7">G67+1.96*$D$3/SQRT($D$4)</f>
        <v>291886.55110898189</v>
      </c>
      <c r="J67">
        <f t="shared" ref="J67:J100" si="8">NORMDIST(G67,$D$2,$D$3,FALSE)</f>
        <v>5.2698727507879522E-6</v>
      </c>
    </row>
    <row r="68" spans="6:10" x14ac:dyDescent="0.3">
      <c r="F68">
        <v>0.67</v>
      </c>
      <c r="G68">
        <f t="shared" si="5"/>
        <v>254455.25175806115</v>
      </c>
      <c r="H68">
        <f t="shared" si="6"/>
        <v>215115.37181217034</v>
      </c>
      <c r="I68">
        <f t="shared" si="7"/>
        <v>293795.13170395192</v>
      </c>
      <c r="J68">
        <f t="shared" si="8"/>
        <v>5.2085803665605043E-6</v>
      </c>
    </row>
    <row r="69" spans="6:10" x14ac:dyDescent="0.3">
      <c r="F69">
        <v>0.68</v>
      </c>
      <c r="G69">
        <f t="shared" si="5"/>
        <v>256387.16617730242</v>
      </c>
      <c r="H69">
        <f t="shared" si="6"/>
        <v>217047.28623141162</v>
      </c>
      <c r="I69">
        <f t="shared" si="7"/>
        <v>295727.04612319323</v>
      </c>
      <c r="J69">
        <f t="shared" si="8"/>
        <v>5.1433162154328394E-6</v>
      </c>
    </row>
    <row r="70" spans="6:10" x14ac:dyDescent="0.3">
      <c r="F70">
        <v>0.69</v>
      </c>
      <c r="G70">
        <f t="shared" si="5"/>
        <v>258344.52237974925</v>
      </c>
      <c r="H70">
        <f t="shared" si="6"/>
        <v>219004.64243385845</v>
      </c>
      <c r="I70">
        <f t="shared" si="7"/>
        <v>297684.40232564003</v>
      </c>
      <c r="J70">
        <f t="shared" si="8"/>
        <v>5.0740298768965814E-6</v>
      </c>
    </row>
    <row r="71" spans="6:10" x14ac:dyDescent="0.3">
      <c r="F71">
        <v>0.7</v>
      </c>
      <c r="G71">
        <f t="shared" si="5"/>
        <v>260329.59413448957</v>
      </c>
      <c r="H71">
        <f t="shared" si="6"/>
        <v>220989.71418859877</v>
      </c>
      <c r="I71">
        <f t="shared" si="7"/>
        <v>299669.47408038034</v>
      </c>
      <c r="J71">
        <f t="shared" si="8"/>
        <v>5.0006664022911669E-6</v>
      </c>
    </row>
    <row r="72" spans="6:10" x14ac:dyDescent="0.3">
      <c r="F72">
        <v>0.71</v>
      </c>
      <c r="G72">
        <f t="shared" si="5"/>
        <v>262344.84447087505</v>
      </c>
      <c r="H72">
        <f t="shared" si="6"/>
        <v>223004.96452498424</v>
      </c>
      <c r="I72">
        <f t="shared" si="7"/>
        <v>301684.72441676585</v>
      </c>
      <c r="J72">
        <f t="shared" si="8"/>
        <v>4.9231659481699422E-6</v>
      </c>
    </row>
    <row r="73" spans="6:10" x14ac:dyDescent="0.3">
      <c r="F73">
        <v>0.72</v>
      </c>
      <c r="G73">
        <f t="shared" si="5"/>
        <v>264392.95300338208</v>
      </c>
      <c r="H73">
        <f t="shared" si="6"/>
        <v>225053.07305749127</v>
      </c>
      <c r="I73">
        <f t="shared" si="7"/>
        <v>303732.83294927288</v>
      </c>
      <c r="J73">
        <f t="shared" si="8"/>
        <v>4.8414633572796633E-6</v>
      </c>
    </row>
    <row r="74" spans="6:10" x14ac:dyDescent="0.3">
      <c r="F74">
        <v>0.73</v>
      </c>
      <c r="G74">
        <f t="shared" si="5"/>
        <v>266476.84796788573</v>
      </c>
      <c r="H74">
        <f t="shared" si="6"/>
        <v>227136.96802199492</v>
      </c>
      <c r="I74">
        <f t="shared" si="7"/>
        <v>305816.72791377653</v>
      </c>
      <c r="J74">
        <f t="shared" si="8"/>
        <v>4.7554876783054367E-6</v>
      </c>
    </row>
    <row r="75" spans="6:10" x14ac:dyDescent="0.3">
      <c r="F75">
        <v>0.74</v>
      </c>
      <c r="G75">
        <f t="shared" si="5"/>
        <v>268599.7440217933</v>
      </c>
      <c r="H75">
        <f t="shared" si="6"/>
        <v>229259.8640759025</v>
      </c>
      <c r="I75">
        <f t="shared" si="7"/>
        <v>307939.62396768411</v>
      </c>
      <c r="J75">
        <f t="shared" si="8"/>
        <v>4.6651616135891709E-6</v>
      </c>
    </row>
    <row r="76" spans="6:10" x14ac:dyDescent="0.3">
      <c r="F76">
        <v>0.75</v>
      </c>
      <c r="G76">
        <f t="shared" si="5"/>
        <v>270765.187142974</v>
      </c>
      <c r="H76">
        <f t="shared" si="6"/>
        <v>231425.3071970832</v>
      </c>
      <c r="I76">
        <f t="shared" si="7"/>
        <v>310105.0670888648</v>
      </c>
      <c r="J76">
        <f t="shared" si="8"/>
        <v>4.5704008815736095E-6</v>
      </c>
    </row>
    <row r="77" spans="6:10" x14ac:dyDescent="0.3">
      <c r="F77">
        <v>0.76</v>
      </c>
      <c r="G77">
        <f t="shared" si="5"/>
        <v>272977.10833575414</v>
      </c>
      <c r="H77">
        <f t="shared" si="6"/>
        <v>233637.22838986333</v>
      </c>
      <c r="I77">
        <f t="shared" si="7"/>
        <v>312316.98828164494</v>
      </c>
      <c r="J77">
        <f t="shared" si="8"/>
        <v>4.4711134775948779E-6</v>
      </c>
    </row>
    <row r="78" spans="6:10" x14ac:dyDescent="0.3">
      <c r="F78">
        <v>0.77</v>
      </c>
      <c r="G78">
        <f t="shared" si="5"/>
        <v>275239.88835071941</v>
      </c>
      <c r="H78">
        <f t="shared" si="6"/>
        <v>235900.00840482861</v>
      </c>
      <c r="I78">
        <f t="shared" si="7"/>
        <v>314579.76829661021</v>
      </c>
      <c r="J78">
        <f t="shared" si="8"/>
        <v>4.3671988126224199E-6</v>
      </c>
    </row>
    <row r="79" spans="6:10" x14ac:dyDescent="0.3">
      <c r="F79">
        <v>0.78</v>
      </c>
      <c r="G79">
        <f t="shared" si="5"/>
        <v>277558.43629801192</v>
      </c>
      <c r="H79">
        <f t="shared" si="6"/>
        <v>238218.55635212112</v>
      </c>
      <c r="I79">
        <f t="shared" si="7"/>
        <v>316898.31624390272</v>
      </c>
      <c r="J79">
        <f t="shared" si="8"/>
        <v>4.2585467043199828E-6</v>
      </c>
    </row>
    <row r="80" spans="6:10" x14ac:dyDescent="0.3">
      <c r="F80">
        <v>0.79</v>
      </c>
      <c r="G80">
        <f t="shared" si="5"/>
        <v>279938.28595324617</v>
      </c>
      <c r="H80">
        <f t="shared" si="6"/>
        <v>240598.40600735537</v>
      </c>
      <c r="I80">
        <f t="shared" si="7"/>
        <v>319278.16589913698</v>
      </c>
      <c r="J80">
        <f t="shared" si="8"/>
        <v>4.145036187943788E-6</v>
      </c>
    </row>
    <row r="81" spans="6:10" x14ac:dyDescent="0.3">
      <c r="F81">
        <v>0.8</v>
      </c>
      <c r="G81">
        <f t="shared" si="5"/>
        <v>282385.71482780471</v>
      </c>
      <c r="H81">
        <f t="shared" si="6"/>
        <v>243045.83488191391</v>
      </c>
      <c r="I81">
        <f t="shared" si="7"/>
        <v>321725.59477369551</v>
      </c>
      <c r="J81">
        <f t="shared" si="8"/>
        <v>4.0265341054919159E-6</v>
      </c>
    </row>
    <row r="82" spans="6:10" x14ac:dyDescent="0.3">
      <c r="F82">
        <v>0.81</v>
      </c>
      <c r="G82">
        <f t="shared" si="5"/>
        <v>284907.89286189323</v>
      </c>
      <c r="H82">
        <f t="shared" si="6"/>
        <v>245568.01291600242</v>
      </c>
      <c r="I82">
        <f t="shared" si="7"/>
        <v>324247.77280778403</v>
      </c>
      <c r="J82">
        <f t="shared" si="8"/>
        <v>3.9028934192862949E-6</v>
      </c>
    </row>
    <row r="83" spans="6:10" x14ac:dyDescent="0.3">
      <c r="F83">
        <v>0.82</v>
      </c>
      <c r="G83">
        <f t="shared" si="5"/>
        <v>287513.07014599635</v>
      </c>
      <c r="H83">
        <f t="shared" si="6"/>
        <v>248173.19020010554</v>
      </c>
      <c r="I83">
        <f t="shared" si="7"/>
        <v>326852.95009188715</v>
      </c>
      <c r="J83">
        <f t="shared" si="8"/>
        <v>3.7739511795061219E-6</v>
      </c>
    </row>
    <row r="84" spans="6:10" x14ac:dyDescent="0.3">
      <c r="F84">
        <v>0.83</v>
      </c>
      <c r="G84">
        <f t="shared" si="5"/>
        <v>290210.81677023572</v>
      </c>
      <c r="H84">
        <f t="shared" si="6"/>
        <v>250870.93682434491</v>
      </c>
      <c r="I84">
        <f t="shared" si="7"/>
        <v>329550.69671612652</v>
      </c>
      <c r="J84">
        <f t="shared" si="8"/>
        <v>3.6395260521567419E-6</v>
      </c>
    </row>
    <row r="85" spans="6:10" x14ac:dyDescent="0.3">
      <c r="F85">
        <v>0.84</v>
      </c>
      <c r="G85">
        <f t="shared" si="5"/>
        <v>293012.33335877978</v>
      </c>
      <c r="H85">
        <f t="shared" si="6"/>
        <v>253672.45341288898</v>
      </c>
      <c r="I85">
        <f t="shared" si="7"/>
        <v>332352.21330467059</v>
      </c>
      <c r="J85">
        <f t="shared" si="8"/>
        <v>3.4994152815916425E-6</v>
      </c>
    </row>
    <row r="86" spans="6:10" x14ac:dyDescent="0.3">
      <c r="F86">
        <v>0.85</v>
      </c>
      <c r="G86">
        <f t="shared" si="5"/>
        <v>295930.85907878837</v>
      </c>
      <c r="H86">
        <f t="shared" si="6"/>
        <v>256590.97913289757</v>
      </c>
      <c r="I86">
        <f t="shared" si="7"/>
        <v>335270.73902467918</v>
      </c>
      <c r="J86">
        <f t="shared" si="8"/>
        <v>3.3533909154006941E-6</v>
      </c>
    </row>
    <row r="87" spans="6:10" x14ac:dyDescent="0.3">
      <c r="F87">
        <v>0.86</v>
      </c>
      <c r="G87">
        <f t="shared" si="5"/>
        <v>298982.21662075969</v>
      </c>
      <c r="H87">
        <f t="shared" si="6"/>
        <v>259642.33667486889</v>
      </c>
      <c r="I87">
        <f t="shared" si="7"/>
        <v>338322.09656665049</v>
      </c>
      <c r="J87">
        <f t="shared" si="8"/>
        <v>3.2011950518940186E-6</v>
      </c>
    </row>
    <row r="88" spans="6:10" x14ac:dyDescent="0.3">
      <c r="F88">
        <v>0.87</v>
      </c>
      <c r="G88">
        <f t="shared" si="5"/>
        <v>302185.55377619987</v>
      </c>
      <c r="H88">
        <f t="shared" si="6"/>
        <v>262845.67383030907</v>
      </c>
      <c r="I88">
        <f t="shared" si="7"/>
        <v>341525.43372209067</v>
      </c>
      <c r="J88">
        <f t="shared" si="8"/>
        <v>3.0425337695256556E-6</v>
      </c>
    </row>
    <row r="89" spans="6:10" x14ac:dyDescent="0.3">
      <c r="F89">
        <v>0.88</v>
      </c>
      <c r="G89">
        <f t="shared" si="5"/>
        <v>305564.37406883179</v>
      </c>
      <c r="H89">
        <f t="shared" si="6"/>
        <v>266224.49412294099</v>
      </c>
      <c r="I89">
        <f t="shared" si="7"/>
        <v>344904.2540147226</v>
      </c>
      <c r="J89">
        <f t="shared" si="8"/>
        <v>2.8770692431493381E-6</v>
      </c>
    </row>
    <row r="90" spans="6:10" x14ac:dyDescent="0.3">
      <c r="F90">
        <v>0.89</v>
      </c>
      <c r="G90">
        <f t="shared" si="5"/>
        <v>309148.00425324135</v>
      </c>
      <c r="H90">
        <f t="shared" si="6"/>
        <v>269808.12430735055</v>
      </c>
      <c r="I90">
        <f t="shared" si="7"/>
        <v>348487.88419913215</v>
      </c>
      <c r="J90">
        <f t="shared" si="8"/>
        <v>2.7044093086172179E-6</v>
      </c>
    </row>
    <row r="91" spans="6:10" x14ac:dyDescent="0.3">
      <c r="F91">
        <v>0.9</v>
      </c>
      <c r="G91">
        <f t="shared" si="5"/>
        <v>312973.74347915791</v>
      </c>
      <c r="H91">
        <f t="shared" si="6"/>
        <v>273633.86353326711</v>
      </c>
      <c r="I91">
        <f t="shared" si="7"/>
        <v>352313.62342504872</v>
      </c>
      <c r="J91">
        <f t="shared" si="8"/>
        <v>2.5240933408148991E-6</v>
      </c>
    </row>
    <row r="92" spans="6:10" x14ac:dyDescent="0.3">
      <c r="F92">
        <v>0.91</v>
      </c>
      <c r="G92">
        <f t="shared" si="5"/>
        <v>317090.11656891822</v>
      </c>
      <c r="H92">
        <f t="shared" si="6"/>
        <v>277750.23662302742</v>
      </c>
      <c r="I92">
        <f t="shared" si="7"/>
        <v>356429.99651480903</v>
      </c>
      <c r="J92">
        <f t="shared" si="8"/>
        <v>2.3355726392262218E-6</v>
      </c>
    </row>
    <row r="93" spans="6:10" x14ac:dyDescent="0.3">
      <c r="F93">
        <v>0.92</v>
      </c>
      <c r="G93">
        <f t="shared" si="5"/>
        <v>321561.99680998526</v>
      </c>
      <c r="H93">
        <f t="shared" si="6"/>
        <v>282222.11686409445</v>
      </c>
      <c r="I93">
        <f t="shared" si="7"/>
        <v>360901.87675587606</v>
      </c>
      <c r="J93">
        <f t="shared" si="8"/>
        <v>2.1381823267441097E-6</v>
      </c>
    </row>
    <row r="94" spans="6:10" x14ac:dyDescent="0.3">
      <c r="F94">
        <v>0.93</v>
      </c>
      <c r="G94">
        <f t="shared" si="5"/>
        <v>326479.06879205792</v>
      </c>
      <c r="H94">
        <f t="shared" si="6"/>
        <v>287139.18884616712</v>
      </c>
      <c r="I94">
        <f t="shared" si="7"/>
        <v>365818.94873794873</v>
      </c>
      <c r="J94">
        <f t="shared" si="8"/>
        <v>1.9310995456197545E-6</v>
      </c>
    </row>
    <row r="95" spans="6:10" x14ac:dyDescent="0.3">
      <c r="F95">
        <v>0.94</v>
      </c>
      <c r="G95">
        <f t="shared" si="5"/>
        <v>331970.66786801559</v>
      </c>
      <c r="H95">
        <f t="shared" si="6"/>
        <v>292630.78792212479</v>
      </c>
      <c r="I95">
        <f t="shared" si="7"/>
        <v>371310.54781390639</v>
      </c>
      <c r="J95">
        <f t="shared" si="8"/>
        <v>1.713278296551485E-6</v>
      </c>
    </row>
    <row r="96" spans="6:10" x14ac:dyDescent="0.3">
      <c r="F96">
        <v>0.95</v>
      </c>
      <c r="G96">
        <f t="shared" si="5"/>
        <v>338233.86549348698</v>
      </c>
      <c r="H96">
        <f t="shared" si="6"/>
        <v>298893.98554759618</v>
      </c>
      <c r="I96">
        <f t="shared" si="7"/>
        <v>377573.74543937779</v>
      </c>
      <c r="J96">
        <f t="shared" si="8"/>
        <v>1.4833416375279307E-6</v>
      </c>
    </row>
    <row r="97" spans="6:10" x14ac:dyDescent="0.3">
      <c r="F97">
        <v>0.96</v>
      </c>
      <c r="G97">
        <f t="shared" si="5"/>
        <v>345592.31660097017</v>
      </c>
      <c r="H97">
        <f t="shared" si="6"/>
        <v>306252.43665507936</v>
      </c>
      <c r="I97">
        <f t="shared" si="7"/>
        <v>384932.19654686097</v>
      </c>
      <c r="J97">
        <f t="shared" si="8"/>
        <v>1.2393886983241665E-6</v>
      </c>
    </row>
    <row r="98" spans="6:10" x14ac:dyDescent="0.3">
      <c r="F98">
        <v>0.97</v>
      </c>
      <c r="G98">
        <f t="shared" si="5"/>
        <v>354638.59683491004</v>
      </c>
      <c r="H98">
        <f t="shared" si="6"/>
        <v>315298.71688901924</v>
      </c>
      <c r="I98">
        <f t="shared" si="7"/>
        <v>393978.47678080085</v>
      </c>
      <c r="J98">
        <f t="shared" si="8"/>
        <v>9.786089393280482E-7</v>
      </c>
    </row>
    <row r="99" spans="6:10" x14ac:dyDescent="0.3">
      <c r="F99">
        <v>0.98</v>
      </c>
      <c r="G99">
        <f t="shared" si="5"/>
        <v>366664.05032880482</v>
      </c>
      <c r="H99">
        <f t="shared" si="6"/>
        <v>327324.17038291402</v>
      </c>
      <c r="I99">
        <f t="shared" si="7"/>
        <v>406003.93027469562</v>
      </c>
      <c r="J99">
        <f t="shared" si="8"/>
        <v>6.9637068914288185E-7</v>
      </c>
    </row>
    <row r="100" spans="6:10" x14ac:dyDescent="0.3">
      <c r="F100">
        <v>0.99</v>
      </c>
      <c r="G100">
        <f t="shared" si="5"/>
        <v>385617.65342708107</v>
      </c>
      <c r="H100">
        <f t="shared" si="6"/>
        <v>346277.77348119026</v>
      </c>
      <c r="I100">
        <f t="shared" si="7"/>
        <v>424957.53337297187</v>
      </c>
      <c r="J100">
        <f t="shared" si="8"/>
        <v>3.8332270120994455E-7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项目经费支出科目明细表</vt:lpstr>
      <vt:lpstr>研发设计费</vt:lpstr>
      <vt:lpstr>项目差旅费</vt:lpstr>
      <vt:lpstr>研发设计工时</vt:lpstr>
      <vt:lpstr>原始需求</vt:lpstr>
      <vt:lpstr>分工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Hongwei SGH RDRR3</dc:creator>
  <cp:lastModifiedBy>Chen Pinhan SGH RDRR3</cp:lastModifiedBy>
  <cp:lastPrinted>2024-07-02T08:42:38Z</cp:lastPrinted>
  <dcterms:created xsi:type="dcterms:W3CDTF">2021-06-29T05:19:24Z</dcterms:created>
  <dcterms:modified xsi:type="dcterms:W3CDTF">2024-08-23T08:46:57Z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94a1c8-9899-41e7-8f6e-8b1b3c79592a_Enabled">
    <vt:lpwstr>true</vt:lpwstr>
  </property>
  <property fmtid="{D5CDD505-2E9C-101B-9397-08002B2CF9AE}" pid="3" name="MSIP_Label_7294a1c8-9899-41e7-8f6e-8b1b3c79592a_SetDate">
    <vt:lpwstr>2024-06-19T03:11:05Z</vt:lpwstr>
  </property>
  <property fmtid="{D5CDD505-2E9C-101B-9397-08002B2CF9AE}" pid="4" name="MSIP_Label_7294a1c8-9899-41e7-8f6e-8b1b3c79592a_Method">
    <vt:lpwstr>Privileged</vt:lpwstr>
  </property>
  <property fmtid="{D5CDD505-2E9C-101B-9397-08002B2CF9AE}" pid="5" name="MSIP_Label_7294a1c8-9899-41e7-8f6e-8b1b3c79592a_Name">
    <vt:lpwstr>Internal sub2 (no marking)</vt:lpwstr>
  </property>
  <property fmtid="{D5CDD505-2E9C-101B-9397-08002B2CF9AE}" pid="6" name="MSIP_Label_7294a1c8-9899-41e7-8f6e-8b1b3c79592a_SiteId">
    <vt:lpwstr>eb70b763-b6d7-4486-8555-8831709a784e</vt:lpwstr>
  </property>
  <property fmtid="{D5CDD505-2E9C-101B-9397-08002B2CF9AE}" pid="7" name="MSIP_Label_7294a1c8-9899-41e7-8f6e-8b1b3c79592a_ActionId">
    <vt:lpwstr>cf0357ab-d510-4ab6-96df-0d07d3d8873b</vt:lpwstr>
  </property>
  <property fmtid="{D5CDD505-2E9C-101B-9397-08002B2CF9AE}" pid="8" name="MSIP_Label_7294a1c8-9899-41e7-8f6e-8b1b3c79592a_ContentBits">
    <vt:lpwstr>0</vt:lpwstr>
  </property>
</Properties>
</file>