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heets/sheet1.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heets/sheet2.xml" ContentType="application/vnd.openxmlformats-officedocument.spreadsheetml.chartsheet+xml"/>
  <Override PartName="/xl/worksheets/sheet28.xml" ContentType="application/vnd.openxmlformats-officedocument.spreadsheetml.worksheet+xml"/>
  <Override PartName="/xl/chartsheets/sheet3.xml" ContentType="application/vnd.openxmlformats-officedocument.spreadsheetml.chartsheet+xml"/>
  <Override PartName="/xl/worksheets/sheet29.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7.xml" ContentType="application/vnd.openxmlformats-officedocument.drawingml.chartshapes+xml"/>
  <Override PartName="/xl/charts/chartEx1.xml" ContentType="application/vnd.ms-office.chartex+xml"/>
  <Override PartName="/xl/charts/style23.xml" ContentType="application/vnd.ms-office.chartstyle+xml"/>
  <Override PartName="/xl/charts/colors23.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charts/chart23.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1.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0.xml" ContentType="application/vnd.openxmlformats-officedocument.drawing+xml"/>
  <Override PartName="/xl/drawings/drawing31.xml" ContentType="application/vnd.openxmlformats-officedocument.drawing+xml"/>
  <Override PartName="/xl/charts/chart29.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drawings/drawing34.xml" ContentType="application/vnd.openxmlformats-officedocument.drawing+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drawings/drawing37.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Ex2.xml" ContentType="application/vnd.ms-office.chartex+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FDCF99B4-E6BA-43A5-AF83-A5AA0CE31AEE}" xr6:coauthVersionLast="47" xr6:coauthVersionMax="47" xr10:uidLastSave="{00000000-0000-0000-0000-000000000000}"/>
  <bookViews>
    <workbookView xWindow="46830" yWindow="2850" windowWidth="23670" windowHeight="14325" tabRatio="932" activeTab="14" xr2:uid="{00000000-000D-0000-FFFF-FFFF00000000}"/>
  </bookViews>
  <sheets>
    <sheet name="2030" sheetId="72" r:id="rId1"/>
    <sheet name="LB" sheetId="61" r:id="rId2"/>
    <sheet name="Eje 1-1" sheetId="70" r:id="rId3"/>
    <sheet name="Eje 1-2" sheetId="62" r:id="rId4"/>
    <sheet name="Eje 2" sheetId="73" r:id="rId5"/>
    <sheet name="Eje 3" sheetId="63" r:id="rId6"/>
    <sheet name="Eje 4" sheetId="64" r:id="rId7"/>
    <sheet name="Eje 5" sheetId="66" r:id="rId8"/>
    <sheet name="Eje Coproc" sheetId="74" r:id="rId9"/>
    <sheet name="Eje 6" sheetId="65" r:id="rId10"/>
    <sheet name="Eje 7" sheetId="67" r:id="rId11"/>
    <sheet name="Eje 8" sheetId="68" r:id="rId12"/>
    <sheet name="Eje 9-10-11" sheetId="75" r:id="rId13"/>
    <sheet name="CCUS" sheetId="76" r:id="rId14"/>
    <sheet name="Resumen Ejes de Reduccion" sheetId="57" r:id="rId15"/>
    <sheet name="Whole life model" sheetId="2" r:id="rId16"/>
    <sheet name="Waterfall 2050" sheetId="30" r:id="rId17"/>
    <sheet name="Waterfall data" sheetId="28" r:id="rId18"/>
    <sheet name="0.2 Share of concrete" sheetId="23" r:id="rId19"/>
    <sheet name="4.1 Design &amp; Construction" sheetId="8" r:id="rId20"/>
    <sheet name="1.2 Clinker EF" sheetId="4" r:id="rId21"/>
    <sheet name="2.2 &amp; 2.4.2 Cement &amp; Binder" sheetId="20" r:id="rId22"/>
    <sheet name="3.1 Concrete production" sheetId="19" r:id="rId23"/>
    <sheet name="User_notes" sheetId="21" r:id="rId24"/>
    <sheet name="Argentina" sheetId="71" r:id="rId25"/>
    <sheet name="Ejes HR" sheetId="59" r:id="rId26"/>
    <sheet name="Graficos" sheetId="58" r:id="rId27"/>
    <sheet name="User_calculations" sheetId="24" r:id="rId28"/>
    <sheet name="Waterfall 2030" sheetId="29" r:id="rId29"/>
    <sheet name="Stacked areas data" sheetId="31" r:id="rId30"/>
    <sheet name="Stacked area 2020 to 2050" sheetId="32" r:id="rId31"/>
    <sheet name="Stacked bar and box data" sheetId="33" r:id="rId32"/>
    <sheet name="Stacked bar 2050" sheetId="34" r:id="rId33"/>
    <sheet name="Box chart 2050" sheetId="35" r:id="rId34"/>
    <sheet name="Info Society demand" sheetId="9" r:id="rId35"/>
    <sheet name="Info Regions Countries" sheetId="27" r:id="rId36"/>
    <sheet name="Info Clinker Fuel EF" sheetId="6" r:id="rId37"/>
    <sheet name="Info Recarbonation" sheetId="11" r:id="rId38"/>
    <sheet name="Info Template versions" sheetId="26" r:id="rId39"/>
  </sheets>
  <definedNames>
    <definedName name="_GoBack" localSheetId="19">'4.1 Design &amp; Construction'!$A$10</definedName>
    <definedName name="_xlchart.v1.0" hidden="1">'Resumen Ejes de Reduccion'!$J$10:$J$24</definedName>
    <definedName name="_xlchart.v1.1" hidden="1">'Resumen Ejes de Reduccion'!$K$10:$K$24</definedName>
    <definedName name="_xlchart.v1.2" hidden="1">'Resumen Ejes de Reduccion'!$L$12:$L$24</definedName>
    <definedName name="_xlchart.v1.3" hidden="1">'Resumen Ejes de Reduccion'!$M$12:$M$24</definedName>
    <definedName name="_xlchart.v1.4" hidden="1">'Stacked bar and box data'!$D$20:$J$20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76" l="1"/>
  <c r="G44" i="76"/>
  <c r="G41" i="76"/>
  <c r="G39" i="76"/>
  <c r="G45" i="76"/>
  <c r="G40" i="76"/>
  <c r="G43" i="76"/>
  <c r="G46" i="76"/>
  <c r="G42" i="76"/>
  <c r="G40" i="75"/>
  <c r="G41" i="75"/>
  <c r="G39" i="75"/>
  <c r="X57" i="76"/>
  <c r="V57" i="76"/>
  <c r="U57" i="76"/>
  <c r="W56" i="76"/>
  <c r="W57" i="76" s="1"/>
  <c r="J21" i="2"/>
  <c r="J17" i="2" s="1"/>
  <c r="H12" i="57" l="1"/>
  <c r="H11" i="57"/>
  <c r="J24" i="2"/>
  <c r="F24" i="2" s="1"/>
  <c r="F26" i="2" s="1"/>
  <c r="F25" i="2"/>
  <c r="G66" i="57"/>
  <c r="H34" i="57" l="1"/>
  <c r="H32" i="57"/>
  <c r="J33" i="57"/>
  <c r="F77" i="57"/>
  <c r="G77" i="57"/>
  <c r="E77" i="57"/>
  <c r="N35" i="2"/>
  <c r="W46" i="8" l="1"/>
  <c r="J35" i="57"/>
  <c r="P54" i="57"/>
  <c r="H112" i="57" l="1"/>
  <c r="J32" i="57"/>
  <c r="AD37" i="57"/>
  <c r="J42" i="8"/>
  <c r="K43" i="8"/>
  <c r="K44" i="8"/>
  <c r="V42" i="8"/>
  <c r="W43" i="8"/>
  <c r="W44" i="8"/>
  <c r="D64" i="62"/>
  <c r="F64" i="62"/>
  <c r="C64" i="62"/>
  <c r="E62" i="62"/>
  <c r="E60" i="62"/>
  <c r="E58" i="62"/>
  <c r="E64" i="62" s="1"/>
  <c r="E56" i="62"/>
  <c r="J25" i="57"/>
  <c r="H20" i="4"/>
  <c r="H21" i="4"/>
  <c r="H22" i="4"/>
  <c r="J26" i="57"/>
  <c r="AB42" i="8" l="1"/>
  <c r="X42" i="8" l="1"/>
  <c r="K24" i="19"/>
  <c r="F17" i="2"/>
  <c r="J11" i="2" s="1"/>
  <c r="G51" i="74" l="1"/>
  <c r="AA47" i="63" l="1"/>
  <c r="G48" i="65" l="1"/>
  <c r="G49" i="65"/>
  <c r="G47" i="65"/>
  <c r="G46" i="65"/>
  <c r="P50" i="63" l="1"/>
  <c r="K45" i="57"/>
  <c r="G15" i="57"/>
  <c r="E53" i="61"/>
  <c r="G11" i="57"/>
  <c r="F44" i="73" l="1"/>
  <c r="L11" i="2" l="1"/>
  <c r="S21" i="2"/>
  <c r="P21" i="2"/>
  <c r="M21" i="2"/>
  <c r="J34" i="57"/>
  <c r="J20" i="2" l="1"/>
  <c r="X57" i="75" l="1"/>
  <c r="W57" i="75"/>
  <c r="V57" i="75"/>
  <c r="U57" i="75"/>
  <c r="W56" i="75"/>
  <c r="S18" i="68"/>
  <c r="S20" i="68"/>
  <c r="S19" i="68"/>
  <c r="M43" i="66"/>
  <c r="AI52" i="62" l="1"/>
  <c r="AI51" i="62"/>
  <c r="AI50" i="62"/>
  <c r="AI49" i="62"/>
  <c r="AI48" i="62"/>
  <c r="X52" i="62"/>
  <c r="X51" i="62"/>
  <c r="X50" i="62"/>
  <c r="X49" i="62"/>
  <c r="X48" i="62"/>
  <c r="D53" i="61"/>
  <c r="F53" i="61"/>
  <c r="C53" i="61"/>
  <c r="AA51" i="63" l="1"/>
  <c r="AA50" i="63"/>
  <c r="AA49" i="63"/>
  <c r="AA48" i="63"/>
  <c r="R40" i="73"/>
  <c r="R39" i="73"/>
  <c r="S46" i="73"/>
  <c r="Q46" i="73"/>
  <c r="P46" i="73"/>
  <c r="F41" i="73"/>
  <c r="F42" i="73"/>
  <c r="F43" i="73"/>
  <c r="F40" i="73"/>
  <c r="N63" i="61" l="1"/>
  <c r="N53" i="61" s="1"/>
  <c r="M63" i="61"/>
  <c r="P63" i="61"/>
  <c r="P53" i="61" s="1"/>
  <c r="O53" i="61"/>
  <c r="P61" i="61"/>
  <c r="P58" i="61"/>
  <c r="N58" i="61"/>
  <c r="P57" i="61"/>
  <c r="N57" i="61"/>
  <c r="N42" i="75" l="1"/>
  <c r="L42" i="75"/>
  <c r="N41" i="75"/>
  <c r="L41" i="75"/>
  <c r="G44" i="75"/>
  <c r="G43" i="75"/>
  <c r="G42" i="75"/>
  <c r="N51" i="74"/>
  <c r="L51" i="74"/>
  <c r="K51" i="74"/>
  <c r="M50" i="74"/>
  <c r="M51" i="74" s="1"/>
  <c r="G50" i="74"/>
  <c r="T49" i="74"/>
  <c r="M49" i="74"/>
  <c r="T48" i="74"/>
  <c r="M48" i="74"/>
  <c r="T47" i="74"/>
  <c r="M47" i="74"/>
  <c r="T46" i="74"/>
  <c r="M46" i="74"/>
  <c r="F48" i="66"/>
  <c r="O43" i="66"/>
  <c r="L43" i="66"/>
  <c r="R43" i="73"/>
  <c r="R46" i="73" s="1"/>
  <c r="M61" i="61"/>
  <c r="M53" i="61" s="1"/>
  <c r="Q63" i="63" l="1"/>
  <c r="O63" i="63"/>
  <c r="N63" i="63"/>
  <c r="P54" i="63"/>
  <c r="P55" i="63"/>
  <c r="P56" i="63"/>
  <c r="P57" i="63"/>
  <c r="P58" i="63"/>
  <c r="P59" i="63"/>
  <c r="P60" i="63"/>
  <c r="P53" i="63"/>
  <c r="P49" i="63"/>
  <c r="P48" i="63"/>
  <c r="P47" i="63"/>
  <c r="O62" i="62"/>
  <c r="N47" i="2"/>
  <c r="O61" i="62"/>
  <c r="O62" i="61"/>
  <c r="O58" i="61"/>
  <c r="O59" i="61"/>
  <c r="O60" i="61"/>
  <c r="O57" i="61"/>
  <c r="N61" i="61"/>
  <c r="O60" i="62"/>
  <c r="O59" i="62"/>
  <c r="O58" i="62"/>
  <c r="O57" i="62"/>
  <c r="Q39" i="67"/>
  <c r="T49" i="65"/>
  <c r="T47" i="65"/>
  <c r="T46" i="65"/>
  <c r="N45" i="66"/>
  <c r="N44" i="66"/>
  <c r="N43" i="66" s="1"/>
  <c r="P63" i="63" l="1"/>
  <c r="O61" i="61"/>
  <c r="O63" i="61" s="1"/>
  <c r="K59" i="2" l="1"/>
  <c r="L51" i="65"/>
  <c r="N51" i="65"/>
  <c r="K51" i="65"/>
  <c r="M50" i="65"/>
  <c r="M49" i="65"/>
  <c r="M48" i="65"/>
  <c r="M47" i="65"/>
  <c r="M46" i="65"/>
  <c r="O75" i="71"/>
  <c r="N75" i="71"/>
  <c r="L75" i="71"/>
  <c r="K75" i="71"/>
  <c r="I75" i="71"/>
  <c r="H75" i="71"/>
  <c r="F75" i="71"/>
  <c r="E75" i="71"/>
  <c r="I63" i="71"/>
  <c r="H63" i="71"/>
  <c r="O62" i="71"/>
  <c r="N62" i="71"/>
  <c r="L62" i="71"/>
  <c r="K62" i="71"/>
  <c r="I62" i="71"/>
  <c r="H62" i="71"/>
  <c r="F62" i="71"/>
  <c r="E62" i="71"/>
  <c r="J53" i="71"/>
  <c r="J54" i="71" s="1"/>
  <c r="G53" i="71"/>
  <c r="G54" i="71" s="1"/>
  <c r="L52" i="71"/>
  <c r="K52" i="71"/>
  <c r="J52" i="71"/>
  <c r="I52" i="71"/>
  <c r="H52" i="71"/>
  <c r="G52" i="71"/>
  <c r="F46" i="71"/>
  <c r="L39" i="71"/>
  <c r="K39" i="71"/>
  <c r="J39" i="71"/>
  <c r="J40" i="71" s="1"/>
  <c r="J41" i="71" s="1"/>
  <c r="I39" i="71"/>
  <c r="H39" i="71"/>
  <c r="G40" i="71" s="1"/>
  <c r="G41" i="71" s="1"/>
  <c r="G39" i="71"/>
  <c r="F33" i="71"/>
  <c r="L26" i="71"/>
  <c r="K26" i="71"/>
  <c r="J26" i="71"/>
  <c r="J27" i="71" s="1"/>
  <c r="J28" i="71" s="1"/>
  <c r="I26" i="71"/>
  <c r="H26" i="71"/>
  <c r="G26" i="71"/>
  <c r="G27" i="71" s="1"/>
  <c r="G28" i="71" s="1"/>
  <c r="F20" i="71"/>
  <c r="L13" i="71"/>
  <c r="K13" i="71"/>
  <c r="J13" i="71"/>
  <c r="J14" i="71" s="1"/>
  <c r="J15" i="71" s="1"/>
  <c r="I13" i="71"/>
  <c r="H13" i="71"/>
  <c r="G13" i="71"/>
  <c r="G14" i="71" s="1"/>
  <c r="G15" i="71" s="1"/>
  <c r="F7" i="71"/>
  <c r="F49" i="66" l="1"/>
  <c r="F53" i="63"/>
  <c r="O52" i="62"/>
  <c r="E52" i="62"/>
  <c r="O51" i="62"/>
  <c r="O50" i="62"/>
  <c r="O49" i="62"/>
  <c r="O48" i="62"/>
  <c r="O52" i="61" l="1"/>
  <c r="O49" i="61" l="1"/>
  <c r="O51" i="61"/>
  <c r="O50" i="61"/>
  <c r="E54" i="61" l="1"/>
  <c r="F43" i="68"/>
  <c r="F42" i="68"/>
  <c r="F41" i="68"/>
  <c r="F40" i="68"/>
  <c r="F39" i="68"/>
  <c r="F43" i="67"/>
  <c r="F42" i="67"/>
  <c r="F41" i="67"/>
  <c r="F40" i="67"/>
  <c r="F39" i="67"/>
  <c r="F47" i="66"/>
  <c r="F46" i="66"/>
  <c r="F45" i="66"/>
  <c r="F44" i="66"/>
  <c r="G49" i="64"/>
  <c r="G48" i="64"/>
  <c r="G47" i="64"/>
  <c r="G46" i="64"/>
  <c r="G45" i="64"/>
  <c r="F52" i="63"/>
  <c r="F51" i="63"/>
  <c r="F50" i="63"/>
  <c r="F49" i="63"/>
  <c r="F48" i="63"/>
  <c r="E51" i="62"/>
  <c r="E50" i="62"/>
  <c r="E49" i="62"/>
  <c r="E48" i="62"/>
  <c r="E52" i="61"/>
  <c r="E51" i="61"/>
  <c r="E50" i="61"/>
  <c r="E49" i="61"/>
  <c r="M51" i="65" l="1"/>
  <c r="I37" i="57"/>
  <c r="I32" i="57"/>
  <c r="F111" i="57" l="1"/>
  <c r="F21" i="2"/>
  <c r="F19" i="57"/>
  <c r="N36" i="2" l="1"/>
  <c r="N46" i="2"/>
  <c r="N48" i="2" s="1"/>
  <c r="N50" i="2" s="1"/>
  <c r="E6" i="57"/>
  <c r="I13" i="57"/>
  <c r="I14" i="57" s="1"/>
  <c r="I15" i="57" s="1"/>
  <c r="I16" i="57" s="1"/>
  <c r="I17" i="57" s="1"/>
  <c r="I18" i="57" s="1"/>
  <c r="I20" i="57" s="1"/>
  <c r="I21" i="57" s="1"/>
  <c r="I19" i="57" s="1"/>
  <c r="I23" i="57" s="1"/>
  <c r="I24" i="57" s="1"/>
  <c r="I22" i="57" s="1"/>
  <c r="AP43" i="58"/>
  <c r="AI43" i="58"/>
  <c r="P43" i="58"/>
  <c r="F43" i="58"/>
  <c r="AP42" i="58"/>
  <c r="AI42" i="58"/>
  <c r="Y42" i="58"/>
  <c r="P42" i="58"/>
  <c r="F42" i="58"/>
  <c r="AP41" i="58"/>
  <c r="AI41" i="58"/>
  <c r="Y41" i="58"/>
  <c r="P41" i="58"/>
  <c r="F41" i="58"/>
  <c r="AP40" i="58"/>
  <c r="AI40" i="58"/>
  <c r="Y40" i="58"/>
  <c r="P40" i="58"/>
  <c r="F40" i="58"/>
  <c r="AP39" i="58"/>
  <c r="AI39" i="58"/>
  <c r="Y39" i="58"/>
  <c r="P39" i="58"/>
  <c r="F39" i="58"/>
  <c r="L10" i="8"/>
  <c r="E118" i="57"/>
  <c r="M17" i="2" l="1"/>
  <c r="F51" i="57" l="1"/>
  <c r="G51" i="57"/>
  <c r="E51" i="57"/>
  <c r="F46" i="57"/>
  <c r="G46" i="57"/>
  <c r="E46" i="57"/>
  <c r="F41" i="57"/>
  <c r="G41" i="57"/>
  <c r="E41" i="57"/>
  <c r="F36" i="57"/>
  <c r="G36" i="57"/>
  <c r="G19" i="57"/>
  <c r="K9" i="57" s="1"/>
  <c r="L62" i="2" l="1"/>
  <c r="K63" i="2"/>
  <c r="K58" i="2"/>
  <c r="K57" i="2"/>
  <c r="K56" i="2"/>
  <c r="J60" i="2"/>
  <c r="K60" i="2" l="1"/>
  <c r="G57" i="2" l="1"/>
  <c r="H116" i="57" l="1"/>
  <c r="H114" i="57"/>
  <c r="E26" i="57" l="1"/>
  <c r="F18" i="4" l="1"/>
  <c r="G18" i="4"/>
  <c r="H18" i="4"/>
  <c r="F19" i="4"/>
  <c r="G19" i="4"/>
  <c r="H19" i="4"/>
  <c r="F20" i="4"/>
  <c r="G20" i="4"/>
  <c r="F21" i="4"/>
  <c r="G21" i="4"/>
  <c r="F22" i="4"/>
  <c r="G22" i="4"/>
  <c r="F24" i="4"/>
  <c r="G24" i="4"/>
  <c r="H24" i="4"/>
  <c r="G111" i="57"/>
  <c r="G12" i="57" s="1"/>
  <c r="F12" i="57"/>
  <c r="E111" i="57"/>
  <c r="E12" i="57" s="1"/>
  <c r="G104" i="57"/>
  <c r="F104" i="57"/>
  <c r="E104" i="57"/>
  <c r="J19" i="2" l="1"/>
  <c r="H104" i="57"/>
  <c r="F30" i="4"/>
  <c r="G30" i="4"/>
  <c r="H30" i="4"/>
  <c r="E15" i="57" l="1"/>
  <c r="E16" i="57" s="1"/>
  <c r="G118" i="57"/>
  <c r="G99" i="57"/>
  <c r="F81" i="57"/>
  <c r="G81" i="57"/>
  <c r="E81" i="57"/>
  <c r="E78" i="57"/>
  <c r="F26" i="57"/>
  <c r="G26" i="57"/>
  <c r="E13" i="57"/>
  <c r="F13" i="57"/>
  <c r="G13" i="57"/>
  <c r="H10" i="2"/>
  <c r="G10" i="2"/>
  <c r="F15" i="57" l="1"/>
  <c r="L18" i="4"/>
  <c r="U11" i="2" l="1"/>
  <c r="T11" i="2"/>
  <c r="R11" i="2"/>
  <c r="Q11" i="2"/>
  <c r="O11" i="2"/>
  <c r="I36" i="57" s="1"/>
  <c r="N11" i="2"/>
  <c r="K11" i="2"/>
  <c r="F11" i="57" l="1"/>
  <c r="H33" i="57"/>
  <c r="I31" i="57" l="1"/>
  <c r="E99" i="57"/>
  <c r="G72" i="57" l="1"/>
  <c r="F72" i="57"/>
  <c r="G71" i="57"/>
  <c r="F71" i="57"/>
  <c r="E23" i="57" l="1"/>
  <c r="E24" i="57"/>
  <c r="G22" i="19" l="1"/>
  <c r="G24" i="19" s="1"/>
  <c r="E56" i="57" l="1"/>
  <c r="H39" i="4"/>
  <c r="G93" i="57" l="1"/>
  <c r="Q34" i="2" l="1"/>
  <c r="R34" i="2" s="1"/>
  <c r="L22" i="4" l="1"/>
  <c r="F118" i="57" l="1"/>
  <c r="F39" i="4"/>
  <c r="G58" i="57"/>
  <c r="J58" i="57" l="1"/>
  <c r="E93" i="57"/>
  <c r="H93" i="57" s="1"/>
  <c r="X12" i="8" l="1"/>
  <c r="P11" i="8" l="1"/>
  <c r="W42" i="8" l="1"/>
  <c r="F18" i="2" l="1"/>
  <c r="I11" i="31" l="1"/>
  <c r="H22" i="19"/>
  <c r="Q22" i="19" l="1"/>
  <c r="P22" i="19"/>
  <c r="N22" i="19"/>
  <c r="M22" i="19"/>
  <c r="S24" i="2" l="1"/>
  <c r="D10" i="33"/>
  <c r="D17" i="33" s="1"/>
  <c r="E10" i="33"/>
  <c r="G10" i="33"/>
  <c r="H10" i="33"/>
  <c r="G17" i="33" s="1"/>
  <c r="I10" i="33"/>
  <c r="J10" i="33"/>
  <c r="K10" i="33"/>
  <c r="I17" i="33" s="1"/>
  <c r="L10" i="33"/>
  <c r="J17" i="33" s="1"/>
  <c r="F17" i="33" l="1"/>
  <c r="H17" i="33"/>
  <c r="O35" i="2"/>
  <c r="P35" i="2"/>
  <c r="P21" i="28" l="1"/>
  <c r="P10" i="28"/>
  <c r="Y21" i="28"/>
  <c r="Y10" i="28"/>
  <c r="M7" i="28"/>
  <c r="N7" i="28"/>
  <c r="L7" i="28"/>
  <c r="J7" i="28"/>
  <c r="K7" i="28"/>
  <c r="I7" i="28"/>
  <c r="G7" i="28"/>
  <c r="H7" i="28"/>
  <c r="F7" i="28"/>
  <c r="G7" i="4"/>
  <c r="H7" i="4"/>
  <c r="F7" i="4"/>
  <c r="P7" i="20"/>
  <c r="Q7" i="20"/>
  <c r="O7" i="20"/>
  <c r="M7" i="20"/>
  <c r="N7" i="20"/>
  <c r="L7" i="20"/>
  <c r="G7" i="20"/>
  <c r="H7" i="20"/>
  <c r="F7" i="20"/>
  <c r="J7" i="20"/>
  <c r="K7" i="20"/>
  <c r="I7" i="20"/>
  <c r="P7" i="19"/>
  <c r="Q7" i="19"/>
  <c r="O7" i="19"/>
  <c r="M7" i="19"/>
  <c r="N7" i="19"/>
  <c r="L7" i="19"/>
  <c r="J7" i="19"/>
  <c r="K7" i="19"/>
  <c r="I7" i="19"/>
  <c r="G7" i="19"/>
  <c r="H7" i="19"/>
  <c r="F7" i="19"/>
  <c r="AG11" i="8"/>
  <c r="AF11" i="8"/>
  <c r="AE11" i="8"/>
  <c r="AD11" i="8"/>
  <c r="AC11" i="8"/>
  <c r="AB11" i="8"/>
  <c r="AA11" i="8"/>
  <c r="Z11" i="8"/>
  <c r="Y11" i="8"/>
  <c r="X11" i="8"/>
  <c r="W11" i="8"/>
  <c r="V11" i="8"/>
  <c r="U11" i="8"/>
  <c r="T11" i="8"/>
  <c r="S11" i="8"/>
  <c r="R11" i="8"/>
  <c r="Q11" i="8"/>
  <c r="O11" i="8"/>
  <c r="N11" i="8"/>
  <c r="M11" i="8"/>
  <c r="L11" i="8"/>
  <c r="K11" i="8"/>
  <c r="J11" i="8"/>
  <c r="U9" i="8"/>
  <c r="T9" i="8"/>
  <c r="S9" i="8"/>
  <c r="R9" i="8"/>
  <c r="Q9" i="8"/>
  <c r="P9" i="8"/>
  <c r="O9" i="8"/>
  <c r="N9" i="8"/>
  <c r="M9" i="8"/>
  <c r="L9" i="8"/>
  <c r="K9" i="8"/>
  <c r="J9" i="8"/>
  <c r="P7" i="23"/>
  <c r="Q7" i="23"/>
  <c r="O7" i="23"/>
  <c r="M7" i="23"/>
  <c r="N7" i="23"/>
  <c r="L7" i="23"/>
  <c r="J7" i="23"/>
  <c r="K7" i="23"/>
  <c r="I7" i="23"/>
  <c r="G7" i="23"/>
  <c r="H7" i="23"/>
  <c r="F7" i="23"/>
  <c r="G7" i="21"/>
  <c r="H7" i="21"/>
  <c r="F7" i="21"/>
  <c r="T7" i="2"/>
  <c r="U7" i="2"/>
  <c r="Q7" i="2"/>
  <c r="R7" i="2"/>
  <c r="N7" i="2"/>
  <c r="O7" i="2"/>
  <c r="K7" i="2"/>
  <c r="L7" i="2"/>
  <c r="S7" i="2"/>
  <c r="P7" i="2"/>
  <c r="M7" i="2"/>
  <c r="J7" i="2"/>
  <c r="K15" i="2"/>
  <c r="J24" i="19"/>
  <c r="Q24" i="19"/>
  <c r="P24" i="19"/>
  <c r="M24" i="19"/>
  <c r="N24" i="19"/>
  <c r="H24" i="19"/>
  <c r="S18" i="23"/>
  <c r="R18" i="23"/>
  <c r="H18" i="2" l="1"/>
  <c r="P47" i="2" s="1"/>
  <c r="F3" i="28" l="1"/>
  <c r="F4" i="28"/>
  <c r="F5" i="28"/>
  <c r="F6" i="28"/>
  <c r="F2" i="28"/>
  <c r="F16" i="4" l="1"/>
  <c r="M24" i="2"/>
  <c r="P24" i="2"/>
  <c r="M19" i="2" l="1"/>
  <c r="J39" i="4"/>
  <c r="E133" i="57" s="1"/>
  <c r="H11" i="2"/>
  <c r="H23" i="2" l="1"/>
  <c r="F73" i="57" s="1"/>
  <c r="G23" i="2"/>
  <c r="L19" i="4"/>
  <c r="H42" i="9" l="1"/>
  <c r="G39" i="9" s="1"/>
  <c r="F42" i="9"/>
  <c r="E41" i="9" s="1"/>
  <c r="D42" i="9"/>
  <c r="C41" i="9" s="1"/>
  <c r="E13" i="9"/>
  <c r="D13" i="9"/>
  <c r="E12" i="9"/>
  <c r="D12" i="9"/>
  <c r="E11" i="9"/>
  <c r="D11" i="9"/>
  <c r="E10" i="9"/>
  <c r="D10" i="9"/>
  <c r="E9" i="9"/>
  <c r="D9" i="9"/>
  <c r="C39" i="9" l="1"/>
  <c r="C38" i="9"/>
  <c r="E39" i="9"/>
  <c r="E38" i="9"/>
  <c r="C40" i="9"/>
  <c r="E40" i="9"/>
  <c r="G40" i="9"/>
  <c r="G38" i="9"/>
  <c r="G41" i="9"/>
  <c r="D7" i="27" l="1"/>
  <c r="B7" i="27"/>
  <c r="F6" i="27"/>
  <c r="F5" i="27"/>
  <c r="F4" i="27"/>
  <c r="F3" i="27"/>
  <c r="F2" i="27"/>
  <c r="D7" i="26" l="1"/>
  <c r="B7" i="26"/>
  <c r="R42" i="8" l="1"/>
  <c r="N42" i="8"/>
  <c r="M42" i="8" l="1"/>
  <c r="K42" i="8"/>
  <c r="L27" i="4" l="1"/>
  <c r="L26" i="4"/>
  <c r="L28" i="4"/>
  <c r="D6" i="24"/>
  <c r="B6" i="24"/>
  <c r="I6" i="24"/>
  <c r="I5" i="24"/>
  <c r="I4" i="24"/>
  <c r="I3" i="24"/>
  <c r="I2" i="24"/>
  <c r="Q9" i="23" l="1"/>
  <c r="P9" i="23"/>
  <c r="N9" i="23"/>
  <c r="M9" i="23"/>
  <c r="K9" i="23"/>
  <c r="J9" i="23"/>
  <c r="H9" i="23"/>
  <c r="G9" i="23"/>
  <c r="D7" i="23"/>
  <c r="B7" i="23"/>
  <c r="F6" i="23"/>
  <c r="F5" i="23"/>
  <c r="F4" i="23"/>
  <c r="F3" i="23"/>
  <c r="F2" i="23"/>
  <c r="G23" i="11" l="1"/>
  <c r="H25" i="11" l="1"/>
  <c r="G25" i="11"/>
  <c r="F25" i="11"/>
  <c r="E25" i="11"/>
  <c r="F23" i="11"/>
  <c r="Z42" i="8" l="1"/>
  <c r="U42" i="8"/>
  <c r="L42" i="8"/>
  <c r="O42" i="8"/>
  <c r="P42" i="8"/>
  <c r="Q42" i="8"/>
  <c r="S42" i="8"/>
  <c r="T42" i="8"/>
  <c r="R12" i="8"/>
  <c r="O12" i="8"/>
  <c r="AA12" i="8"/>
  <c r="U10" i="8"/>
  <c r="R10" i="8"/>
  <c r="O10" i="8"/>
  <c r="Q43" i="8" l="1"/>
  <c r="Q44" i="8" s="1"/>
  <c r="Q13" i="2" s="1"/>
  <c r="AE42" i="8"/>
  <c r="AA42" i="8"/>
  <c r="AC42" i="8"/>
  <c r="AF42" i="8"/>
  <c r="AD42" i="8"/>
  <c r="Y42" i="8"/>
  <c r="N43" i="8"/>
  <c r="N44" i="8" s="1"/>
  <c r="N13" i="2" s="1"/>
  <c r="L13" i="2" l="1"/>
  <c r="Z43" i="8"/>
  <c r="Z44" i="8" s="1"/>
  <c r="O13" i="2" s="1"/>
  <c r="D7" i="21"/>
  <c r="B7" i="21"/>
  <c r="F6" i="21"/>
  <c r="F5" i="21"/>
  <c r="F4" i="21"/>
  <c r="F3" i="21"/>
  <c r="F2" i="21"/>
  <c r="D7" i="8" l="1"/>
  <c r="B7" i="8"/>
  <c r="D7" i="19"/>
  <c r="B7" i="19"/>
  <c r="F6" i="8"/>
  <c r="F5" i="8"/>
  <c r="F4" i="8"/>
  <c r="F3" i="8"/>
  <c r="F2" i="8"/>
  <c r="F6" i="19"/>
  <c r="F5" i="19"/>
  <c r="F4" i="19"/>
  <c r="F3" i="19"/>
  <c r="F2" i="19"/>
  <c r="D7" i="20"/>
  <c r="B7" i="20"/>
  <c r="F6" i="20"/>
  <c r="F5" i="20"/>
  <c r="F4" i="20"/>
  <c r="F3" i="20"/>
  <c r="F2" i="20"/>
  <c r="G16" i="4"/>
  <c r="H16" i="4"/>
  <c r="F3" i="4"/>
  <c r="F4" i="4"/>
  <c r="F5" i="4"/>
  <c r="F6" i="4"/>
  <c r="F2" i="4"/>
  <c r="D7" i="4"/>
  <c r="B7" i="4"/>
  <c r="L25" i="4"/>
  <c r="L29" i="4"/>
  <c r="L20" i="4" l="1"/>
  <c r="G37" i="4" s="1"/>
  <c r="G38" i="4" s="1"/>
  <c r="G40" i="4" s="1"/>
  <c r="G44" i="4" s="1"/>
  <c r="L21" i="4"/>
  <c r="L24" i="4"/>
  <c r="F37" i="4" l="1"/>
  <c r="F38" i="4" s="1"/>
  <c r="H37" i="4"/>
  <c r="H38" i="4" s="1"/>
  <c r="E91" i="57" l="1"/>
  <c r="F40" i="4"/>
  <c r="F44" i="4" s="1"/>
  <c r="H40" i="4"/>
  <c r="H44" i="4" s="1"/>
  <c r="G91" i="57"/>
  <c r="H91" i="57" s="1"/>
  <c r="L15" i="2"/>
  <c r="E94" i="57" l="1"/>
  <c r="G94" i="57"/>
  <c r="AG12" i="8"/>
  <c r="AD12" i="8"/>
  <c r="U12" i="8"/>
  <c r="L12" i="8"/>
  <c r="U15" i="2"/>
  <c r="T15" i="2"/>
  <c r="R15" i="2"/>
  <c r="Q15" i="2"/>
  <c r="O15" i="2"/>
  <c r="N15" i="2"/>
  <c r="G53" i="57" l="1"/>
  <c r="AG42" i="8"/>
  <c r="AF43" i="8" s="1"/>
  <c r="AF44" i="8" s="1"/>
  <c r="U13" i="2" s="1"/>
  <c r="G52" i="57" s="1"/>
  <c r="T43" i="8"/>
  <c r="T44" i="8" s="1"/>
  <c r="T13" i="2" s="1"/>
  <c r="AC43" i="8"/>
  <c r="AC44" i="8" s="1"/>
  <c r="R13" i="2" s="1"/>
  <c r="K13" i="2"/>
  <c r="H23" i="11" l="1"/>
  <c r="E23" i="11"/>
  <c r="P17" i="2" l="1"/>
  <c r="N51" i="2" l="1"/>
  <c r="P19" i="2"/>
  <c r="G11" i="2" l="1"/>
  <c r="S17" i="2" l="1"/>
  <c r="S19" i="2" l="1"/>
  <c r="M11" i="2" l="1"/>
  <c r="E5" i="57"/>
  <c r="E9" i="57" s="1"/>
  <c r="E70" i="57"/>
  <c r="H56" i="57" s="1"/>
  <c r="G16" i="2"/>
  <c r="H16" i="2"/>
  <c r="L17" i="2"/>
  <c r="K17" i="2"/>
  <c r="K21" i="2" s="1"/>
  <c r="P11" i="2"/>
  <c r="L16" i="23" s="1"/>
  <c r="M17" i="23" s="1"/>
  <c r="S11" i="2"/>
  <c r="N28" i="2"/>
  <c r="N30" i="2" s="1"/>
  <c r="N17" i="2" l="1"/>
  <c r="N21" i="2" s="1"/>
  <c r="E52" i="57"/>
  <c r="F52" i="57"/>
  <c r="F53" i="57"/>
  <c r="H15" i="2"/>
  <c r="F5" i="57"/>
  <c r="G5" i="57"/>
  <c r="L21" i="2"/>
  <c r="L24" i="2" s="1"/>
  <c r="O16" i="23"/>
  <c r="P17" i="23" s="1"/>
  <c r="E53" i="57"/>
  <c r="O17" i="2"/>
  <c r="F15" i="2"/>
  <c r="F11" i="2"/>
  <c r="F16" i="23"/>
  <c r="I16" i="23"/>
  <c r="J17" i="23" s="1"/>
  <c r="G15" i="2"/>
  <c r="G13" i="2" s="1"/>
  <c r="N17" i="23"/>
  <c r="R17" i="2"/>
  <c r="U17" i="2"/>
  <c r="H13" i="2" l="1"/>
  <c r="F13" i="2"/>
  <c r="I15" i="2"/>
  <c r="H17" i="2"/>
  <c r="G70" i="57" s="1"/>
  <c r="Q17" i="23"/>
  <c r="E58" i="57"/>
  <c r="H17" i="23"/>
  <c r="G17" i="23"/>
  <c r="J18" i="23"/>
  <c r="K18" i="23"/>
  <c r="K17" i="23"/>
  <c r="O21" i="2"/>
  <c r="U21" i="2"/>
  <c r="U24" i="2" s="1"/>
  <c r="U19" i="2" s="1"/>
  <c r="R21" i="2"/>
  <c r="T17" i="2"/>
  <c r="Q17" i="2"/>
  <c r="I9" i="23"/>
  <c r="L9" i="23"/>
  <c r="O9" i="23"/>
  <c r="F9" i="23"/>
  <c r="I13" i="2" l="1"/>
  <c r="H58" i="57"/>
  <c r="T21" i="2"/>
  <c r="T24" i="2" s="1"/>
  <c r="T19" i="2" s="1"/>
  <c r="G9" i="57"/>
  <c r="E10" i="57"/>
  <c r="R24" i="2"/>
  <c r="R19" i="2" s="1"/>
  <c r="H21" i="2"/>
  <c r="G6" i="57" s="1"/>
  <c r="O24" i="2"/>
  <c r="Q21" i="2"/>
  <c r="P28" i="2"/>
  <c r="G17" i="2"/>
  <c r="H24" i="2" l="1"/>
  <c r="H34" i="2" s="1"/>
  <c r="G16" i="57"/>
  <c r="E124" i="57"/>
  <c r="E125" i="57" s="1"/>
  <c r="E130" i="57" s="1"/>
  <c r="E120" i="57"/>
  <c r="E129" i="57" s="1"/>
  <c r="G21" i="2"/>
  <c r="F6" i="57" s="1"/>
  <c r="G78" i="57"/>
  <c r="G10" i="57"/>
  <c r="O19" i="2"/>
  <c r="Q24" i="2"/>
  <c r="Q19" i="2" s="1"/>
  <c r="F70" i="57"/>
  <c r="N24" i="2"/>
  <c r="O28" i="2"/>
  <c r="O30" i="2" s="1"/>
  <c r="G18" i="2"/>
  <c r="O47" i="2" s="1"/>
  <c r="P38" i="2" l="1"/>
  <c r="G124" i="57"/>
  <c r="G125" i="57" s="1"/>
  <c r="G130" i="57" s="1"/>
  <c r="F78" i="57"/>
  <c r="F16" i="57"/>
  <c r="L39" i="4"/>
  <c r="G133" i="57" s="1"/>
  <c r="G120" i="57"/>
  <c r="G129" i="57" s="1"/>
  <c r="N19" i="2"/>
  <c r="E73" i="57"/>
  <c r="H19" i="2"/>
  <c r="G73" i="57" s="1"/>
  <c r="H22" i="2"/>
  <c r="P46" i="2"/>
  <c r="G56" i="57" s="1"/>
  <c r="O36" i="2"/>
  <c r="O46" i="2"/>
  <c r="F56" i="57" s="1"/>
  <c r="P36" i="2"/>
  <c r="L19" i="2"/>
  <c r="G39" i="4"/>
  <c r="F93" i="57" l="1"/>
  <c r="P48" i="2"/>
  <c r="P52" i="2" s="1"/>
  <c r="O48" i="2"/>
  <c r="O52" i="2" s="1"/>
  <c r="P30" i="2"/>
  <c r="F91" i="57"/>
  <c r="F94" i="57" l="1"/>
  <c r="O50" i="2"/>
  <c r="O51" i="2"/>
  <c r="O53" i="2"/>
  <c r="P51" i="2"/>
  <c r="P50" i="2"/>
  <c r="P53" i="2"/>
  <c r="G49" i="2"/>
  <c r="O54" i="2" l="1"/>
  <c r="O40" i="2" s="1"/>
  <c r="F82" i="57" s="1"/>
  <c r="P54" i="2"/>
  <c r="P40" i="2" s="1"/>
  <c r="P41" i="2" s="1"/>
  <c r="P42" i="2" s="1"/>
  <c r="G25" i="2"/>
  <c r="H48" i="2"/>
  <c r="F83" i="57" l="1"/>
  <c r="F84" i="57" s="1"/>
  <c r="F27" i="57"/>
  <c r="G82" i="57"/>
  <c r="G83" i="57" s="1"/>
  <c r="F99" i="57"/>
  <c r="H25" i="2"/>
  <c r="H26" i="2" s="1"/>
  <c r="G84" i="57" l="1"/>
  <c r="G27" i="57"/>
  <c r="G28" i="57" s="1"/>
  <c r="P31" i="2"/>
  <c r="F23" i="57"/>
  <c r="N16" i="28"/>
  <c r="N17" i="28" s="1"/>
  <c r="N18" i="28" s="1"/>
  <c r="N19" i="28" s="1"/>
  <c r="N20" i="28" s="1"/>
  <c r="AA21" i="28" s="1"/>
  <c r="C40" i="31" s="1"/>
  <c r="C12" i="33" s="1"/>
  <c r="C19" i="33" s="1"/>
  <c r="H30" i="2"/>
  <c r="H31" i="2" l="1"/>
  <c r="H35" i="2" l="1"/>
  <c r="H37" i="2" s="1"/>
  <c r="F28" i="57"/>
  <c r="G23" i="57"/>
  <c r="H38" i="2" l="1"/>
  <c r="H42" i="2"/>
  <c r="H44" i="2" s="1"/>
  <c r="H49" i="2"/>
  <c r="H39" i="2"/>
  <c r="H46" i="2" l="1"/>
  <c r="H45" i="2"/>
  <c r="H27" i="2"/>
  <c r="F49" i="2"/>
  <c r="D11" i="31" l="1"/>
  <c r="D12" i="31" s="1"/>
  <c r="D13" i="31" s="1"/>
  <c r="D14" i="31" s="1"/>
  <c r="D15" i="31" s="1"/>
  <c r="D16" i="31" s="1"/>
  <c r="D17" i="31" s="1"/>
  <c r="D18" i="31" s="1"/>
  <c r="D19" i="31" s="1"/>
  <c r="D11" i="33"/>
  <c r="D18" i="33" s="1"/>
  <c r="N52" i="2" l="1"/>
  <c r="N53" i="2"/>
  <c r="N54" i="2" l="1"/>
  <c r="N40" i="2" l="1"/>
  <c r="E82" i="57" l="1"/>
  <c r="E83" i="57" l="1"/>
  <c r="E84" i="57" s="1"/>
  <c r="E27" i="57"/>
  <c r="E28" i="57" s="1"/>
  <c r="K7" i="57" s="1"/>
  <c r="G86" i="57"/>
  <c r="I11" i="33" l="1"/>
  <c r="I12" i="31"/>
  <c r="I13" i="31" s="1"/>
  <c r="I14" i="31" s="1"/>
  <c r="I15" i="31" s="1"/>
  <c r="I16" i="31" s="1"/>
  <c r="I17" i="31" s="1"/>
  <c r="I18" i="31" s="1"/>
  <c r="I19" i="31" s="1"/>
  <c r="I21" i="31"/>
  <c r="I22" i="31" s="1"/>
  <c r="I23" i="31" s="1"/>
  <c r="I24" i="31" s="1"/>
  <c r="I25" i="31" s="1"/>
  <c r="I26" i="31" s="1"/>
  <c r="I27" i="31" s="1"/>
  <c r="I28" i="31" s="1"/>
  <c r="I29" i="31" s="1"/>
  <c r="I30" i="31" s="1"/>
  <c r="I31" i="31" s="1"/>
  <c r="I32" i="31" s="1"/>
  <c r="I33" i="31" s="1"/>
  <c r="I34" i="31" s="1"/>
  <c r="I35" i="31" s="1"/>
  <c r="I36" i="31" s="1"/>
  <c r="I37" i="31" s="1"/>
  <c r="I38" i="31" s="1"/>
  <c r="I39" i="31" s="1"/>
  <c r="G92" i="57" l="1"/>
  <c r="G95" i="57" s="1"/>
  <c r="G101" i="57" l="1"/>
  <c r="G22" i="57"/>
  <c r="G21" i="57" s="1"/>
  <c r="G74" i="57" l="1"/>
  <c r="G17" i="57" l="1"/>
  <c r="G7" i="57" s="1"/>
  <c r="G8" i="57" s="1"/>
  <c r="H17" i="57"/>
  <c r="G128" i="57" s="1"/>
  <c r="G25" i="57"/>
  <c r="G29" i="57" s="1"/>
  <c r="I12" i="33"/>
  <c r="F19" i="2" l="1"/>
  <c r="F22" i="2"/>
  <c r="F48" i="2"/>
  <c r="E92" i="57" s="1"/>
  <c r="F34" i="2"/>
  <c r="F10" i="31" s="1"/>
  <c r="N38" i="2"/>
  <c r="E95" i="57" l="1"/>
  <c r="G100" i="57" s="1"/>
  <c r="G102" i="57" s="1"/>
  <c r="G131" i="57" s="1"/>
  <c r="N41" i="2"/>
  <c r="N42" i="2" s="1"/>
  <c r="H92" i="57"/>
  <c r="F42" i="2"/>
  <c r="J10" i="28"/>
  <c r="I10" i="28"/>
  <c r="K10" i="28"/>
  <c r="N31" i="2"/>
  <c r="F31" i="2" s="1"/>
  <c r="F10" i="33"/>
  <c r="E17" i="33" s="1"/>
  <c r="E22" i="57" l="1"/>
  <c r="E21" i="57" s="1"/>
  <c r="E25" i="57" s="1"/>
  <c r="E29" i="57" s="1"/>
  <c r="G30" i="57" s="1"/>
  <c r="E17" i="57"/>
  <c r="E7" i="57" s="1"/>
  <c r="N10" i="28"/>
  <c r="H10" i="28" s="1"/>
  <c r="AE10" i="28" s="1"/>
  <c r="L16" i="28"/>
  <c r="L17" i="28" s="1"/>
  <c r="L18" i="28" s="1"/>
  <c r="L19" i="28" s="1"/>
  <c r="L20" i="28" s="1"/>
  <c r="L10" i="28"/>
  <c r="L11" i="28" s="1"/>
  <c r="L12" i="28" s="1"/>
  <c r="L13" i="28" s="1"/>
  <c r="L14" i="28" s="1"/>
  <c r="L15" i="28" s="1"/>
  <c r="M10" i="28"/>
  <c r="M11" i="28" s="1"/>
  <c r="M12" i="28" s="1"/>
  <c r="M13" i="28" s="1"/>
  <c r="M14" i="28" s="1"/>
  <c r="M15" i="28" s="1"/>
  <c r="E100" i="57"/>
  <c r="E67" i="57"/>
  <c r="E101" i="57"/>
  <c r="Q10" i="28"/>
  <c r="B10" i="31" s="1"/>
  <c r="J11" i="28"/>
  <c r="F35" i="2"/>
  <c r="F38" i="2"/>
  <c r="I11" i="28"/>
  <c r="F46" i="2"/>
  <c r="F44" i="2"/>
  <c r="F45" i="2"/>
  <c r="K11" i="28"/>
  <c r="Z10" i="28"/>
  <c r="F67" i="57" l="1"/>
  <c r="G67" i="57" s="1"/>
  <c r="G68" i="57" s="1"/>
  <c r="I68" i="57"/>
  <c r="H30" i="57"/>
  <c r="H133" i="57" s="1"/>
  <c r="M19" i="57" s="1"/>
  <c r="E8" i="57"/>
  <c r="K6" i="57"/>
  <c r="K8" i="57" s="1"/>
  <c r="AA10" i="28"/>
  <c r="N11" i="28"/>
  <c r="N12" i="28" s="1"/>
  <c r="N13" i="28" s="1"/>
  <c r="N14" i="28" s="1"/>
  <c r="N15" i="28" s="1"/>
  <c r="E128" i="57"/>
  <c r="E131" i="57" s="1"/>
  <c r="E18" i="57" s="1"/>
  <c r="R10" i="28"/>
  <c r="C10" i="31" s="1"/>
  <c r="C10" i="33" s="1"/>
  <c r="C17" i="33" s="1"/>
  <c r="G10" i="28"/>
  <c r="V10" i="28" s="1"/>
  <c r="F10" i="28"/>
  <c r="G11" i="28"/>
  <c r="J12" i="28"/>
  <c r="K12" i="28"/>
  <c r="B10" i="33"/>
  <c r="B17" i="33" s="1"/>
  <c r="F39" i="2"/>
  <c r="G36" i="2"/>
  <c r="H36" i="2" s="1"/>
  <c r="F11" i="28"/>
  <c r="I12" i="28"/>
  <c r="H131" i="57" l="1"/>
  <c r="J68" i="57"/>
  <c r="H68" i="57"/>
  <c r="H132" i="57"/>
  <c r="H125" i="57"/>
  <c r="G54" i="57"/>
  <c r="H54" i="57" s="1"/>
  <c r="H11" i="28"/>
  <c r="M10" i="31"/>
  <c r="M10" i="33" s="1"/>
  <c r="K17" i="33" s="1"/>
  <c r="I13" i="28"/>
  <c r="F12" i="28"/>
  <c r="H12" i="28"/>
  <c r="K13" i="28"/>
  <c r="G12" i="28"/>
  <c r="J13" i="28"/>
  <c r="F35" i="28"/>
  <c r="F23" i="28"/>
  <c r="G23" i="28"/>
  <c r="V11" i="28"/>
  <c r="G35" i="28"/>
  <c r="H23" i="28" l="1"/>
  <c r="AE11" i="28"/>
  <c r="H35" i="28"/>
  <c r="I133" i="57"/>
  <c r="K10" i="57"/>
  <c r="I131" i="57"/>
  <c r="G18" i="57"/>
  <c r="I132" i="57"/>
  <c r="H24" i="28"/>
  <c r="AE12" i="28"/>
  <c r="K14" i="28"/>
  <c r="H13" i="28"/>
  <c r="G13" i="28"/>
  <c r="G40" i="28" s="1"/>
  <c r="F24" i="28"/>
  <c r="W11" i="28"/>
  <c r="G24" i="28"/>
  <c r="V12" i="28"/>
  <c r="F13" i="28"/>
  <c r="I14" i="28"/>
  <c r="AF11" i="28" l="1"/>
  <c r="AC11" i="28" s="1"/>
  <c r="G55" i="57"/>
  <c r="H55" i="57" s="1"/>
  <c r="M12" i="57"/>
  <c r="K12" i="57"/>
  <c r="H134" i="57"/>
  <c r="M21" i="57"/>
  <c r="K132" i="57"/>
  <c r="H120" i="57"/>
  <c r="M17" i="57" s="1"/>
  <c r="H86" i="57"/>
  <c r="H74" i="57"/>
  <c r="H102" i="57"/>
  <c r="L28" i="57" s="1"/>
  <c r="K131" i="57"/>
  <c r="M24" i="57"/>
  <c r="K133" i="57"/>
  <c r="I134" i="57"/>
  <c r="T11" i="28"/>
  <c r="AD11" i="28"/>
  <c r="AB11" i="28" s="1"/>
  <c r="M40" i="31" s="1"/>
  <c r="M12" i="33" s="1"/>
  <c r="W12" i="28"/>
  <c r="U12" i="28" s="1"/>
  <c r="T12" i="28" s="1"/>
  <c r="L20" i="31" s="1"/>
  <c r="U11" i="28"/>
  <c r="S11" i="28" s="1"/>
  <c r="M20" i="31" s="1"/>
  <c r="H14" i="28"/>
  <c r="H39" i="28" s="1"/>
  <c r="K15" i="28"/>
  <c r="G25" i="28"/>
  <c r="V13" i="28"/>
  <c r="AF12" i="28"/>
  <c r="AB12" i="28" s="1"/>
  <c r="F14" i="28"/>
  <c r="I15" i="28"/>
  <c r="F25" i="28"/>
  <c r="F40" i="28"/>
  <c r="H25" i="28"/>
  <c r="AE13" i="28"/>
  <c r="H40" i="28"/>
  <c r="I86" i="57" l="1"/>
  <c r="L12" i="57"/>
  <c r="M22" i="57"/>
  <c r="H136" i="57"/>
  <c r="H135" i="57"/>
  <c r="M14" i="57"/>
  <c r="M15" i="57"/>
  <c r="M13" i="57"/>
  <c r="L30" i="57"/>
  <c r="M18" i="57" s="1"/>
  <c r="L29" i="57"/>
  <c r="M16" i="57" s="1"/>
  <c r="L31" i="57"/>
  <c r="M20" i="57" s="1"/>
  <c r="I53" i="57"/>
  <c r="S12" i="28"/>
  <c r="L11" i="31"/>
  <c r="L12" i="31" s="1"/>
  <c r="L13" i="31" s="1"/>
  <c r="L14" i="31" s="1"/>
  <c r="L15" i="31" s="1"/>
  <c r="L16" i="31" s="1"/>
  <c r="L17" i="31" s="1"/>
  <c r="L18" i="31" s="1"/>
  <c r="L19" i="31" s="1"/>
  <c r="L11" i="33"/>
  <c r="J18" i="33" s="1"/>
  <c r="AF13" i="28"/>
  <c r="F15" i="28"/>
  <c r="F38" i="28" s="1"/>
  <c r="I16" i="28"/>
  <c r="H15" i="28"/>
  <c r="H38" i="28" s="1"/>
  <c r="K16" i="28"/>
  <c r="AD12" i="28"/>
  <c r="AC12" i="28" s="1"/>
  <c r="AE14" i="28"/>
  <c r="H26" i="28"/>
  <c r="F26" i="28"/>
  <c r="F39" i="28"/>
  <c r="I13" i="33"/>
  <c r="K19" i="33"/>
  <c r="W13" i="28"/>
  <c r="M11" i="33"/>
  <c r="K18" i="33" s="1"/>
  <c r="M21" i="31"/>
  <c r="M22" i="31" s="1"/>
  <c r="M23" i="31" s="1"/>
  <c r="M24" i="31" s="1"/>
  <c r="M25" i="31" s="1"/>
  <c r="M26" i="31" s="1"/>
  <c r="M27" i="31" s="1"/>
  <c r="M28" i="31" s="1"/>
  <c r="M29" i="31" s="1"/>
  <c r="M30" i="31" s="1"/>
  <c r="M31" i="31" s="1"/>
  <c r="M32" i="31" s="1"/>
  <c r="M33" i="31" s="1"/>
  <c r="M34" i="31" s="1"/>
  <c r="M35" i="31" s="1"/>
  <c r="M36" i="31" s="1"/>
  <c r="M37" i="31" s="1"/>
  <c r="M38" i="31" s="1"/>
  <c r="M39" i="31" s="1"/>
  <c r="M11" i="31"/>
  <c r="M12" i="31" s="1"/>
  <c r="M13" i="31" s="1"/>
  <c r="M14" i="31" s="1"/>
  <c r="M15" i="31" s="1"/>
  <c r="M16" i="31" s="1"/>
  <c r="M17" i="31" s="1"/>
  <c r="M18" i="31" s="1"/>
  <c r="M19" i="31" s="1"/>
  <c r="M27" i="57" l="1"/>
  <c r="L40" i="31"/>
  <c r="L21" i="31" s="1"/>
  <c r="L22" i="31" s="1"/>
  <c r="L23" i="31" s="1"/>
  <c r="L24" i="31" s="1"/>
  <c r="L25" i="31" s="1"/>
  <c r="L26" i="31" s="1"/>
  <c r="L27" i="31" s="1"/>
  <c r="L28" i="31" s="1"/>
  <c r="L29" i="31" s="1"/>
  <c r="L30" i="31" s="1"/>
  <c r="L31" i="31" s="1"/>
  <c r="L32" i="31" s="1"/>
  <c r="L33" i="31" s="1"/>
  <c r="L34" i="31" s="1"/>
  <c r="L35" i="31" s="1"/>
  <c r="L36" i="31" s="1"/>
  <c r="L37" i="31" s="1"/>
  <c r="L38" i="31" s="1"/>
  <c r="L39" i="31" s="1"/>
  <c r="AG12" i="28"/>
  <c r="L13" i="57"/>
  <c r="L14" i="57" s="1"/>
  <c r="K14" i="57" s="1"/>
  <c r="M25" i="57"/>
  <c r="L32" i="57"/>
  <c r="AD13" i="28"/>
  <c r="AC13" i="28" s="1"/>
  <c r="AF14" i="28"/>
  <c r="U13" i="28"/>
  <c r="T13" i="28" s="1"/>
  <c r="K20" i="31" s="1"/>
  <c r="H27" i="28"/>
  <c r="AE15" i="28"/>
  <c r="I17" i="28"/>
  <c r="F16" i="28"/>
  <c r="F28" i="28" s="1"/>
  <c r="K17" i="28"/>
  <c r="H16" i="28"/>
  <c r="F27" i="28"/>
  <c r="AB13" i="28" l="1"/>
  <c r="S13" i="28"/>
  <c r="L12" i="33"/>
  <c r="K13" i="57"/>
  <c r="K40" i="31"/>
  <c r="K12" i="33" s="1"/>
  <c r="I19" i="33" s="1"/>
  <c r="I20" i="33" s="1"/>
  <c r="AG13" i="28"/>
  <c r="L15" i="57"/>
  <c r="L16" i="57" s="1"/>
  <c r="L17" i="57" s="1"/>
  <c r="L18" i="57" s="1"/>
  <c r="L20" i="57" s="1"/>
  <c r="L21" i="57" s="1"/>
  <c r="L19" i="57" s="1"/>
  <c r="L23" i="57" s="1"/>
  <c r="L24" i="57" s="1"/>
  <c r="L22" i="57" s="1"/>
  <c r="N12" i="57"/>
  <c r="AD14" i="28"/>
  <c r="AC14" i="28" s="1"/>
  <c r="K11" i="33"/>
  <c r="I18" i="33" s="1"/>
  <c r="K11" i="31"/>
  <c r="K12" i="31" s="1"/>
  <c r="K13" i="31" s="1"/>
  <c r="K14" i="31" s="1"/>
  <c r="K15" i="31" s="1"/>
  <c r="K16" i="31" s="1"/>
  <c r="K17" i="31" s="1"/>
  <c r="K18" i="31" s="1"/>
  <c r="K19" i="31" s="1"/>
  <c r="F17" i="28"/>
  <c r="I18" i="28"/>
  <c r="AE16" i="28"/>
  <c r="H28" i="28"/>
  <c r="H17" i="28"/>
  <c r="K18" i="28"/>
  <c r="AF15" i="28"/>
  <c r="AB15" i="28" s="1"/>
  <c r="L13" i="33"/>
  <c r="J19" i="33"/>
  <c r="J20" i="33" s="1"/>
  <c r="K13" i="33" l="1"/>
  <c r="K21" i="31"/>
  <c r="K22" i="31" s="1"/>
  <c r="K23" i="31" s="1"/>
  <c r="K24" i="31" s="1"/>
  <c r="K25" i="31" s="1"/>
  <c r="K26" i="31" s="1"/>
  <c r="K27" i="31" s="1"/>
  <c r="K28" i="31" s="1"/>
  <c r="K29" i="31" s="1"/>
  <c r="K30" i="31" s="1"/>
  <c r="K31" i="31" s="1"/>
  <c r="K32" i="31" s="1"/>
  <c r="K33" i="31" s="1"/>
  <c r="K34" i="31" s="1"/>
  <c r="K35" i="31" s="1"/>
  <c r="K36" i="31" s="1"/>
  <c r="K37" i="31" s="1"/>
  <c r="K38" i="31" s="1"/>
  <c r="K39" i="31" s="1"/>
  <c r="J40" i="31"/>
  <c r="J12" i="33" s="1"/>
  <c r="H19" i="33" s="1"/>
  <c r="H20" i="33" s="1"/>
  <c r="AG14" i="28"/>
  <c r="K15" i="57"/>
  <c r="N13" i="57"/>
  <c r="AB14" i="28"/>
  <c r="AD15" i="28"/>
  <c r="AC15" i="28" s="1"/>
  <c r="AG15" i="28" s="1"/>
  <c r="H18" i="28"/>
  <c r="K19" i="28"/>
  <c r="AF16" i="28"/>
  <c r="F36" i="28"/>
  <c r="F29" i="28"/>
  <c r="F37" i="28"/>
  <c r="H29" i="28"/>
  <c r="H36" i="28"/>
  <c r="AE17" i="28"/>
  <c r="H37" i="28"/>
  <c r="F18" i="28"/>
  <c r="I19" i="28"/>
  <c r="J13" i="33" l="1"/>
  <c r="N14" i="57"/>
  <c r="I20" i="28"/>
  <c r="F20" i="28" s="1"/>
  <c r="F19" i="28"/>
  <c r="F31" i="28" s="1"/>
  <c r="AF17" i="28"/>
  <c r="AD16" i="28"/>
  <c r="AC16" i="28" s="1"/>
  <c r="F41" i="28"/>
  <c r="F30" i="28"/>
  <c r="AB16" i="28"/>
  <c r="H19" i="28"/>
  <c r="K20" i="28"/>
  <c r="H41" i="28"/>
  <c r="H30" i="28"/>
  <c r="AE18" i="28"/>
  <c r="H40" i="31" l="1"/>
  <c r="H12" i="33" s="1"/>
  <c r="H13" i="33" s="1"/>
  <c r="AG16" i="28"/>
  <c r="K16" i="57"/>
  <c r="AF18" i="28"/>
  <c r="AB18" i="28" s="1"/>
  <c r="H31" i="28"/>
  <c r="AE19" i="28"/>
  <c r="F42" i="28"/>
  <c r="F32" i="28"/>
  <c r="AD17" i="28"/>
  <c r="AC17" i="28" s="1"/>
  <c r="Z21" i="28"/>
  <c r="B40" i="31" s="1"/>
  <c r="B12" i="33" s="1"/>
  <c r="B19" i="33" s="1"/>
  <c r="H20" i="28"/>
  <c r="G19" i="33" l="1"/>
  <c r="G20" i="33" s="1"/>
  <c r="G40" i="31"/>
  <c r="G12" i="33" s="1"/>
  <c r="G13" i="33" s="1"/>
  <c r="AG17" i="28"/>
  <c r="K17" i="57"/>
  <c r="AB17" i="28"/>
  <c r="H32" i="28"/>
  <c r="H42" i="28"/>
  <c r="AE20" i="28"/>
  <c r="AD18" i="28"/>
  <c r="AC18" i="28" s="1"/>
  <c r="AF19" i="28"/>
  <c r="AD19" i="28" s="1"/>
  <c r="F40" i="31" l="1"/>
  <c r="F12" i="33" s="1"/>
  <c r="E19" i="33" s="1"/>
  <c r="E20" i="33" s="1"/>
  <c r="AG18" i="28"/>
  <c r="K18" i="57"/>
  <c r="AC19" i="28"/>
  <c r="F13" i="33"/>
  <c r="AB19" i="28"/>
  <c r="AF20" i="28"/>
  <c r="AB20" i="28" s="1"/>
  <c r="E40" i="31" l="1"/>
  <c r="E12" i="33" s="1"/>
  <c r="F19" i="33" s="1"/>
  <c r="F20" i="33" s="1"/>
  <c r="AG19" i="28"/>
  <c r="AD20" i="28"/>
  <c r="AC20" i="28" s="1"/>
  <c r="E13" i="33" l="1"/>
  <c r="D40" i="31"/>
  <c r="D12" i="33" s="1"/>
  <c r="D13" i="33" s="1"/>
  <c r="AG20" i="28"/>
  <c r="K20" i="57"/>
  <c r="K27" i="57" s="1"/>
  <c r="K21" i="57"/>
  <c r="K24" i="2"/>
  <c r="F58" i="57"/>
  <c r="D21" i="31" l="1"/>
  <c r="D22" i="31" s="1"/>
  <c r="D23" i="31" s="1"/>
  <c r="D24" i="31" s="1"/>
  <c r="D25" i="31" s="1"/>
  <c r="D26" i="31" s="1"/>
  <c r="D27" i="31" s="1"/>
  <c r="D28" i="31" s="1"/>
  <c r="D29" i="31" s="1"/>
  <c r="D30" i="31" s="1"/>
  <c r="D31" i="31" s="1"/>
  <c r="D32" i="31" s="1"/>
  <c r="D33" i="31" s="1"/>
  <c r="D34" i="31" s="1"/>
  <c r="D35" i="31" s="1"/>
  <c r="D36" i="31" s="1"/>
  <c r="D37" i="31" s="1"/>
  <c r="D38" i="31" s="1"/>
  <c r="D39" i="31" s="1"/>
  <c r="O13" i="33"/>
  <c r="F66" i="57"/>
  <c r="F68" i="57" s="1"/>
  <c r="I58" i="57"/>
  <c r="F10" i="57"/>
  <c r="F124" i="57" s="1"/>
  <c r="F125" i="57" s="1"/>
  <c r="F130" i="57" s="1"/>
  <c r="F9" i="57"/>
  <c r="D19" i="33"/>
  <c r="D20" i="33" s="1"/>
  <c r="K19" i="2"/>
  <c r="G24" i="2"/>
  <c r="K39" i="4" s="1"/>
  <c r="F133" i="57" s="1"/>
  <c r="K19" i="57" l="1"/>
  <c r="F120" i="57"/>
  <c r="F129" i="57" s="1"/>
  <c r="K23" i="57"/>
  <c r="G22" i="2"/>
  <c r="G19" i="2"/>
  <c r="G34" i="2"/>
  <c r="G48" i="2"/>
  <c r="F92" i="57" s="1"/>
  <c r="F95" i="57" s="1"/>
  <c r="F22" i="57" s="1"/>
  <c r="G26" i="2"/>
  <c r="O31" i="2" l="1"/>
  <c r="J14" i="28" s="1"/>
  <c r="G30" i="2"/>
  <c r="K24" i="57" l="1"/>
  <c r="K22" i="57"/>
  <c r="G42" i="2"/>
  <c r="G44" i="2" s="1"/>
  <c r="E71" i="57"/>
  <c r="F100" i="57"/>
  <c r="F21" i="57"/>
  <c r="F17" i="57" s="1"/>
  <c r="F101" i="57"/>
  <c r="G31" i="2"/>
  <c r="G14" i="28"/>
  <c r="F25" i="57" l="1"/>
  <c r="F29" i="57" s="1"/>
  <c r="F7" i="57"/>
  <c r="F8" i="57" s="1"/>
  <c r="G45" i="2"/>
  <c r="G46" i="2"/>
  <c r="F74" i="57"/>
  <c r="G35" i="2"/>
  <c r="G39" i="2" s="1"/>
  <c r="E72" i="57"/>
  <c r="E74" i="57" s="1"/>
  <c r="G38" i="2"/>
  <c r="O38" i="2" s="1"/>
  <c r="O41" i="2" s="1"/>
  <c r="O42" i="2" s="1"/>
  <c r="M16" i="28" s="1"/>
  <c r="M17" i="28" s="1"/>
  <c r="M18" i="28" s="1"/>
  <c r="M19" i="28" s="1"/>
  <c r="M20" i="28" s="1"/>
  <c r="R21" i="28" s="1"/>
  <c r="C20" i="31" s="1"/>
  <c r="J15" i="28"/>
  <c r="G26" i="28"/>
  <c r="G39" i="28"/>
  <c r="V14" i="28"/>
  <c r="F128" i="57" l="1"/>
  <c r="F131" i="57" s="1"/>
  <c r="F18" i="57" s="1"/>
  <c r="F30" i="57"/>
  <c r="W14" i="28"/>
  <c r="U14" i="28" s="1"/>
  <c r="S14" i="28" s="1"/>
  <c r="J16" i="28"/>
  <c r="G15" i="28"/>
  <c r="C21" i="31"/>
  <c r="C22" i="31" s="1"/>
  <c r="C23" i="31" s="1"/>
  <c r="C24" i="31" s="1"/>
  <c r="C25" i="31" s="1"/>
  <c r="C26" i="31" s="1"/>
  <c r="C27" i="31" s="1"/>
  <c r="C28" i="31" s="1"/>
  <c r="C29" i="31" s="1"/>
  <c r="C30" i="31" s="1"/>
  <c r="C31" i="31" s="1"/>
  <c r="C32" i="31" s="1"/>
  <c r="C33" i="31" s="1"/>
  <c r="C34" i="31" s="1"/>
  <c r="C35" i="31" s="1"/>
  <c r="C36" i="31" s="1"/>
  <c r="C37" i="31" s="1"/>
  <c r="C38" i="31" s="1"/>
  <c r="C39" i="31" s="1"/>
  <c r="C11" i="33"/>
  <c r="C18" i="33" s="1"/>
  <c r="C11" i="31"/>
  <c r="C12" i="31" s="1"/>
  <c r="C13" i="31" s="1"/>
  <c r="C14" i="31" s="1"/>
  <c r="C15" i="31" s="1"/>
  <c r="C16" i="31" s="1"/>
  <c r="C17" i="31" s="1"/>
  <c r="C18" i="31" s="1"/>
  <c r="C19" i="31" s="1"/>
  <c r="F54" i="57" l="1"/>
  <c r="F55" i="57" s="1"/>
  <c r="T14" i="28"/>
  <c r="J20" i="31" s="1"/>
  <c r="J21" i="31" s="1"/>
  <c r="J22" i="31" s="1"/>
  <c r="J23" i="31" s="1"/>
  <c r="J24" i="31" s="1"/>
  <c r="J25" i="31" s="1"/>
  <c r="J26" i="31" s="1"/>
  <c r="J27" i="31" s="1"/>
  <c r="J28" i="31" s="1"/>
  <c r="J29" i="31" s="1"/>
  <c r="J30" i="31" s="1"/>
  <c r="J31" i="31" s="1"/>
  <c r="J32" i="31" s="1"/>
  <c r="J33" i="31" s="1"/>
  <c r="J34" i="31" s="1"/>
  <c r="J35" i="31" s="1"/>
  <c r="J36" i="31" s="1"/>
  <c r="J37" i="31" s="1"/>
  <c r="J38" i="31" s="1"/>
  <c r="J39" i="31" s="1"/>
  <c r="G27" i="28"/>
  <c r="V15" i="28"/>
  <c r="G38" i="28"/>
  <c r="J17" i="28"/>
  <c r="G16" i="28"/>
  <c r="J11" i="33" l="1"/>
  <c r="H18" i="33" s="1"/>
  <c r="J11" i="31"/>
  <c r="J12" i="31" s="1"/>
  <c r="J13" i="31" s="1"/>
  <c r="J14" i="31" s="1"/>
  <c r="J15" i="31" s="1"/>
  <c r="J16" i="31" s="1"/>
  <c r="J17" i="31" s="1"/>
  <c r="J18" i="31" s="1"/>
  <c r="J19" i="31" s="1"/>
  <c r="W15" i="28"/>
  <c r="U15" i="28" s="1"/>
  <c r="V16" i="28"/>
  <c r="G28" i="28"/>
  <c r="J18" i="28"/>
  <c r="G17" i="28"/>
  <c r="S15" i="28" l="1"/>
  <c r="T15" i="28"/>
  <c r="J19" i="28"/>
  <c r="G18" i="28"/>
  <c r="G29" i="28"/>
  <c r="G36" i="28"/>
  <c r="V17" i="28"/>
  <c r="G37" i="28"/>
  <c r="W16" i="28"/>
  <c r="S16" i="28" s="1"/>
  <c r="U16" i="28" l="1"/>
  <c r="T16" i="28" s="1"/>
  <c r="H20" i="31" s="1"/>
  <c r="V18" i="28"/>
  <c r="G41" i="28"/>
  <c r="G30" i="28"/>
  <c r="W17" i="28"/>
  <c r="U17" i="28" s="1"/>
  <c r="G19" i="28"/>
  <c r="J20" i="28"/>
  <c r="S17" i="28" l="1"/>
  <c r="T17" i="28"/>
  <c r="G20" i="31" s="1"/>
  <c r="G11" i="33" s="1"/>
  <c r="H11" i="31"/>
  <c r="H12" i="31" s="1"/>
  <c r="H13" i="31" s="1"/>
  <c r="H14" i="31" s="1"/>
  <c r="H15" i="31" s="1"/>
  <c r="H16" i="31" s="1"/>
  <c r="H17" i="31" s="1"/>
  <c r="H18" i="31" s="1"/>
  <c r="H19" i="31" s="1"/>
  <c r="H11" i="33"/>
  <c r="G18" i="33" s="1"/>
  <c r="H21" i="31"/>
  <c r="H22" i="31" s="1"/>
  <c r="H23" i="31" s="1"/>
  <c r="H24" i="31" s="1"/>
  <c r="H25" i="31" s="1"/>
  <c r="H26" i="31" s="1"/>
  <c r="H27" i="31" s="1"/>
  <c r="H28" i="31" s="1"/>
  <c r="H29" i="31" s="1"/>
  <c r="H30" i="31" s="1"/>
  <c r="H31" i="31" s="1"/>
  <c r="H32" i="31" s="1"/>
  <c r="H33" i="31" s="1"/>
  <c r="H34" i="31" s="1"/>
  <c r="H35" i="31" s="1"/>
  <c r="H36" i="31" s="1"/>
  <c r="H37" i="31" s="1"/>
  <c r="H38" i="31" s="1"/>
  <c r="H39" i="31" s="1"/>
  <c r="G20" i="28"/>
  <c r="Q21" i="28"/>
  <c r="B20" i="31" s="1"/>
  <c r="V19" i="28"/>
  <c r="G31" i="28"/>
  <c r="W18" i="28"/>
  <c r="S18" i="28" s="1"/>
  <c r="G21" i="31" l="1"/>
  <c r="G22" i="31" s="1"/>
  <c r="G23" i="31" s="1"/>
  <c r="G24" i="31" s="1"/>
  <c r="G25" i="31" s="1"/>
  <c r="G26" i="31" s="1"/>
  <c r="G27" i="31" s="1"/>
  <c r="G28" i="31" s="1"/>
  <c r="G29" i="31" s="1"/>
  <c r="G30" i="31" s="1"/>
  <c r="G31" i="31" s="1"/>
  <c r="G32" i="31" s="1"/>
  <c r="G33" i="31" s="1"/>
  <c r="G34" i="31" s="1"/>
  <c r="G35" i="31" s="1"/>
  <c r="G36" i="31" s="1"/>
  <c r="G37" i="31" s="1"/>
  <c r="G38" i="31" s="1"/>
  <c r="G39" i="31" s="1"/>
  <c r="G11" i="31"/>
  <c r="G12" i="31" s="1"/>
  <c r="G13" i="31" s="1"/>
  <c r="G14" i="31" s="1"/>
  <c r="G15" i="31" s="1"/>
  <c r="G16" i="31" s="1"/>
  <c r="G17" i="31" s="1"/>
  <c r="G18" i="31" s="1"/>
  <c r="G19" i="31" s="1"/>
  <c r="V20" i="28"/>
  <c r="G32" i="28"/>
  <c r="G42" i="28"/>
  <c r="U18" i="28"/>
  <c r="T18" i="28" s="1"/>
  <c r="F20" i="31" s="1"/>
  <c r="W19" i="28"/>
  <c r="S19" i="28" s="1"/>
  <c r="B11" i="31"/>
  <c r="B12" i="31" s="1"/>
  <c r="B13" i="31" s="1"/>
  <c r="B14" i="31" s="1"/>
  <c r="B15" i="31" s="1"/>
  <c r="B16" i="31" s="1"/>
  <c r="B17" i="31" s="1"/>
  <c r="B18" i="31" s="1"/>
  <c r="B19" i="31" s="1"/>
  <c r="B11" i="33"/>
  <c r="B18" i="33" s="1"/>
  <c r="B21" i="31"/>
  <c r="B22" i="31" s="1"/>
  <c r="B23" i="31" s="1"/>
  <c r="B24" i="31" s="1"/>
  <c r="B25" i="31" s="1"/>
  <c r="B26" i="31" s="1"/>
  <c r="B27" i="31" s="1"/>
  <c r="B28" i="31" s="1"/>
  <c r="B29" i="31" s="1"/>
  <c r="B30" i="31" s="1"/>
  <c r="B31" i="31" s="1"/>
  <c r="B32" i="31" s="1"/>
  <c r="B33" i="31" s="1"/>
  <c r="B34" i="31" s="1"/>
  <c r="B35" i="31" s="1"/>
  <c r="B36" i="31" s="1"/>
  <c r="B37" i="31" s="1"/>
  <c r="B38" i="31" s="1"/>
  <c r="B39" i="31" s="1"/>
  <c r="U19" i="28" l="1"/>
  <c r="T19" i="28" s="1"/>
  <c r="E20" i="31" s="1"/>
  <c r="F11" i="33"/>
  <c r="E18" i="33" s="1"/>
  <c r="F21" i="31"/>
  <c r="F22" i="31" s="1"/>
  <c r="F23" i="31" s="1"/>
  <c r="F24" i="31" s="1"/>
  <c r="F25" i="31" s="1"/>
  <c r="F26" i="31" s="1"/>
  <c r="F27" i="31" s="1"/>
  <c r="F28" i="31" s="1"/>
  <c r="F29" i="31" s="1"/>
  <c r="F30" i="31" s="1"/>
  <c r="F31" i="31" s="1"/>
  <c r="F32" i="31" s="1"/>
  <c r="F33" i="31" s="1"/>
  <c r="F34" i="31" s="1"/>
  <c r="F35" i="31" s="1"/>
  <c r="F36" i="31" s="1"/>
  <c r="F37" i="31" s="1"/>
  <c r="F38" i="31" s="1"/>
  <c r="F39" i="31" s="1"/>
  <c r="F11" i="31"/>
  <c r="F12" i="31" s="1"/>
  <c r="F13" i="31" s="1"/>
  <c r="F14" i="31" s="1"/>
  <c r="F15" i="31" s="1"/>
  <c r="F16" i="31" s="1"/>
  <c r="F17" i="31" s="1"/>
  <c r="F18" i="31" s="1"/>
  <c r="F19" i="31" s="1"/>
  <c r="W20" i="28"/>
  <c r="S20" i="28" s="1"/>
  <c r="U20" i="28" l="1"/>
  <c r="E11" i="31"/>
  <c r="E12" i="31" s="1"/>
  <c r="E13" i="31" s="1"/>
  <c r="E14" i="31" s="1"/>
  <c r="E15" i="31" s="1"/>
  <c r="E16" i="31" s="1"/>
  <c r="E17" i="31" s="1"/>
  <c r="E18" i="31" s="1"/>
  <c r="E19" i="31" s="1"/>
  <c r="E11" i="33"/>
  <c r="F18" i="33" s="1"/>
  <c r="E21" i="31"/>
  <c r="E22" i="31" s="1"/>
  <c r="E23" i="31" s="1"/>
  <c r="E24" i="31" s="1"/>
  <c r="E25" i="31" s="1"/>
  <c r="E26" i="31" s="1"/>
  <c r="E27" i="31" s="1"/>
  <c r="E28" i="31" s="1"/>
  <c r="E29" i="31" s="1"/>
  <c r="E30" i="31" s="1"/>
  <c r="E31" i="31" s="1"/>
  <c r="E32" i="31" s="1"/>
  <c r="E33" i="31" s="1"/>
  <c r="E34" i="31" s="1"/>
  <c r="E35" i="31" s="1"/>
  <c r="E36" i="31" s="1"/>
  <c r="E37" i="31" s="1"/>
  <c r="E38" i="31" s="1"/>
  <c r="E39" i="31" s="1"/>
  <c r="T20"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61" authorId="0" shapeId="0" xr:uid="{BCD02CC5-A674-4AEE-94E8-3CF9DC6CA30A}">
      <text>
        <r>
          <rPr>
            <b/>
            <sz val="9"/>
            <color indexed="81"/>
            <rFont val="Tahoma"/>
            <family val="2"/>
          </rPr>
          <t>Cada año debe sumar 100%, entre los distintos canales</t>
        </r>
        <r>
          <rPr>
            <sz val="9"/>
            <color indexed="81"/>
            <rFont val="Tahoma"/>
            <family val="2"/>
          </rPr>
          <t xml:space="preserve">
</t>
        </r>
      </text>
    </comment>
  </commentList>
</comments>
</file>

<file path=xl/sharedStrings.xml><?xml version="1.0" encoding="utf-8"?>
<sst xmlns="http://schemas.openxmlformats.org/spreadsheetml/2006/main" count="2489" uniqueCount="1336">
  <si>
    <t>Calculated automatically</t>
  </si>
  <si>
    <t>start with cement volumes</t>
  </si>
  <si>
    <t>then fill in all parts in green</t>
  </si>
  <si>
    <t>Value from other worksheet</t>
  </si>
  <si>
    <t>Numbers to be filled in have been pre-set, for sake of easy reading. Please change!</t>
  </si>
  <si>
    <t>Numbers only filled in for example of RMX</t>
  </si>
  <si>
    <t>Readymix</t>
  </si>
  <si>
    <t>Precast (all factory produced product)</t>
  </si>
  <si>
    <t>Mortar, screed, others</t>
  </si>
  <si>
    <t>Design &amp; Construction</t>
  </si>
  <si>
    <t>Concrete</t>
  </si>
  <si>
    <t>Clinker</t>
  </si>
  <si>
    <t>Recarbonation</t>
  </si>
  <si>
    <t>Carbon Capture</t>
  </si>
  <si>
    <t>North America (Canada/USA)  PCA/CAC</t>
  </si>
  <si>
    <t>China (CNBM)</t>
  </si>
  <si>
    <t>India (GCCA India)</t>
  </si>
  <si>
    <t>CIS Countries</t>
  </si>
  <si>
    <t>Africa (Dangote)</t>
  </si>
  <si>
    <t>Middle East</t>
  </si>
  <si>
    <t>Fossil fuels</t>
  </si>
  <si>
    <t>coal + anthracite + waste coal</t>
  </si>
  <si>
    <t>petrol coke</t>
  </si>
  <si>
    <t>(ultra) heavy fuel</t>
  </si>
  <si>
    <t>diesel oil</t>
  </si>
  <si>
    <t>natural gas (dry)</t>
  </si>
  <si>
    <t>oil shale</t>
  </si>
  <si>
    <t>lignite</t>
  </si>
  <si>
    <t>gasoline</t>
  </si>
  <si>
    <t>Alternative fossil fuels</t>
  </si>
  <si>
    <t>waste oil</t>
  </si>
  <si>
    <t xml:space="preserve">tyres </t>
  </si>
  <si>
    <t>plastics</t>
  </si>
  <si>
    <t>solvents</t>
  </si>
  <si>
    <t>impregnated saw dust</t>
  </si>
  <si>
    <t>mixed industrial waste</t>
  </si>
  <si>
    <t>other fossil based wastes</t>
  </si>
  <si>
    <t>Biomass fuels</t>
  </si>
  <si>
    <t>dried sewage sludge</t>
  </si>
  <si>
    <t>wood, non impregnated saw dust</t>
  </si>
  <si>
    <t>paper, carton</t>
  </si>
  <si>
    <t>animal meal</t>
  </si>
  <si>
    <t>animal bone meal</t>
  </si>
  <si>
    <t>animal fat</t>
  </si>
  <si>
    <t>agricultural, organic, diaper waste, charcoal</t>
  </si>
  <si>
    <t>other biomass</t>
  </si>
  <si>
    <t>if fully deployed, 9-16% of binder reduction</t>
  </si>
  <si>
    <t>if fully deployed, 3-4% of binder reduction</t>
  </si>
  <si>
    <t>if fully deployed, 5-8%</t>
  </si>
  <si>
    <t>Infrastructure</t>
  </si>
  <si>
    <t>Building - structural</t>
  </si>
  <si>
    <t>Waste reduction</t>
  </si>
  <si>
    <t>Precasting/prefabrication</t>
  </si>
  <si>
    <t>IEA: 36% cement suse (2060) for RCC frames (10%)</t>
  </si>
  <si>
    <t>Topology optimization</t>
  </si>
  <si>
    <t>Increased post-tensioned structures (building)</t>
  </si>
  <si>
    <t>Lean design</t>
  </si>
  <si>
    <t>Re-use of concrete</t>
  </si>
  <si>
    <t>Reuse of concrete elements</t>
  </si>
  <si>
    <t>IEA</t>
  </si>
  <si>
    <t>Population growth</t>
  </si>
  <si>
    <t>Cement demand for building construction</t>
  </si>
  <si>
    <t>2 Gt</t>
  </si>
  <si>
    <t>2.2 Gt</t>
  </si>
  <si>
    <t>United Nations Population Division (2019), 2019 Revision of World Population Prospects, UN, New York. https://population.un.org/wpp/ </t>
  </si>
  <si>
    <t>graph of population growth until 2100 for all countries and regions/continents</t>
  </si>
  <si>
    <t>https://interactives.prb.org/2020-wpds/</t>
  </si>
  <si>
    <t>map of projected population change 2020-2050 for world, regions and coutries (more detailed than table below)</t>
  </si>
  <si>
    <t>Population</t>
  </si>
  <si>
    <t>Europe (millions)</t>
  </si>
  <si>
    <t>Africa (billions)</t>
  </si>
  <si>
    <t>Americas (billions)</t>
  </si>
  <si>
    <t>Asia (billions)</t>
  </si>
  <si>
    <t>Oceania (millions)</t>
  </si>
  <si>
    <t>Difference</t>
  </si>
  <si>
    <t>Both volume are known</t>
  </si>
  <si>
    <t>If mortar &lt; 10% of cement consumption</t>
  </si>
  <si>
    <t>if mortar &gt; 10% and &lt; 30% of cement consumption</t>
  </si>
  <si>
    <t>i</t>
  </si>
  <si>
    <t>ii</t>
  </si>
  <si>
    <t>0.1</t>
  </si>
  <si>
    <t>1.1</t>
  </si>
  <si>
    <t>2</t>
  </si>
  <si>
    <t>3</t>
  </si>
  <si>
    <t>4</t>
  </si>
  <si>
    <t>0</t>
  </si>
  <si>
    <t>text information and descriptions</t>
  </si>
  <si>
    <t>1.2</t>
  </si>
  <si>
    <t>5</t>
  </si>
  <si>
    <t>6</t>
  </si>
  <si>
    <t>Unit</t>
  </si>
  <si>
    <t>kg clinker/kg cement</t>
  </si>
  <si>
    <t>7</t>
  </si>
  <si>
    <t>Colour index:</t>
  </si>
  <si>
    <t xml:space="preserve">Select world region for GCCA Roadmap: </t>
  </si>
  <si>
    <t>Cement end use segment</t>
  </si>
  <si>
    <t>Section</t>
  </si>
  <si>
    <t>Description</t>
  </si>
  <si>
    <t>Reference year</t>
  </si>
  <si>
    <t xml:space="preserve">Clinker factor </t>
  </si>
  <si>
    <t>Region</t>
  </si>
  <si>
    <t>Phone contact</t>
  </si>
  <si>
    <t>E-mail contact</t>
  </si>
  <si>
    <t>Society demand</t>
  </si>
  <si>
    <t>4.1</t>
  </si>
  <si>
    <t>3.1</t>
  </si>
  <si>
    <t>2.1</t>
  </si>
  <si>
    <t>6.1</t>
  </si>
  <si>
    <t>5.1</t>
  </si>
  <si>
    <t>8</t>
  </si>
  <si>
    <t>Cement</t>
  </si>
  <si>
    <t>9</t>
  </si>
  <si>
    <t>% vs. status quo</t>
  </si>
  <si>
    <t>8.1</t>
  </si>
  <si>
    <t>8.2</t>
  </si>
  <si>
    <t>8.3</t>
  </si>
  <si>
    <t>8.4</t>
  </si>
  <si>
    <t>8.5</t>
  </si>
  <si>
    <t>9.1</t>
  </si>
  <si>
    <t>9.2</t>
  </si>
  <si>
    <t>9.3</t>
  </si>
  <si>
    <t>9.4</t>
  </si>
  <si>
    <t>9.5</t>
  </si>
  <si>
    <t>8.0</t>
  </si>
  <si>
    <t>Factor</t>
  </si>
  <si>
    <t>8.6</t>
  </si>
  <si>
    <t>direct emissions from clinker production, calcination and fuel CO2, 
basis for waterfall diagram</t>
  </si>
  <si>
    <t>9.0</t>
  </si>
  <si>
    <t>9.6</t>
  </si>
  <si>
    <t>10.1</t>
  </si>
  <si>
    <t>10.2</t>
  </si>
  <si>
    <t>10.3</t>
  </si>
  <si>
    <t>10.4</t>
  </si>
  <si>
    <t>10.5</t>
  </si>
  <si>
    <t>10.6</t>
  </si>
  <si>
    <t>10.0</t>
  </si>
  <si>
    <t>8.00</t>
  </si>
  <si>
    <t>default starting values, do not change</t>
  </si>
  <si>
    <t>1.4</t>
  </si>
  <si>
    <t>10</t>
  </si>
  <si>
    <t>End use segments</t>
  </si>
  <si>
    <t>decrease (green)</t>
  </si>
  <si>
    <t>CCUS</t>
  </si>
  <si>
    <t>(white)</t>
  </si>
  <si>
    <t>increase (blue)</t>
  </si>
  <si>
    <t>1.3</t>
  </si>
  <si>
    <t>2.2</t>
  </si>
  <si>
    <t>Phone</t>
  </si>
  <si>
    <t>New binders</t>
  </si>
  <si>
    <t>1.4.1</t>
  </si>
  <si>
    <t>1.4.3</t>
  </si>
  <si>
    <t>1.4.2</t>
  </si>
  <si>
    <t>1.4.4</t>
  </si>
  <si>
    <r>
      <t>CO</t>
    </r>
    <r>
      <rPr>
        <vertAlign val="subscript"/>
        <sz val="10"/>
        <color theme="1"/>
        <rFont val="Arial"/>
        <family val="2"/>
        <scheme val="minor"/>
      </rPr>
      <t>2</t>
    </r>
    <r>
      <rPr>
        <sz val="10"/>
        <color theme="1"/>
        <rFont val="Arial"/>
        <family val="2"/>
        <scheme val="minor"/>
      </rPr>
      <t xml:space="preserve"> emissions (excluding recarbonation and CCUS)</t>
    </r>
  </si>
  <si>
    <t>Index</t>
  </si>
  <si>
    <t>% share of binder volume in concrete</t>
  </si>
  <si>
    <t>Mt cement</t>
  </si>
  <si>
    <t>5.2</t>
  </si>
  <si>
    <t>6.2</t>
  </si>
  <si>
    <r>
      <t>kg CO</t>
    </r>
    <r>
      <rPr>
        <vertAlign val="subscript"/>
        <sz val="10"/>
        <color theme="1"/>
        <rFont val="Arial"/>
        <family val="2"/>
        <scheme val="minor"/>
      </rPr>
      <t>2</t>
    </r>
    <r>
      <rPr>
        <sz val="10"/>
        <color theme="1"/>
        <rFont val="Arial"/>
        <family val="2"/>
        <scheme val="minor"/>
      </rPr>
      <t>/kg new binder</t>
    </r>
  </si>
  <si>
    <r>
      <t>kg CO</t>
    </r>
    <r>
      <rPr>
        <vertAlign val="subscript"/>
        <sz val="10"/>
        <color theme="1"/>
        <rFont val="Arial"/>
        <family val="2"/>
        <scheme val="minor"/>
      </rPr>
      <t>2</t>
    </r>
    <r>
      <rPr>
        <sz val="10"/>
        <color theme="1"/>
        <rFont val="Arial"/>
        <family val="2"/>
        <scheme val="minor"/>
      </rPr>
      <t>/kg calcination CO</t>
    </r>
    <r>
      <rPr>
        <vertAlign val="subscript"/>
        <sz val="10"/>
        <color theme="1"/>
        <rFont val="Arial"/>
        <family val="2"/>
        <scheme val="minor"/>
      </rPr>
      <t>2</t>
    </r>
  </si>
  <si>
    <r>
      <t>Mt CO</t>
    </r>
    <r>
      <rPr>
        <vertAlign val="subscript"/>
        <sz val="10"/>
        <color theme="1"/>
        <rFont val="Arial"/>
        <family val="2"/>
        <scheme val="minor"/>
      </rPr>
      <t>2</t>
    </r>
  </si>
  <si>
    <r>
      <t>t CO</t>
    </r>
    <r>
      <rPr>
        <vertAlign val="subscript"/>
        <sz val="10"/>
        <color theme="1"/>
        <rFont val="Arial"/>
        <family val="2"/>
        <scheme val="minor"/>
      </rPr>
      <t>2</t>
    </r>
    <r>
      <rPr>
        <sz val="10"/>
        <color theme="1"/>
        <rFont val="Arial"/>
        <family val="2"/>
        <scheme val="minor"/>
      </rPr>
      <t>/t cement</t>
    </r>
  </si>
  <si>
    <r>
      <t>t CO</t>
    </r>
    <r>
      <rPr>
        <vertAlign val="subscript"/>
        <sz val="10"/>
        <color theme="1"/>
        <rFont val="Arial"/>
        <family val="2"/>
        <scheme val="minor"/>
      </rPr>
      <t>2</t>
    </r>
    <r>
      <rPr>
        <sz val="10"/>
        <color theme="1"/>
        <rFont val="Arial"/>
        <family val="2"/>
        <scheme val="minor"/>
      </rPr>
      <t>/t clinker</t>
    </r>
  </si>
  <si>
    <r>
      <t>Absolute CO</t>
    </r>
    <r>
      <rPr>
        <b/>
        <vertAlign val="subscript"/>
        <sz val="12"/>
        <color theme="1"/>
        <rFont val="Arial"/>
        <family val="2"/>
        <scheme val="minor"/>
      </rPr>
      <t>2</t>
    </r>
  </si>
  <si>
    <r>
      <t>CO</t>
    </r>
    <r>
      <rPr>
        <vertAlign val="subscript"/>
        <sz val="10"/>
        <color theme="1"/>
        <rFont val="Arial"/>
        <family val="2"/>
        <scheme val="minor"/>
      </rPr>
      <t>2</t>
    </r>
    <r>
      <rPr>
        <sz val="10"/>
        <color theme="1"/>
        <rFont val="Arial"/>
        <family val="2"/>
        <scheme val="minor"/>
      </rPr>
      <t xml:space="preserve"> emission with additional measures in section clinker</t>
    </r>
  </si>
  <si>
    <r>
      <t>CO</t>
    </r>
    <r>
      <rPr>
        <vertAlign val="subscript"/>
        <sz val="10"/>
        <color theme="1"/>
        <rFont val="Arial"/>
        <family val="2"/>
        <scheme val="minor"/>
      </rPr>
      <t>2</t>
    </r>
    <r>
      <rPr>
        <sz val="10"/>
        <color theme="1"/>
        <rFont val="Arial"/>
        <family val="2"/>
        <scheme val="minor"/>
      </rPr>
      <t xml:space="preserve"> emission with additional measures in section concrete</t>
    </r>
  </si>
  <si>
    <t>2.3</t>
  </si>
  <si>
    <t>2.4.1</t>
  </si>
  <si>
    <t>2.4.2</t>
  </si>
  <si>
    <t>2.4</t>
  </si>
  <si>
    <t>Cement &amp; Binders</t>
  </si>
  <si>
    <t>Reporting</t>
  </si>
  <si>
    <t>Note: Avoided emissions, offsets, natural based solutions will be regarded by GCCA in a separat process</t>
  </si>
  <si>
    <r>
      <t>CO</t>
    </r>
    <r>
      <rPr>
        <vertAlign val="subscript"/>
        <sz val="10"/>
        <color theme="1"/>
        <rFont val="Arial"/>
        <family val="2"/>
        <scheme val="minor"/>
      </rPr>
      <t>2</t>
    </r>
    <r>
      <rPr>
        <sz val="10"/>
        <color theme="1"/>
        <rFont val="Arial"/>
        <family val="2"/>
        <scheme val="minor"/>
      </rPr>
      <t xml:space="preserve"> uptake by enhanced carbonation (use of captured carbon in concrete and aggregate production)</t>
    </r>
  </si>
  <si>
    <r>
      <t>t CO</t>
    </r>
    <r>
      <rPr>
        <vertAlign val="subscript"/>
        <sz val="10"/>
        <color theme="1"/>
        <rFont val="Arial"/>
        <family val="2"/>
        <scheme val="minor"/>
      </rPr>
      <t>2</t>
    </r>
    <r>
      <rPr>
        <sz val="10"/>
        <color theme="1"/>
        <rFont val="Arial"/>
        <family val="2"/>
        <scheme val="minor"/>
      </rPr>
      <t>/t cementitious</t>
    </r>
  </si>
  <si>
    <t>7.1</t>
  </si>
  <si>
    <t>Specific</t>
  </si>
  <si>
    <t>Summary</t>
  </si>
  <si>
    <t xml:space="preserve">Mt cementitious </t>
  </si>
  <si>
    <r>
      <t>CO</t>
    </r>
    <r>
      <rPr>
        <vertAlign val="subscript"/>
        <sz val="10"/>
        <color theme="1"/>
        <rFont val="Arial"/>
        <family val="2"/>
        <scheme val="minor"/>
      </rPr>
      <t>2</t>
    </r>
    <r>
      <rPr>
        <sz val="10"/>
        <color theme="1"/>
        <rFont val="Arial"/>
        <family val="2"/>
        <scheme val="minor"/>
      </rPr>
      <t xml:space="preserve"> emissions (excluding effect of CCUS)</t>
    </r>
  </si>
  <si>
    <t>Absolute</t>
  </si>
  <si>
    <t>7.2</t>
  </si>
  <si>
    <t>7.2.1</t>
  </si>
  <si>
    <t>7.2.2</t>
  </si>
  <si>
    <t>7.2.3</t>
  </si>
  <si>
    <t>7.3</t>
  </si>
  <si>
    <t>Additional information</t>
  </si>
  <si>
    <t>7.3.2</t>
  </si>
  <si>
    <t>6.3</t>
  </si>
  <si>
    <t>5.3</t>
  </si>
  <si>
    <t>7.3.3</t>
  </si>
  <si>
    <t>7.3.1</t>
  </si>
  <si>
    <r>
      <t>Fossil CO</t>
    </r>
    <r>
      <rPr>
        <vertAlign val="subscript"/>
        <sz val="10"/>
        <color theme="1"/>
        <rFont val="Arial"/>
        <family val="2"/>
        <scheme val="minor"/>
      </rPr>
      <t>2</t>
    </r>
    <r>
      <rPr>
        <sz val="10"/>
        <color theme="1"/>
        <rFont val="Arial"/>
        <family val="2"/>
        <scheme val="minor"/>
      </rPr>
      <t xml:space="preserve"> from waste fuels</t>
    </r>
  </si>
  <si>
    <t>kg clinker/kg cementitious</t>
  </si>
  <si>
    <t>others</t>
  </si>
  <si>
    <t>please specifiy</t>
  </si>
  <si>
    <t>please give estimation</t>
  </si>
  <si>
    <t>3.1.1</t>
  </si>
  <si>
    <t>3.1.2</t>
  </si>
  <si>
    <t>3.1.3</t>
  </si>
  <si>
    <t>3.1.4</t>
  </si>
  <si>
    <t>3.1.5</t>
  </si>
  <si>
    <t>3.1.6</t>
  </si>
  <si>
    <t>3.1.7</t>
  </si>
  <si>
    <t>3.1.8</t>
  </si>
  <si>
    <t>3.1.9</t>
  </si>
  <si>
    <t>3.1.10</t>
  </si>
  <si>
    <t>4.1.1</t>
  </si>
  <si>
    <t>4.1.2</t>
  </si>
  <si>
    <t>4.1.3</t>
  </si>
  <si>
    <t>4.1.4</t>
  </si>
  <si>
    <t>4.1.5</t>
  </si>
  <si>
    <t>4.1.6</t>
  </si>
  <si>
    <t>4.1.7</t>
  </si>
  <si>
    <t>4.1.8</t>
  </si>
  <si>
    <t>4.1.9</t>
  </si>
  <si>
    <t>4.1.10</t>
  </si>
  <si>
    <t>4.1.11</t>
  </si>
  <si>
    <t>4.1.12</t>
  </si>
  <si>
    <t>Use of concrete types</t>
  </si>
  <si>
    <t>2.2.1</t>
  </si>
  <si>
    <t>GBFS</t>
  </si>
  <si>
    <t>2.2.2</t>
  </si>
  <si>
    <t>2.2.3</t>
  </si>
  <si>
    <t>2.2.4</t>
  </si>
  <si>
    <t>2.2.5</t>
  </si>
  <si>
    <t>2.4.2.1</t>
  </si>
  <si>
    <t>2.4.2.2</t>
  </si>
  <si>
    <t>2.4.2.3</t>
  </si>
  <si>
    <t>2.4.2.4</t>
  </si>
  <si>
    <t>2.4.2.5</t>
  </si>
  <si>
    <t>%</t>
  </si>
  <si>
    <t>Total saving estimation (concrete volume compared to today)</t>
  </si>
  <si>
    <t>Lean design and structural optimization</t>
  </si>
  <si>
    <t>Organisation</t>
  </si>
  <si>
    <t xml:space="preserve">GCCA Roadmap Template </t>
  </si>
  <si>
    <t>Reference</t>
  </si>
  <si>
    <t>Mt clinker produced with CCUS</t>
  </si>
  <si>
    <r>
      <t>Mt CO</t>
    </r>
    <r>
      <rPr>
        <b/>
        <vertAlign val="subscript"/>
        <sz val="10"/>
        <color theme="1"/>
        <rFont val="Arial"/>
        <family val="2"/>
        <scheme val="minor"/>
      </rPr>
      <t>2</t>
    </r>
    <r>
      <rPr>
        <b/>
        <sz val="10"/>
        <color theme="1"/>
        <rFont val="Arial"/>
        <family val="2"/>
        <scheme val="minor"/>
      </rPr>
      <t xml:space="preserve">              </t>
    </r>
    <r>
      <rPr>
        <b/>
        <sz val="14"/>
        <color theme="1"/>
        <rFont val="Arial"/>
        <family val="2"/>
        <scheme val="minor"/>
      </rPr>
      <t>&gt;</t>
    </r>
  </si>
  <si>
    <r>
      <t>CO</t>
    </r>
    <r>
      <rPr>
        <vertAlign val="subscript"/>
        <sz val="10"/>
        <color theme="1"/>
        <rFont val="Arial"/>
        <family val="2"/>
        <scheme val="minor"/>
      </rPr>
      <t>2</t>
    </r>
    <r>
      <rPr>
        <sz val="10"/>
        <color theme="1"/>
        <rFont val="Arial"/>
        <family val="2"/>
        <scheme val="minor"/>
      </rPr>
      <t xml:space="preserve"> emission with additional measures in section cement &amp; binders (incl. SCM)</t>
    </r>
  </si>
  <si>
    <t>CO2 emission with additional measures in section new binders</t>
  </si>
  <si>
    <r>
      <t>Mt CO</t>
    </r>
    <r>
      <rPr>
        <vertAlign val="subscript"/>
        <sz val="10"/>
        <color theme="1"/>
        <rFont val="Arial"/>
        <family val="2"/>
        <scheme val="minor"/>
      </rPr>
      <t>3</t>
    </r>
    <r>
      <rPr>
        <sz val="11"/>
        <color theme="1"/>
        <rFont val="Arial"/>
        <family val="2"/>
        <scheme val="minor"/>
      </rPr>
      <t/>
    </r>
  </si>
  <si>
    <r>
      <t>CO</t>
    </r>
    <r>
      <rPr>
        <vertAlign val="subscript"/>
        <sz val="10"/>
        <color theme="1"/>
        <rFont val="Arial"/>
        <family val="2"/>
        <scheme val="minor"/>
      </rPr>
      <t>2</t>
    </r>
    <r>
      <rPr>
        <sz val="10"/>
        <color theme="1"/>
        <rFont val="Arial"/>
        <family val="2"/>
        <scheme val="minor"/>
      </rPr>
      <t xml:space="preserve"> emission with additional measures in section design &amp; construction </t>
    </r>
  </si>
  <si>
    <r>
      <t>CO</t>
    </r>
    <r>
      <rPr>
        <vertAlign val="subscript"/>
        <sz val="10"/>
        <color theme="1"/>
        <rFont val="Arial"/>
        <family val="2"/>
        <scheme val="minor"/>
      </rPr>
      <t>2</t>
    </r>
    <r>
      <rPr>
        <sz val="10"/>
        <color theme="1"/>
        <rFont val="Arial"/>
        <family val="2"/>
        <scheme val="minor"/>
      </rPr>
      <t xml:space="preserve"> emission with accounting of partial recarbonation (= line 5.3)</t>
    </r>
  </si>
  <si>
    <r>
      <t>Amount of recarbonated CO</t>
    </r>
    <r>
      <rPr>
        <vertAlign val="subscript"/>
        <sz val="10"/>
        <color theme="1"/>
        <rFont val="Arial"/>
        <family val="2"/>
        <scheme val="minor"/>
      </rPr>
      <t>2</t>
    </r>
    <r>
      <rPr>
        <sz val="10"/>
        <color theme="1"/>
        <rFont val="Arial"/>
        <family val="2"/>
        <scheme val="minor"/>
      </rPr>
      <t xml:space="preserve"> during product life cycle</t>
    </r>
  </si>
  <si>
    <t>Cement &amp; binders</t>
  </si>
  <si>
    <r>
      <t>Capture of biogenic CO</t>
    </r>
    <r>
      <rPr>
        <vertAlign val="subscript"/>
        <sz val="10"/>
        <color theme="1"/>
        <rFont val="Arial"/>
        <family val="2"/>
        <scheme val="minor"/>
      </rPr>
      <t>2</t>
    </r>
    <r>
      <rPr>
        <sz val="10"/>
        <color theme="1"/>
        <rFont val="Arial"/>
        <family val="2"/>
        <scheme val="minor"/>
      </rPr>
      <t xml:space="preserve"> from waste fuels</t>
    </r>
  </si>
  <si>
    <t>Waterfall diagram data</t>
  </si>
  <si>
    <t>Relative improvement factors</t>
  </si>
  <si>
    <t>New binders improvement factors</t>
  </si>
  <si>
    <t>Society demand improvement factors (Society demand)</t>
  </si>
  <si>
    <t>Clinker improvement factors</t>
  </si>
  <si>
    <t>Concrete improvement factors</t>
  </si>
  <si>
    <t>Design &amp; Construction improvement factors</t>
  </si>
  <si>
    <t>Recarbonation improvement factors</t>
  </si>
  <si>
    <t>Carbon Capture improvement factors (CCUS)</t>
  </si>
  <si>
    <t>Cement &amp; binders improvement factors (incl. SCM)</t>
  </si>
  <si>
    <r>
      <t xml:space="preserve">Product life cycle partial recarbonation according to IVL study </t>
    </r>
    <r>
      <rPr>
        <sz val="10"/>
        <rFont val="Arial Narrow"/>
        <family val="2"/>
      </rPr>
      <t>(conservative estimate in relation to process emissions)</t>
    </r>
  </si>
  <si>
    <t>10.1.4</t>
  </si>
  <si>
    <t>9.1.4</t>
  </si>
  <si>
    <t>8.1.4</t>
  </si>
  <si>
    <r>
      <t>CO</t>
    </r>
    <r>
      <rPr>
        <vertAlign val="subscript"/>
        <sz val="10"/>
        <color theme="1"/>
        <rFont val="Arial"/>
        <family val="2"/>
        <scheme val="minor"/>
      </rPr>
      <t>2</t>
    </r>
    <r>
      <rPr>
        <sz val="10"/>
        <color theme="1"/>
        <rFont val="Arial"/>
        <family val="2"/>
        <scheme val="minor"/>
      </rPr>
      <t xml:space="preserve"> emission change by additional measures in section clinker</t>
    </r>
  </si>
  <si>
    <t>CO2 emission change by additional measures in section new binders (based on line 1.4.3)</t>
  </si>
  <si>
    <r>
      <t>CO</t>
    </r>
    <r>
      <rPr>
        <vertAlign val="subscript"/>
        <sz val="10"/>
        <color theme="1"/>
        <rFont val="Arial"/>
        <family val="2"/>
        <scheme val="minor"/>
      </rPr>
      <t>2</t>
    </r>
    <r>
      <rPr>
        <sz val="10"/>
        <color theme="1"/>
        <rFont val="Arial"/>
        <family val="2"/>
        <scheme val="minor"/>
      </rPr>
      <t xml:space="preserve"> emission change by additional measures in section cement &amp; binders (incl. SCM)</t>
    </r>
  </si>
  <si>
    <r>
      <t>CO</t>
    </r>
    <r>
      <rPr>
        <vertAlign val="subscript"/>
        <sz val="10"/>
        <color theme="1"/>
        <rFont val="Arial"/>
        <family val="2"/>
        <scheme val="minor"/>
      </rPr>
      <t>2</t>
    </r>
    <r>
      <rPr>
        <sz val="10"/>
        <color theme="1"/>
        <rFont val="Arial"/>
        <family val="2"/>
        <scheme val="minor"/>
      </rPr>
      <t xml:space="preserve"> emission change by additional measures in section concrete</t>
    </r>
  </si>
  <si>
    <r>
      <t>CO</t>
    </r>
    <r>
      <rPr>
        <vertAlign val="subscript"/>
        <sz val="10"/>
        <color theme="1"/>
        <rFont val="Arial"/>
        <family val="2"/>
        <scheme val="minor"/>
      </rPr>
      <t>2</t>
    </r>
    <r>
      <rPr>
        <sz val="10"/>
        <color theme="1"/>
        <rFont val="Arial"/>
        <family val="2"/>
        <scheme val="minor"/>
      </rPr>
      <t xml:space="preserve"> emission change by additional measures in section design &amp; construction </t>
    </r>
  </si>
  <si>
    <r>
      <t>CO</t>
    </r>
    <r>
      <rPr>
        <vertAlign val="subscript"/>
        <sz val="10"/>
        <color theme="1"/>
        <rFont val="Arial"/>
        <family val="2"/>
        <scheme val="minor"/>
      </rPr>
      <t>2</t>
    </r>
    <r>
      <rPr>
        <sz val="10"/>
        <color theme="1"/>
        <rFont val="Arial"/>
        <family val="2"/>
        <scheme val="minor"/>
      </rPr>
      <t xml:space="preserve"> emission change by accounting of partial recarbonation (based on line 5.2)</t>
    </r>
  </si>
  <si>
    <r>
      <t>CO</t>
    </r>
    <r>
      <rPr>
        <vertAlign val="subscript"/>
        <sz val="10"/>
        <color theme="1"/>
        <rFont val="Arial"/>
        <family val="2"/>
        <scheme val="minor"/>
      </rPr>
      <t>2</t>
    </r>
    <r>
      <rPr>
        <sz val="10"/>
        <color theme="1"/>
        <rFont val="Arial"/>
        <family val="2"/>
        <scheme val="minor"/>
      </rPr>
      <t xml:space="preserve"> emission change by CO</t>
    </r>
    <r>
      <rPr>
        <vertAlign val="subscript"/>
        <sz val="10"/>
        <color theme="1"/>
        <rFont val="Arial"/>
        <family val="2"/>
        <scheme val="minor"/>
      </rPr>
      <t>2</t>
    </r>
    <r>
      <rPr>
        <sz val="10"/>
        <color theme="1"/>
        <rFont val="Arial"/>
        <family val="2"/>
        <scheme val="minor"/>
      </rPr>
      <t xml:space="preserve"> capture, CCUS (based on line 6.1)</t>
    </r>
  </si>
  <si>
    <r>
      <t>CO</t>
    </r>
    <r>
      <rPr>
        <vertAlign val="subscript"/>
        <sz val="10"/>
        <color theme="1"/>
        <rFont val="Arial"/>
        <family val="2"/>
        <scheme val="minor"/>
      </rPr>
      <t>2</t>
    </r>
    <r>
      <rPr>
        <sz val="10"/>
        <color theme="1"/>
        <rFont val="Arial"/>
        <family val="2"/>
        <scheme val="minor"/>
      </rPr>
      <t xml:space="preserve"> emission with CO</t>
    </r>
    <r>
      <rPr>
        <vertAlign val="subscript"/>
        <sz val="10"/>
        <color theme="1"/>
        <rFont val="Arial"/>
        <family val="2"/>
        <scheme val="minor"/>
      </rPr>
      <t>2</t>
    </r>
    <r>
      <rPr>
        <sz val="10"/>
        <color theme="1"/>
        <rFont val="Arial"/>
        <family val="2"/>
        <scheme val="minor"/>
      </rPr>
      <t xml:space="preserve"> capture, CCUS (= line 6.3)</t>
    </r>
  </si>
  <si>
    <r>
      <t>Absolute CO</t>
    </r>
    <r>
      <rPr>
        <b/>
        <vertAlign val="subscript"/>
        <sz val="12"/>
        <color theme="1"/>
        <rFont val="Arial"/>
        <family val="2"/>
        <scheme val="minor"/>
      </rPr>
      <t>2</t>
    </r>
    <r>
      <rPr>
        <b/>
        <sz val="12"/>
        <color theme="1"/>
        <rFont val="Arial"/>
        <family val="2"/>
        <scheme val="minor"/>
      </rPr>
      <t xml:space="preserve"> emission changes, cummulative</t>
    </r>
  </si>
  <si>
    <t>Waterafall data for construction of diagrams</t>
  </si>
  <si>
    <r>
      <t>Mt CO</t>
    </r>
    <r>
      <rPr>
        <b/>
        <vertAlign val="subscript"/>
        <sz val="12"/>
        <color theme="1"/>
        <rFont val="Arial"/>
        <family val="2"/>
        <scheme val="minor"/>
      </rPr>
      <t xml:space="preserve">2           </t>
    </r>
    <r>
      <rPr>
        <b/>
        <sz val="14"/>
        <color theme="1"/>
        <rFont val="Arial"/>
        <family val="2"/>
        <scheme val="minor"/>
      </rPr>
      <t>&gt;&gt;</t>
    </r>
  </si>
  <si>
    <t>Process emissions</t>
  </si>
  <si>
    <t>1.2.1</t>
  </si>
  <si>
    <t>1.2.2</t>
  </si>
  <si>
    <t>1.2.2.1</t>
  </si>
  <si>
    <t>1.2.2.2</t>
  </si>
  <si>
    <t>1.2.2.3</t>
  </si>
  <si>
    <t>1.2.2.4</t>
  </si>
  <si>
    <t>1.2.2.5</t>
  </si>
  <si>
    <t>1.2.2.6</t>
  </si>
  <si>
    <t>1.2.2.7</t>
  </si>
  <si>
    <t>1.2.3</t>
  </si>
  <si>
    <t>1.2.3.1</t>
  </si>
  <si>
    <t>1.2.4</t>
  </si>
  <si>
    <t>1.2.3.2</t>
  </si>
  <si>
    <t>1.2.3.3</t>
  </si>
  <si>
    <t>1.2.3.4</t>
  </si>
  <si>
    <t>1.2.5</t>
  </si>
  <si>
    <r>
      <t>kg CO</t>
    </r>
    <r>
      <rPr>
        <vertAlign val="subscript"/>
        <sz val="10"/>
        <rFont val="Arial"/>
        <family val="2"/>
        <scheme val="minor"/>
      </rPr>
      <t>2</t>
    </r>
    <r>
      <rPr>
        <sz val="10"/>
        <rFont val="Arial"/>
        <family val="2"/>
        <scheme val="minor"/>
      </rPr>
      <t>/kg clinker</t>
    </r>
  </si>
  <si>
    <t>MJ/t clinker</t>
  </si>
  <si>
    <t>Thermal energy demand (on annual basis)</t>
  </si>
  <si>
    <t>Sum of fuel composition shares</t>
  </si>
  <si>
    <t>% of thermal energy demand</t>
  </si>
  <si>
    <t>1.2.2.8</t>
  </si>
  <si>
    <t>1.2.2.9</t>
  </si>
  <si>
    <t>1.2.2.10</t>
  </si>
  <si>
    <t>Natural gas</t>
  </si>
  <si>
    <t>Petcoke</t>
  </si>
  <si>
    <t>Biomass (including biomass from mixed fuels)</t>
  </si>
  <si>
    <t>Waste of fossil origin (including fossil fuel from mixed fuels)</t>
  </si>
  <si>
    <t>Coal</t>
  </si>
  <si>
    <r>
      <t>Fuel CO</t>
    </r>
    <r>
      <rPr>
        <b/>
        <vertAlign val="subscript"/>
        <sz val="12"/>
        <rFont val="Arial"/>
        <family val="2"/>
        <scheme val="minor"/>
      </rPr>
      <t>2</t>
    </r>
    <r>
      <rPr>
        <b/>
        <sz val="12"/>
        <rFont val="Arial"/>
        <family val="2"/>
        <scheme val="minor"/>
      </rPr>
      <t xml:space="preserve"> emission factors</t>
    </r>
  </si>
  <si>
    <r>
      <t>default values from GCCA/CSI cement CO</t>
    </r>
    <r>
      <rPr>
        <vertAlign val="subscript"/>
        <sz val="10"/>
        <rFont val="Arial"/>
        <family val="2"/>
        <scheme val="minor"/>
      </rPr>
      <t>2</t>
    </r>
    <r>
      <rPr>
        <sz val="10"/>
        <rFont val="Arial"/>
        <family val="2"/>
        <scheme val="minor"/>
      </rPr>
      <t xml:space="preserve"> and energy protocol V3.1</t>
    </r>
  </si>
  <si>
    <r>
      <t>kg CO</t>
    </r>
    <r>
      <rPr>
        <vertAlign val="subscript"/>
        <sz val="10"/>
        <rFont val="Arial"/>
        <family val="2"/>
        <scheme val="minor"/>
      </rPr>
      <t>2</t>
    </r>
    <r>
      <rPr>
        <sz val="10"/>
        <rFont val="Arial"/>
        <family val="2"/>
        <scheme val="minor"/>
      </rPr>
      <t>/GJ</t>
    </r>
  </si>
  <si>
    <t>Biomass share</t>
  </si>
  <si>
    <r>
      <t>total CO</t>
    </r>
    <r>
      <rPr>
        <b/>
        <vertAlign val="subscript"/>
        <sz val="10"/>
        <rFont val="Arial"/>
        <family val="2"/>
        <scheme val="minor"/>
      </rPr>
      <t>2</t>
    </r>
    <r>
      <rPr>
        <b/>
        <sz val="10"/>
        <rFont val="Arial"/>
        <family val="2"/>
        <scheme val="minor"/>
      </rPr>
      <t xml:space="preserve"> EF</t>
    </r>
  </si>
  <si>
    <r>
      <t>fossil CO</t>
    </r>
    <r>
      <rPr>
        <b/>
        <vertAlign val="subscript"/>
        <sz val="10"/>
        <rFont val="Arial"/>
        <family val="2"/>
        <scheme val="minor"/>
      </rPr>
      <t>2</t>
    </r>
    <r>
      <rPr>
        <b/>
        <sz val="10"/>
        <rFont val="Arial"/>
        <family val="2"/>
        <scheme val="minor"/>
      </rPr>
      <t xml:space="preserve"> EF</t>
    </r>
  </si>
  <si>
    <t>% carbon from biomass</t>
  </si>
  <si>
    <t>https://www.cement-co2-protocol.org/en/#Internet_Manual/constants.htm</t>
  </si>
  <si>
    <r>
      <t>kg CO</t>
    </r>
    <r>
      <rPr>
        <vertAlign val="subscript"/>
        <sz val="10"/>
        <rFont val="Arial"/>
        <family val="2"/>
        <scheme val="minor"/>
      </rPr>
      <t>2</t>
    </r>
    <r>
      <rPr>
        <sz val="10"/>
        <rFont val="Arial"/>
        <family val="2"/>
        <scheme val="minor"/>
      </rPr>
      <t>/GJ fuel mix</t>
    </r>
  </si>
  <si>
    <t>Fuel mix</t>
  </si>
  <si>
    <r>
      <t>Fuel CO</t>
    </r>
    <r>
      <rPr>
        <vertAlign val="subscript"/>
        <sz val="10"/>
        <rFont val="Arial"/>
        <family val="2"/>
        <scheme val="minor"/>
      </rPr>
      <t>2</t>
    </r>
    <r>
      <rPr>
        <sz val="10"/>
        <rFont val="Arial"/>
        <family val="2"/>
        <scheme val="minor"/>
      </rPr>
      <t xml:space="preserve"> emission factor (fossil CO</t>
    </r>
    <r>
      <rPr>
        <vertAlign val="subscript"/>
        <sz val="10"/>
        <rFont val="Arial"/>
        <family val="2"/>
        <scheme val="minor"/>
      </rPr>
      <t xml:space="preserve">2 </t>
    </r>
    <r>
      <rPr>
        <sz val="10"/>
        <rFont val="Arial"/>
        <family val="2"/>
        <scheme val="minor"/>
      </rPr>
      <t>only)</t>
    </r>
  </si>
  <si>
    <r>
      <t>Biogenic CO</t>
    </r>
    <r>
      <rPr>
        <vertAlign val="subscript"/>
        <sz val="10"/>
        <rFont val="Arial"/>
        <family val="2"/>
        <scheme val="minor"/>
      </rPr>
      <t>2</t>
    </r>
    <r>
      <rPr>
        <sz val="10"/>
        <rFont val="Arial"/>
        <family val="2"/>
        <scheme val="minor"/>
      </rPr>
      <t xml:space="preserve"> emissions from biomass combustion</t>
    </r>
  </si>
  <si>
    <r>
      <t xml:space="preserve">Thermal energy demand and fuel </t>
    </r>
    <r>
      <rPr>
        <b/>
        <sz val="10"/>
        <rFont val="Arial"/>
        <family val="2"/>
        <scheme val="minor"/>
      </rPr>
      <t>emissions</t>
    </r>
  </si>
  <si>
    <t>Calcination process emission factor</t>
  </si>
  <si>
    <r>
      <t>Fossil fuel CO</t>
    </r>
    <r>
      <rPr>
        <vertAlign val="subscript"/>
        <sz val="10"/>
        <rFont val="Arial"/>
        <family val="2"/>
        <scheme val="minor"/>
      </rPr>
      <t>2</t>
    </r>
    <r>
      <rPr>
        <sz val="10"/>
        <rFont val="Arial"/>
        <family val="2"/>
        <scheme val="minor"/>
      </rPr>
      <t xml:space="preserve"> emissions factor</t>
    </r>
  </si>
  <si>
    <r>
      <t>Clinker CO</t>
    </r>
    <r>
      <rPr>
        <vertAlign val="subscript"/>
        <sz val="10"/>
        <rFont val="Arial"/>
        <family val="2"/>
        <scheme val="minor"/>
      </rPr>
      <t>2</t>
    </r>
    <r>
      <rPr>
        <sz val="10"/>
        <rFont val="Arial"/>
        <family val="2"/>
        <scheme val="minor"/>
      </rPr>
      <t xml:space="preserve"> emission factor (direct CO</t>
    </r>
    <r>
      <rPr>
        <vertAlign val="subscript"/>
        <sz val="10"/>
        <rFont val="Arial"/>
        <family val="2"/>
        <scheme val="minor"/>
      </rPr>
      <t>2</t>
    </r>
    <r>
      <rPr>
        <sz val="10"/>
        <rFont val="Arial"/>
        <family val="2"/>
        <scheme val="minor"/>
      </rPr>
      <t xml:space="preserve"> emissions)</t>
    </r>
  </si>
  <si>
    <t>Emission factor</t>
  </si>
  <si>
    <t>x</t>
  </si>
  <si>
    <t>Mt of material, or 'x' when applicable</t>
  </si>
  <si>
    <t>1.2.1.1</t>
  </si>
  <si>
    <t>1.2.1.2</t>
  </si>
  <si>
    <t>1.2.1.3</t>
  </si>
  <si>
    <t>1.2.1.4</t>
  </si>
  <si>
    <t>1.2.1.5</t>
  </si>
  <si>
    <t>1.2.1.6</t>
  </si>
  <si>
    <t>1.2.3.5</t>
  </si>
  <si>
    <t>1.2.3.6</t>
  </si>
  <si>
    <t>1.2.3.7</t>
  </si>
  <si>
    <t>1.2.3.8</t>
  </si>
  <si>
    <t>MJ/t clinker, or 'x' when applicable</t>
  </si>
  <si>
    <t>Optional other fuels, please specify fuel type, contribution to thermal energy demand, EF and biomass in follwoing lines</t>
  </si>
  <si>
    <t>see additional default valuesin the GCCA Internet Manual of the CO2 Protocol V3.1:</t>
  </si>
  <si>
    <t>remarks and readme information</t>
  </si>
  <si>
    <t>Optional other fuels use, specify fuel type, contribution to thermal energy demand, EF and biomass in follwoing lines</t>
  </si>
  <si>
    <t>Technologies relevant to the indicated reduction of thermal energy demand</t>
  </si>
  <si>
    <r>
      <t>Materials use and applied technologies relevant to the indicated reduction of CO</t>
    </r>
    <r>
      <rPr>
        <vertAlign val="subscript"/>
        <sz val="10"/>
        <rFont val="Arial"/>
        <family val="2"/>
        <scheme val="minor"/>
      </rPr>
      <t>2</t>
    </r>
    <r>
      <rPr>
        <sz val="10"/>
        <rFont val="Arial"/>
        <family val="2"/>
        <scheme val="minor"/>
      </rPr>
      <t xml:space="preserve"> from raw meal calcination</t>
    </r>
  </si>
  <si>
    <r>
      <t>CO</t>
    </r>
    <r>
      <rPr>
        <vertAlign val="subscript"/>
        <sz val="10"/>
        <rFont val="Arial"/>
        <family val="2"/>
        <scheme val="minor"/>
      </rPr>
      <t>2</t>
    </r>
    <r>
      <rPr>
        <sz val="10"/>
        <rFont val="Arial"/>
        <family val="2"/>
        <scheme val="minor"/>
      </rPr>
      <t xml:space="preserve"> from organic carbon in limestone (TOC)</t>
    </r>
  </si>
  <si>
    <t>Section / Lever</t>
  </si>
  <si>
    <t>4.1.3.1</t>
  </si>
  <si>
    <t>4.1.3.2</t>
  </si>
  <si>
    <t>4.1.3.3</t>
  </si>
  <si>
    <t>4.1.3.4</t>
  </si>
  <si>
    <t>4.1.4.1</t>
  </si>
  <si>
    <t>4.1.4.2</t>
  </si>
  <si>
    <t>4.1.4.3</t>
  </si>
  <si>
    <t>4.1.5.1</t>
  </si>
  <si>
    <t>4.1.5.2</t>
  </si>
  <si>
    <t>4.1.5.3</t>
  </si>
  <si>
    <t>4.1.6.1</t>
  </si>
  <si>
    <t>4.1.6.2</t>
  </si>
  <si>
    <t>4.1.6.3</t>
  </si>
  <si>
    <t>Both structural system and design COMBINED</t>
  </si>
  <si>
    <t>4.1.9.1</t>
  </si>
  <si>
    <t>4.1.9.2</t>
  </si>
  <si>
    <t>4.1.9.3</t>
  </si>
  <si>
    <t>4.1.9.4</t>
  </si>
  <si>
    <t>Construction processes</t>
  </si>
  <si>
    <t>Structural system (choice of frame/solution/element type etc)</t>
  </si>
  <si>
    <t>Specifications / standards</t>
  </si>
  <si>
    <t>Name of lever</t>
  </si>
  <si>
    <t>Short description of lever [enter reference to comment sheet, if more description is appropriate]</t>
  </si>
  <si>
    <t>Structural design and systems</t>
  </si>
  <si>
    <t>Building - 
non structural</t>
  </si>
  <si>
    <t>Relevance rating</t>
  </si>
  <si>
    <t>Concrete strength at 28, 56 and 91 days</t>
  </si>
  <si>
    <t>Estimated share of concrete used in different types of buildings 2030 and 2050</t>
  </si>
  <si>
    <t>Specify your levers with a name and short description, see examples for inspiration</t>
  </si>
  <si>
    <t>Cumulated savings in %</t>
  </si>
  <si>
    <t>Cumulated demands in %</t>
  </si>
  <si>
    <t>Concrete type</t>
  </si>
  <si>
    <t>Rate high, medium, low or no</t>
  </si>
  <si>
    <t>Target year</t>
  </si>
  <si>
    <t>Please identify the reference of any additional note or comment that you like to make</t>
  </si>
  <si>
    <t>Mt</t>
  </si>
  <si>
    <t>x.x</t>
  </si>
  <si>
    <t>Section or lever name</t>
  </si>
  <si>
    <t>Line description</t>
  </si>
  <si>
    <t>Enter your note refering to 2030 data here</t>
  </si>
  <si>
    <t>Enter your note refering to current, i.e. 2018 or 2020 data here</t>
  </si>
  <si>
    <t>Enter your note refering to 2050 data here</t>
  </si>
  <si>
    <t>Notes recorded by the user referring to current 2020 (2018) data</t>
  </si>
  <si>
    <t>Notes recorded by the user referring to 2030 data</t>
  </si>
  <si>
    <t>Notes recorded by the user referring to 2050 data</t>
  </si>
  <si>
    <t>Estimated share of concrete used in different types of buildings today</t>
  </si>
  <si>
    <t>if fully deployed, estimated saving 2.5% of binder reduction</t>
  </si>
  <si>
    <t>Example Lever Name</t>
  </si>
  <si>
    <t>Example Description</t>
  </si>
  <si>
    <t>GCCA Example</t>
  </si>
  <si>
    <t>instruction text in italics, further README information at the right side</t>
  </si>
  <si>
    <t>Example for a user note</t>
  </si>
  <si>
    <t>Example user note on: Clinker production volume</t>
  </si>
  <si>
    <t>Example user note text: The clinker production volume encompasses different kinds of clinker. In this example region the use of belite clinkers makes a small (ca. x Mt,) contribution to the products of the cement industry.</t>
  </si>
  <si>
    <t>Example user note text: With the introduction of new types of cement, the use of belite cements will change. This means that the volume of belite clinker production will increas/decrease to approximatly x Mt until 2050.</t>
  </si>
  <si>
    <t>Use cells below to make your user notes and text comments. Increase line hight, when you require more space for your note. Insert new lines at the bottom, if you like to make more notes.</t>
  </si>
  <si>
    <t>Information on use of SCM in concrete production</t>
  </si>
  <si>
    <t>Clinker factor, information on use of SCM in cement production</t>
  </si>
  <si>
    <t>GCCA Fuel Category</t>
  </si>
  <si>
    <r>
      <t>Additonal information on default values according to IPCC Guidelines and GCCA CO</t>
    </r>
    <r>
      <rPr>
        <b/>
        <vertAlign val="subscript"/>
        <sz val="12"/>
        <color theme="1"/>
        <rFont val="Arial"/>
        <family val="2"/>
        <scheme val="minor"/>
      </rPr>
      <t xml:space="preserve">2 </t>
    </r>
    <r>
      <rPr>
        <b/>
        <sz val="12"/>
        <color theme="1"/>
        <rFont val="Arial"/>
        <family val="2"/>
        <scheme val="minor"/>
      </rPr>
      <t>Protocol</t>
    </r>
  </si>
  <si>
    <t xml:space="preserve">IPCC default 
</t>
  </si>
  <si>
    <r>
      <t>GCCA CO</t>
    </r>
    <r>
      <rPr>
        <b/>
        <vertAlign val="subscript"/>
        <sz val="12"/>
        <rFont val="Arial"/>
        <family val="2"/>
      </rPr>
      <t>2</t>
    </r>
    <r>
      <rPr>
        <b/>
        <sz val="12"/>
        <rFont val="Arial"/>
        <family val="2"/>
      </rPr>
      <t xml:space="preserve"> Protocol default
</t>
    </r>
  </si>
  <si>
    <t>% biomass</t>
  </si>
  <si>
    <r>
      <t>kg CO</t>
    </r>
    <r>
      <rPr>
        <vertAlign val="subscript"/>
        <sz val="10"/>
        <rFont val="Arial"/>
        <family val="2"/>
      </rPr>
      <t>2</t>
    </r>
    <r>
      <rPr>
        <sz val="10"/>
        <rFont val="Arial"/>
        <family val="2"/>
      </rPr>
      <t>/GJ</t>
    </r>
  </si>
  <si>
    <t>Neither volume at end-of-life or seconday use are known</t>
  </si>
  <si>
    <t>Volume at end-of-life is known but not for secondary use</t>
  </si>
  <si>
    <t>cement going to mortar in %</t>
  </si>
  <si>
    <r>
      <t>10 kg CO</t>
    </r>
    <r>
      <rPr>
        <vertAlign val="subscript"/>
        <sz val="10"/>
        <color theme="1"/>
        <rFont val="Arial"/>
        <family val="2"/>
        <scheme val="minor"/>
      </rPr>
      <t>2</t>
    </r>
    <r>
      <rPr>
        <sz val="10"/>
        <color theme="1"/>
        <rFont val="Arial"/>
        <family val="2"/>
        <scheme val="minor"/>
      </rPr>
      <t>/m</t>
    </r>
    <r>
      <rPr>
        <vertAlign val="superscript"/>
        <sz val="10"/>
        <color theme="1"/>
        <rFont val="Arial"/>
        <family val="2"/>
        <scheme val="minor"/>
      </rPr>
      <t>3</t>
    </r>
    <r>
      <rPr>
        <sz val="10"/>
        <color theme="1"/>
        <rFont val="Arial"/>
        <family val="2"/>
        <scheme val="minor"/>
      </rPr>
      <t xml:space="preserve"> of concrete recycled</t>
    </r>
  </si>
  <si>
    <r>
      <t>10 kg CO</t>
    </r>
    <r>
      <rPr>
        <vertAlign val="subscript"/>
        <sz val="10"/>
        <color theme="1"/>
        <rFont val="Arial"/>
        <family val="2"/>
        <scheme val="minor"/>
      </rPr>
      <t>2</t>
    </r>
    <r>
      <rPr>
        <sz val="10"/>
        <color theme="1"/>
        <rFont val="Arial"/>
        <family val="2"/>
        <scheme val="minor"/>
      </rPr>
      <t>/m</t>
    </r>
    <r>
      <rPr>
        <vertAlign val="superscript"/>
        <sz val="10"/>
        <color theme="1"/>
        <rFont val="Arial"/>
        <family val="2"/>
        <scheme val="minor"/>
      </rPr>
      <t>3</t>
    </r>
    <r>
      <rPr>
        <sz val="10"/>
        <color theme="1"/>
        <rFont val="Arial"/>
        <family val="2"/>
        <scheme val="minor"/>
      </rPr>
      <t xml:space="preserve"> of concrete</t>
    </r>
  </si>
  <si>
    <r>
      <t>10 kg CO</t>
    </r>
    <r>
      <rPr>
        <vertAlign val="subscript"/>
        <sz val="10"/>
        <color theme="1"/>
        <rFont val="Arial"/>
        <family val="2"/>
        <scheme val="minor"/>
      </rPr>
      <t>2</t>
    </r>
    <r>
      <rPr>
        <sz val="10"/>
        <color theme="1"/>
        <rFont val="Arial"/>
        <family val="2"/>
        <scheme val="minor"/>
      </rPr>
      <t>/m</t>
    </r>
    <r>
      <rPr>
        <vertAlign val="superscript"/>
        <sz val="10"/>
        <color theme="1"/>
        <rFont val="Arial"/>
        <family val="2"/>
        <scheme val="minor"/>
      </rPr>
      <t>3</t>
    </r>
    <r>
      <rPr>
        <sz val="10"/>
        <color theme="1"/>
        <rFont val="Arial"/>
        <family val="2"/>
        <scheme val="minor"/>
      </rPr>
      <t xml:space="preserve"> of concrete recycled + 10 kg CO</t>
    </r>
    <r>
      <rPr>
        <vertAlign val="subscript"/>
        <sz val="10"/>
        <color theme="1"/>
        <rFont val="Arial"/>
        <family val="2"/>
        <scheme val="minor"/>
      </rPr>
      <t>2</t>
    </r>
    <r>
      <rPr>
        <sz val="10"/>
        <color theme="1"/>
        <rFont val="Arial"/>
        <family val="2"/>
        <scheme val="minor"/>
      </rPr>
      <t>/m</t>
    </r>
    <r>
      <rPr>
        <vertAlign val="superscript"/>
        <sz val="10"/>
        <color theme="1"/>
        <rFont val="Arial"/>
        <family val="2"/>
        <scheme val="minor"/>
      </rPr>
      <t>3</t>
    </r>
    <r>
      <rPr>
        <sz val="10"/>
        <color theme="1"/>
        <rFont val="Arial"/>
        <family val="2"/>
        <scheme val="minor"/>
      </rPr>
      <t xml:space="preserve"> of concrete</t>
    </r>
  </si>
  <si>
    <r>
      <t>Fraction of process CO</t>
    </r>
    <r>
      <rPr>
        <vertAlign val="subscript"/>
        <sz val="10"/>
        <color theme="1"/>
        <rFont val="Arial"/>
        <family val="2"/>
        <scheme val="minor"/>
      </rPr>
      <t>2</t>
    </r>
    <r>
      <rPr>
        <sz val="10"/>
        <color theme="1"/>
        <rFont val="Arial"/>
        <family val="2"/>
        <scheme val="minor"/>
      </rPr>
      <t xml:space="preserve"> emissions, 
kg CO</t>
    </r>
    <r>
      <rPr>
        <vertAlign val="subscript"/>
        <sz val="10"/>
        <color theme="1"/>
        <rFont val="Arial"/>
        <family val="2"/>
        <scheme val="minor"/>
      </rPr>
      <t>2</t>
    </r>
    <r>
      <rPr>
        <sz val="10"/>
        <color theme="1"/>
        <rFont val="Arial"/>
        <family val="2"/>
        <scheme val="minor"/>
      </rPr>
      <t>/kg calcination CO</t>
    </r>
    <r>
      <rPr>
        <vertAlign val="subscript"/>
        <sz val="10"/>
        <color theme="1"/>
        <rFont val="Arial"/>
        <family val="2"/>
        <scheme val="minor"/>
      </rPr>
      <t>2</t>
    </r>
  </si>
  <si>
    <t>Tabular summary of IVL Study Tier 1</t>
  </si>
  <si>
    <t>Reference and link to IVL Study:</t>
  </si>
  <si>
    <t>high</t>
  </si>
  <si>
    <t>medium</t>
  </si>
  <si>
    <t>low</t>
  </si>
  <si>
    <t>no</t>
  </si>
  <si>
    <t>SCMs in concrete</t>
  </si>
  <si>
    <t>SCMs in cement</t>
  </si>
  <si>
    <t>Give information on relevance of different SCMs by rating with "high, medium, low or no"</t>
  </si>
  <si>
    <t>Relevance for use of SCMs in concrete production</t>
  </si>
  <si>
    <t>Relevance for use of SCMs in cement production</t>
  </si>
  <si>
    <t>&lt;blank&gt;</t>
  </si>
  <si>
    <t>Rate relevance of fly ash use for concrete production for Precast and Non-Precast  today, in 2030 and 2050</t>
  </si>
  <si>
    <t>Rate relevance of GBFS use for concrete production for Precast and Non-Precast  today, in 2030 and 2050</t>
  </si>
  <si>
    <t>Rate relevance of calcinded clay use for concrete production for Precast and Non-Precast  today, in 2030 and 2050</t>
  </si>
  <si>
    <t>Rate relevance of fly ash use for cement production for Precast and Non-Precast  today, in 2030 and 2050</t>
  </si>
  <si>
    <t>Define own SCM and rate relevance for concrete production for Precast and Non-Precast  today, in 2030 and 2050 or leave blank</t>
  </si>
  <si>
    <t>Rate relevance of GBFS use for cement production for Precast and Non-Precast  today, in 2030 and 2050</t>
  </si>
  <si>
    <t>Rate relevance of calcinded clay use for cement production for Precast and Non-Precast  today, in 2030 and 2050</t>
  </si>
  <si>
    <t>Define own SCM and rate relevance for cement production for Precast and Non-Precast  today, in 2030 and 2050 or leave blank</t>
  </si>
  <si>
    <t>Many types of concrete see their strength increase after 28 days of maturity, and this can be utilised to reduce the CO2 footprint by specifying the compression strength at later intervals. Consequences along value chain have to be considered by designer, concrete producer and contractor (execution), Danish roadmap, intiative 2.2: 5-10% cement saving (for precast structural and RMX), implementation in 2021</t>
  </si>
  <si>
    <t>includes avoid over ordering, Material economics: 4,1% cement saving from building use (2050)</t>
  </si>
  <si>
    <t>Topology optimisation tools are increasingly being used in the industry to design components that are optimised in relation to functional properties and material consumption. Creation of completely new architectonic expression and reduce material consumption. Danish roadmap, initiative 1.3: 3,33% CO2 saving per year (for precast), implementation in 2027</t>
  </si>
  <si>
    <t>Post-tensioning structures is viewed as a possibility for accommodating the need for more complex and flexible buildings. It reduces or minimises the need for stabilising walls, columns and beams. Danish roadmap, initiative 1.7: 3,33% CO2 saving per year (for precast), implementation in 2021</t>
  </si>
  <si>
    <t>Automated design methods will boost opportunities to calculate and optimise the individual structural elements and connections, rather than continuing to allow the structural elements that carry the heaviest load to define the entire structure. Danish roadmap iniatives 1.2: 8,33% CO2 saving per year, implementation in 2026 for precast strutural element</t>
  </si>
  <si>
    <t>Some references published findings for both the system and the design. Referred to as STRUCTURAL OPTIMISATION : ETH Zurich: 10-20% CO2 reduction for 2030 and 20-40% for 2050 (for precast) and for IEA: 13% cement saving (for non-precast) by 2060</t>
  </si>
  <si>
    <t>IEA: 10% cement saving (2060) for precast building (10%) ; Danish roadmap, initiatives 4.3 &amp; 4.4: 8,33% CO2 saving per year for precast, implementation in 2025 (elements of building) ; Material economics: 8,5% cement use building. Note: reuse of crushed concrete is accounted for elsewhere</t>
  </si>
  <si>
    <t>Estimate total savings of levers of category "Specifications / standards", take account of fact that some levers cannot be applied simultaneously or do not add up</t>
  </si>
  <si>
    <t>Estimate total savings of levers of category "Construction processes", take account of fact that some levers cannot be applied simultaneously or do not add up</t>
  </si>
  <si>
    <t>Estimate total savings of levers of categories "Structural system and design", take account of fact that some levers cannot be applied simultaneously or do not add up</t>
  </si>
  <si>
    <t>Estimate total savings of levers of category "Re-use of concrete", take account of fact that some levers cannot be applied simultaneously or do not add up</t>
  </si>
  <si>
    <t xml:space="preserve">Structural design (lean design, CO2 as a main critieria for design etc: resulting in material savings)
</t>
  </si>
  <si>
    <t>Specify your levers with a name and short description, use given examples or define own</t>
  </si>
  <si>
    <t>R. Andersson, H. Stripple, T. Gustafsson, C. Ljungkrantz, Carbonation as a method to improve climate performance for cement based material, Cement and Concrete Research 124 (2019)</t>
  </si>
  <si>
    <t>https://doi.org/10.1016/j.cemconres.2019.105819</t>
  </si>
  <si>
    <t>README information</t>
  </si>
  <si>
    <t>Relevance rating 
or unit</t>
  </si>
  <si>
    <t xml:space="preserve">Overwrite this entry with your own notes and text comments, </t>
  </si>
  <si>
    <t>Please reference the line index and name of section, lever and description of the specific line.</t>
  </si>
  <si>
    <t xml:space="preserve"> Use columns F, G, H as apropriate for clear attribution of your note or comment to a specific year, cell or value</t>
  </si>
  <si>
    <r>
      <t>The GCCA default value is equal to calcination process emission factor of 0.525 kg CO</t>
    </r>
    <r>
      <rPr>
        <i/>
        <vertAlign val="subscript"/>
        <sz val="10"/>
        <rFont val="Arial"/>
        <family val="2"/>
        <scheme val="minor"/>
      </rPr>
      <t>2</t>
    </r>
    <r>
      <rPr>
        <i/>
        <sz val="10"/>
        <rFont val="Arial"/>
        <family val="2"/>
        <scheme val="minor"/>
      </rPr>
      <t>/ kg clinker</t>
    </r>
  </si>
  <si>
    <t>Enter estimated amount of material in Mt used in a specific reference year or write 'x' to assign general applicability</t>
  </si>
  <si>
    <t>Estimated from GCCA CO2 protocol V3.1 default values as 0.011 kg CO2/t clinker from 0.2% of organic carbon (TOC) in raw meal</t>
  </si>
  <si>
    <r>
      <t>Specify share of coal thermal energy, coal CO</t>
    </r>
    <r>
      <rPr>
        <i/>
        <vertAlign val="subscript"/>
        <sz val="10"/>
        <rFont val="Arial"/>
        <family val="2"/>
        <scheme val="minor"/>
      </rPr>
      <t>2</t>
    </r>
    <r>
      <rPr>
        <i/>
        <sz val="10"/>
        <rFont val="Arial"/>
        <family val="2"/>
        <scheme val="minor"/>
      </rPr>
      <t xml:space="preserve"> emission factor, biomass share for fossil fuel  = 0%</t>
    </r>
  </si>
  <si>
    <r>
      <t>Specify share of petcoke thermal energy, petcoke CO</t>
    </r>
    <r>
      <rPr>
        <i/>
        <vertAlign val="subscript"/>
        <sz val="10"/>
        <rFont val="Arial"/>
        <family val="2"/>
        <scheme val="minor"/>
      </rPr>
      <t>2</t>
    </r>
    <r>
      <rPr>
        <i/>
        <sz val="10"/>
        <rFont val="Arial"/>
        <family val="2"/>
        <scheme val="minor"/>
      </rPr>
      <t xml:space="preserve"> emission factor, biomass share for fossil fuel  = 0%</t>
    </r>
  </si>
  <si>
    <r>
      <t>Specify share of natural gas thermal energy, natural gas CO</t>
    </r>
    <r>
      <rPr>
        <i/>
        <vertAlign val="subscript"/>
        <sz val="10"/>
        <rFont val="Arial"/>
        <family val="2"/>
        <scheme val="minor"/>
      </rPr>
      <t>2</t>
    </r>
    <r>
      <rPr>
        <i/>
        <sz val="10"/>
        <rFont val="Arial"/>
        <family val="2"/>
        <scheme val="minor"/>
      </rPr>
      <t xml:space="preserve"> emission factor, biomass share for fossil fuel  = 0%</t>
    </r>
  </si>
  <si>
    <r>
      <t>Assuming 100 kg CO</t>
    </r>
    <r>
      <rPr>
        <i/>
        <vertAlign val="subscript"/>
        <sz val="10"/>
        <rFont val="Arial"/>
        <family val="2"/>
        <scheme val="minor"/>
      </rPr>
      <t>2</t>
    </r>
    <r>
      <rPr>
        <i/>
        <sz val="10"/>
        <rFont val="Arial"/>
        <family val="2"/>
        <scheme val="minor"/>
      </rPr>
      <t>/GJ for biomass fuels [GCCA CSI CO</t>
    </r>
    <r>
      <rPr>
        <i/>
        <vertAlign val="subscript"/>
        <sz val="10"/>
        <rFont val="Arial"/>
        <family val="2"/>
        <scheme val="minor"/>
      </rPr>
      <t>2</t>
    </r>
    <r>
      <rPr>
        <i/>
        <sz val="10"/>
        <rFont val="Arial"/>
        <family val="2"/>
        <scheme val="minor"/>
      </rPr>
      <t xml:space="preserve"> Protocol V3.1 average between 110 and 89]</t>
    </r>
  </si>
  <si>
    <t>Enter estimated number for the reduction effect in MJ/t clinker in a specific reference year or write 'x' to assign general applicability</t>
  </si>
  <si>
    <r>
      <t>This information is collected for completion of energy demand information. It is not accounted in direct emission CO</t>
    </r>
    <r>
      <rPr>
        <i/>
        <vertAlign val="subscript"/>
        <sz val="10"/>
        <rFont val="Arial"/>
        <family val="2"/>
        <scheme val="minor"/>
      </rPr>
      <t>2</t>
    </r>
    <r>
      <rPr>
        <i/>
        <sz val="10"/>
        <rFont val="Arial"/>
        <family val="2"/>
        <scheme val="minor"/>
      </rPr>
      <t xml:space="preserve"> balance. Increasing efficiency affects indirect CO</t>
    </r>
    <r>
      <rPr>
        <i/>
        <vertAlign val="subscript"/>
        <sz val="10"/>
        <rFont val="Arial"/>
        <family val="2"/>
        <scheme val="minor"/>
      </rPr>
      <t>2</t>
    </r>
    <r>
      <rPr>
        <i/>
        <sz val="10"/>
        <rFont val="Arial"/>
        <family val="2"/>
        <scheme val="minor"/>
      </rPr>
      <t xml:space="preserve"> emissions.</t>
    </r>
  </si>
  <si>
    <t>corresponding author</t>
  </si>
  <si>
    <t xml:space="preserve">Cao, Z., Myers, R.J., Lupton, R.C. et al. The sponge effect and carbon emission mitigation potentials of the global cement cycle. Nat Commun 11, 3777 (2020). </t>
  </si>
  <si>
    <t>https://doi.org/10.1038/s41467-020-17583-w</t>
  </si>
  <si>
    <t xml:space="preserve">Enter absolute values in volumes per one year, 2020 reference is assessed based on 2018 data </t>
  </si>
  <si>
    <t>The relative numbers of society demand shall allow for growth and efficiency effects, i.e. effects of rising population, urbanisation, development etc. AND decline due to re-use of buildings, higher utilisation, etc. For your estimate you can also use additional information from sources suggested on the sheet 'Info Society demand'</t>
  </si>
  <si>
    <t>Value taken from sheet "4.1 Desing and construction". The unit for efficiency expressed as % cement saving, signficant design and construction efficiencies can be converted to a relative cement saving in %</t>
  </si>
  <si>
    <t xml:space="preserve">Value determined from cement volume (line 2.4.1) considering society demand changes and efficiency changes in design &amp; construction and concrete production </t>
  </si>
  <si>
    <t xml:space="preserve">This clincker binder factor encompasses the change in SCM use in concrete in 2030 and 2050. It is used to jointly illustrate CO2 mitigation in cement &amp; binders due to (i) changes in cement production (clinker factor) and (ii) changes in SCM use in concrete. </t>
  </si>
  <si>
    <t xml:space="preserve">Value taken from sheet "1.2 Clinker EF" reflecting the CO2 mitigation and improvement of thermal energy efficiency in the clinker production process (excl. new binders, recarbonation and CCUS). </t>
  </si>
  <si>
    <t xml:space="preserve">Value reflecting the status quo 2020 (or 2018 statistics) and 2030 and 2050 development of the efficient use of clinker in cement production. Please record the description and relevance of related technologies in the sheet "2.2  &amp; 2.4.2 Cement &amp; Binder". </t>
  </si>
  <si>
    <t>Share of use of new binders in relation to the Binder volume in concrete (line 2.1).</t>
  </si>
  <si>
    <t>The CO2 emission saving is accounted as additional saving from the application of new binder technologies relative to the efficient production of cements and binders based on clinker (as specified in section 1 and 2).</t>
  </si>
  <si>
    <t xml:space="preserve">Start the calculation with 2020 cement production volumes in four categories Readymix, Bagged Cement, Mortar and Precast. As 2020 statistics are not yet known, 2018 statistical data on cement production can be used as substitute and assuming similar production for 2020. Changes in SCM use in cement production shall be reflected in the production volume (line 2.4.1), the clinker factor (line 2.4.2) together with a brief description in the sheet "2.2 &amp; 2.4.2 Cement &amp; Binder". Future changes to SCM use in concrete production are recorded in line 2.2. </t>
  </si>
  <si>
    <t>Description of changes of SCM use in cement</t>
  </si>
  <si>
    <t>Section / SCM type</t>
  </si>
  <si>
    <t>Description of changes in SCM use</t>
  </si>
  <si>
    <t>Name SCMs for use in concrete (2.2) and cement (2.4.2) production; use lines to descibe the expected changes</t>
  </si>
  <si>
    <t>Refer to sheet 'Info Recarbonation estimate' for an easy and refined estimate according to IVL study</t>
  </si>
  <si>
    <r>
      <t>This line is for information. It provieds a rough estimate of the clinker production volume that is assumed to be equipped with CCUS technology. The value should not exceed the value clinker productin volume determined in line 1.1. In this estimate a capture efficency of 90% is assumed, accounding for some efficiency losses in the capture process itself and in the CCUS chain, e.g. direct or indirect CO2 emissions during CO</t>
    </r>
    <r>
      <rPr>
        <i/>
        <vertAlign val="subscript"/>
        <sz val="10"/>
        <color theme="1"/>
        <rFont val="Arial"/>
        <family val="2"/>
        <scheme val="minor"/>
      </rPr>
      <t>2</t>
    </r>
    <r>
      <rPr>
        <i/>
        <sz val="10"/>
        <color theme="1"/>
        <rFont val="Arial"/>
        <family val="2"/>
        <scheme val="minor"/>
      </rPr>
      <t xml:space="preserve"> processing, transport and intermediate storage.</t>
    </r>
  </si>
  <si>
    <r>
      <t>Specific average CO2</t>
    </r>
    <r>
      <rPr>
        <i/>
        <vertAlign val="subscript"/>
        <sz val="10"/>
        <color theme="1"/>
        <rFont val="Arial"/>
        <family val="2"/>
        <scheme val="minor"/>
      </rPr>
      <t xml:space="preserve"> </t>
    </r>
    <r>
      <rPr>
        <i/>
        <sz val="10"/>
        <color theme="1"/>
        <rFont val="Arial"/>
        <family val="2"/>
        <scheme val="minor"/>
      </rPr>
      <t>emission factor of new binders. If different technologies apply, determine the input from a weighted average from the application of these technologies.Note that the CO2 efficiency of cements and binders based on cement is evolving in parallel according to the assumptions made in section 1 and 2.</t>
    </r>
  </si>
  <si>
    <t>User can choose option i or ii  in column A based on extent of use of mortar</t>
  </si>
  <si>
    <t>Info for a refined estimate of Recarbonation based on choice of IVL Study Tier 1</t>
  </si>
  <si>
    <t>0.2</t>
  </si>
  <si>
    <t>0.2.1</t>
  </si>
  <si>
    <t xml:space="preserve">Define own lever and rate relevance </t>
  </si>
  <si>
    <t>Value from / to other worksheet</t>
  </si>
  <si>
    <t>0.2.2</t>
  </si>
  <si>
    <t>0.2.3</t>
  </si>
  <si>
    <t>0.2.4</t>
  </si>
  <si>
    <t>0.2.5</t>
  </si>
  <si>
    <t>Concrete efficiency gains</t>
  </si>
  <si>
    <t xml:space="preserve">Rate relevance of "Shift bagged to Ready mix" </t>
  </si>
  <si>
    <t>Estimate share of total concrete production of the 4 categories (sum = 100% per year) in 2030 and 2050, information is used in "Whole life model", line 0.2</t>
  </si>
  <si>
    <t>Total demand of binder content</t>
  </si>
  <si>
    <t>3.1.11</t>
  </si>
  <si>
    <t>README</t>
  </si>
  <si>
    <t>Volume for secondary use is known but not at end-of-life</t>
  </si>
  <si>
    <t xml:space="preserve">Default value for Recarbonation </t>
  </si>
  <si>
    <t>Reason for choosing different value</t>
  </si>
  <si>
    <t>Study used</t>
  </si>
  <si>
    <t>If you do not agree with the default value of 20 % please give own value</t>
  </si>
  <si>
    <t>Please give information on the studies used to define own value and short information on e.g. calculation method</t>
  </si>
  <si>
    <t>User can choose column E, F, G, H depending on what volumes are known</t>
  </si>
  <si>
    <t>Example</t>
  </si>
  <si>
    <t>Product life cycle partial recarbonation</t>
  </si>
  <si>
    <t xml:space="preserve">The annual CO2 uptake can be estimated as sum of a) 20% of the CO2 from calcination in the use stage, b) 2% of the emissions from calcination in the end-of life stage c) 1% of the emissions from calcination in the secondary use.
ALTERNATIVELY, if the amount of concrete processed in a recycling plant at the end-of-life stage is known, the 2% estimation for the uptake in the end-of-life stage can be replaced by 10 kg CO2/m³ concrete. Similarly, if the amount of crushed concrete entering the secondary life as an unbound material is known, the 1% estimation for the uptake in the secondary use can be replaced by 10 kg CO2/m³ concrete.
The total  of the CO2-uptake is either E23 or the sum of F22 and F23, or the sum of G22 and G23, or the sum of H22 and H23.
</t>
  </si>
  <si>
    <t>If the cement used in mortar for rendering application amounts to &gt;10% but &lt; 30% of the total cement consumption, the percentage (if known) should be entered in cell C9. The uptake in the use stage is then estimated as 20%+1,15%*(C9-10%). For the calculation of the end-of life stage and the secondary use stage the same rules as described above apply.
Consequently, according to this consideration, the total of the CO2-uptake is either E25 or the sum of F24 and F25, or the sum of G24 and G25, or the sum of H24 and H25.</t>
  </si>
  <si>
    <t>Example: in a given country, it is known that the annual amout of concrete processed in recycling plants totals 10 mio m³. The amount of concrete entering the secondary use as unbound material is not known. It is further known that 15% of the cement consumption is used in mortar for rendering applications.
Use of the spreadsheet: enter "15%" in cell C25. As the concrete volume processed in recycling plants is known, but not the amount entering the secondary life as unbound aggregates, column F should be considered. The total  annual CO2-uptake in the use, end-of-life and secondary use stages can then be calculated as 26,8% (cell F25) of the emissions from calcination  plus 10 mio m³ x 10 kg CO2/m³.</t>
  </si>
  <si>
    <t>Short description for chosen value, e.g. calculation</t>
  </si>
  <si>
    <t>Different value for Recarbonation, chosen for the region</t>
  </si>
  <si>
    <t>Example for study which can be used to define  a value different from 20 %</t>
  </si>
  <si>
    <t>Also</t>
  </si>
  <si>
    <t xml:space="preserve">Use sheet 'User_notes' for further description and additional information </t>
  </si>
  <si>
    <r>
      <t>Only CO</t>
    </r>
    <r>
      <rPr>
        <i/>
        <vertAlign val="subscript"/>
        <sz val="10"/>
        <color theme="1"/>
        <rFont val="Arial"/>
        <family val="2"/>
        <scheme val="minor"/>
      </rPr>
      <t>2</t>
    </r>
    <r>
      <rPr>
        <i/>
        <sz val="10"/>
        <color theme="1"/>
        <rFont val="Arial"/>
        <family val="2"/>
        <scheme val="minor"/>
      </rPr>
      <t xml:space="preserve"> from carbonation in the use stage is taken into account here for an conservative estimate (20% acc. to IVL study)</t>
    </r>
  </si>
  <si>
    <r>
      <t>Enter the absolute amount of CO</t>
    </r>
    <r>
      <rPr>
        <i/>
        <vertAlign val="subscript"/>
        <sz val="10"/>
        <color theme="1"/>
        <rFont val="Arial"/>
        <family val="2"/>
        <scheme val="minor"/>
      </rPr>
      <t>2</t>
    </r>
    <r>
      <rPr>
        <i/>
        <sz val="10"/>
        <color theme="1"/>
        <rFont val="Arial"/>
        <family val="2"/>
        <scheme val="minor"/>
      </rPr>
      <t xml:space="preserve"> captured and used or permanently stored in Mt CO</t>
    </r>
    <r>
      <rPr>
        <i/>
        <vertAlign val="subscript"/>
        <sz val="10"/>
        <color theme="1"/>
        <rFont val="Arial"/>
        <family val="2"/>
        <scheme val="minor"/>
      </rPr>
      <t>2</t>
    </r>
    <r>
      <rPr>
        <i/>
        <sz val="10"/>
        <color theme="1"/>
        <rFont val="Arial"/>
        <family val="2"/>
        <scheme val="minor"/>
      </rPr>
      <t>. E.g. if for 2050 the value for line 6.1 is equal to line 5.3, the calculation results in no residual CO2 emissions or carbon neutrality in line 6.3.</t>
    </r>
  </si>
  <si>
    <r>
      <t>Enter the estimated amount of CO</t>
    </r>
    <r>
      <rPr>
        <i/>
        <vertAlign val="subscript"/>
        <sz val="10"/>
        <color theme="1"/>
        <rFont val="Arial"/>
        <family val="2"/>
        <scheme val="minor"/>
      </rPr>
      <t>2</t>
    </r>
    <r>
      <rPr>
        <i/>
        <sz val="10"/>
        <color theme="1"/>
        <rFont val="Arial"/>
        <family val="2"/>
        <scheme val="minor"/>
      </rPr>
      <t xml:space="preserve"> uptake by enhanced carbonation during concrete and aggregate production as additional information for the GCCA roadmap.</t>
    </r>
  </si>
  <si>
    <t>Summarize the integrated effect in line 3.1.10</t>
  </si>
  <si>
    <t>Summarize the integrated effect in line 0.2.5</t>
  </si>
  <si>
    <t>Summarize the integrated effect in line 4.1.3.4</t>
  </si>
  <si>
    <t>Summarize the integrated effect in line 4.1.9.4</t>
  </si>
  <si>
    <t>1.2.2.11</t>
  </si>
  <si>
    <t>1.2.2.12</t>
  </si>
  <si>
    <t>other remaining fuels</t>
  </si>
  <si>
    <t>1.2.2.13</t>
  </si>
  <si>
    <t>Cement &amp; Binder, including change of SCMs in concrete</t>
  </si>
  <si>
    <r>
      <t>CO</t>
    </r>
    <r>
      <rPr>
        <b/>
        <vertAlign val="subscript"/>
        <sz val="10"/>
        <color theme="1"/>
        <rFont val="Arial"/>
        <family val="2"/>
        <scheme val="minor"/>
      </rPr>
      <t>2</t>
    </r>
    <r>
      <rPr>
        <b/>
        <sz val="12"/>
        <color theme="1"/>
        <rFont val="Arial"/>
        <family val="2"/>
        <scheme val="minor"/>
      </rPr>
      <t xml:space="preserve"> emissions</t>
    </r>
  </si>
  <si>
    <t>Space for any additional side calculation by the user</t>
  </si>
  <si>
    <t>Referring to</t>
  </si>
  <si>
    <t>Add your side calculations here</t>
  </si>
  <si>
    <t>Please, add your specific sources of information for the calculation as references, e.g. statistical data, reports and publications as appropriate.</t>
  </si>
  <si>
    <r>
      <t>Specify share of fossil waste thermal energy, waste CO</t>
    </r>
    <r>
      <rPr>
        <i/>
        <vertAlign val="subscript"/>
        <sz val="10"/>
        <rFont val="Arial"/>
        <family val="2"/>
        <scheme val="minor"/>
      </rPr>
      <t>2</t>
    </r>
    <r>
      <rPr>
        <i/>
        <sz val="10"/>
        <rFont val="Arial"/>
        <family val="2"/>
        <scheme val="minor"/>
      </rPr>
      <t xml:space="preserve"> emission factor. Note: The average biomass share of waste  used as fuel should be assessed. The fossil fraction will then become part of line 1.2.2.4, while the biogenic fraction according to the biogenic carbon content shall be added to 1.2.2.5 (according to the biogenic carbon content, which often averages between 0% and 30%). </t>
    </r>
  </si>
  <si>
    <t>The use of supplementary cementitious materials (SCM) in concrete production is recorded in Mt of SCM. Note that the use of SCM in cement production is already reflected by changes in the clinker factor (line 2.4.2) and can be descirbed in the corresponding extra sheet.</t>
  </si>
  <si>
    <t>Re-use of concrete elements</t>
  </si>
  <si>
    <t>Savings per use of concrete types in %</t>
  </si>
  <si>
    <t>Estimate total reduction of binder content  in 2030 and 2050</t>
  </si>
  <si>
    <t>Value taken from sheet "3.1 Concrete production". The unit for efficiency expressed as % cement saving, signficant efficiency gains in concrete production and shift between product categories can be converted to a relative cement saving in %</t>
  </si>
  <si>
    <t xml:space="preserve">Value taken from sheet "0.2 Share of concrete". </t>
  </si>
  <si>
    <t>Give information on binder saving in % of concrete in the 4 categories for 2030 and 2050 compared to 2020 by taking into account the cummualted savings of levers described above, GCCA expert opinion in column T may assist</t>
  </si>
  <si>
    <t>Rate relevance of "admixtures use" for lowering binder demand of concrete in the 4 different categories  in 2030 and 2050</t>
  </si>
  <si>
    <t>Rate relevance of "aggregates optimisation" for lowering binder demand of concrete in the 4 different categories in 2030 and 2050</t>
  </si>
  <si>
    <t>Rate relevance of "quality control" for lowering binder demand of concrete in the 4 different categories  in 2030 and 2050</t>
  </si>
  <si>
    <t>Rate relevance of "waste reduction" for lowering binder demand of concrete in the 4 different categories  in 2030 and 2050</t>
  </si>
  <si>
    <t>Define own lever and rate relevance for lowering binder demand of concrete in the 4 different categories  in 2030 and 2050</t>
  </si>
  <si>
    <t>Define own lever and rate relevance for lowering binder demand of concrete in the 4 different categories in 2030 and 2050</t>
  </si>
  <si>
    <t>4.1.8.1</t>
  </si>
  <si>
    <t>4.1.8.2</t>
  </si>
  <si>
    <t>4.1.8.3</t>
  </si>
  <si>
    <t>4.1.8.4</t>
  </si>
  <si>
    <t>Estimate total savings of levers per category in 4.1.3.4,  4.1.7,  4.1.8.4,  4.1.9.4 , take account of fact that some levers cannot be applied simultaneously or do not add up</t>
  </si>
  <si>
    <t>Summarize the integrated effect in line 4.1.7</t>
  </si>
  <si>
    <t>Summarize the integrated effect in line 4.1.8.4</t>
  </si>
  <si>
    <t xml:space="preserve">Asia (incl. Japan, S.Korea, SE Asia, Oceania, excl. China and India) </t>
  </si>
  <si>
    <t>Europe (Cembureau, ERMCO, BIBM)</t>
  </si>
  <si>
    <t>Market segments</t>
  </si>
  <si>
    <t>Date</t>
  </si>
  <si>
    <t>Version</t>
  </si>
  <si>
    <t>100</t>
  </si>
  <si>
    <t>First version used in regional workshops</t>
  </si>
  <si>
    <t>Minor amendments and corrections</t>
  </si>
  <si>
    <t>Author</t>
  </si>
  <si>
    <t>ECRA</t>
  </si>
  <si>
    <t>GCCA agreed version for 1st round of workshops</t>
  </si>
  <si>
    <t>v</t>
  </si>
  <si>
    <t xml:space="preserve">Electrical energy demand </t>
  </si>
  <si>
    <t>kWh/t cement</t>
  </si>
  <si>
    <t>1.2.5.1</t>
  </si>
  <si>
    <t>1.2.5.2</t>
  </si>
  <si>
    <t>Electrical energy production from waste heat recovery</t>
  </si>
  <si>
    <r>
      <t>This information is collected for completion of energy demand information. It is not accounted in direct emission CO</t>
    </r>
    <r>
      <rPr>
        <i/>
        <vertAlign val="subscript"/>
        <sz val="10"/>
        <rFont val="Arial"/>
        <family val="2"/>
        <scheme val="minor"/>
      </rPr>
      <t>2</t>
    </r>
    <r>
      <rPr>
        <i/>
        <sz val="10"/>
        <rFont val="Arial"/>
        <family val="2"/>
        <scheme val="minor"/>
      </rPr>
      <t xml:space="preserve"> balance. Availability of electrical energy from WHR affects indirect CO</t>
    </r>
    <r>
      <rPr>
        <i/>
        <vertAlign val="subscript"/>
        <sz val="10"/>
        <rFont val="Arial"/>
        <family val="2"/>
        <scheme val="minor"/>
      </rPr>
      <t>2</t>
    </r>
    <r>
      <rPr>
        <i/>
        <sz val="10"/>
        <rFont val="Arial"/>
        <family val="2"/>
        <scheme val="minor"/>
      </rPr>
      <t xml:space="preserve"> emissions.</t>
    </r>
  </si>
  <si>
    <t>Acount for continued imporvement of specific thermal energy demand of clinker production, the value should reflect the anual basis of clinker production including heating up, kiln stoppages and times with less then 100% capacity operation
The thermal energy should encompass all kiln fuels including fuels for drying of raw materials and fuels.</t>
  </si>
  <si>
    <r>
      <t>Total electrical energy use for clinker an cement production 
(for info regarding indirect CO</t>
    </r>
    <r>
      <rPr>
        <vertAlign val="subscript"/>
        <sz val="10"/>
        <rFont val="Arial"/>
        <family val="2"/>
        <scheme val="minor"/>
      </rPr>
      <t>2</t>
    </r>
    <r>
      <rPr>
        <sz val="10"/>
        <rFont val="Arial"/>
        <family val="2"/>
        <scheme val="minor"/>
      </rPr>
      <t xml:space="preserve"> emissions)</t>
    </r>
  </si>
  <si>
    <t>Amendments, corrections</t>
  </si>
  <si>
    <t>Europe</t>
  </si>
  <si>
    <t>North America</t>
  </si>
  <si>
    <t>India</t>
  </si>
  <si>
    <t>China</t>
  </si>
  <si>
    <t>Africa</t>
  </si>
  <si>
    <t>CIS</t>
  </si>
  <si>
    <t>Cembureau (EU28)</t>
  </si>
  <si>
    <t>USA</t>
  </si>
  <si>
    <t>FICEM</t>
  </si>
  <si>
    <t>Bahrain</t>
  </si>
  <si>
    <t>Algeria</t>
  </si>
  <si>
    <t>Afghanistan</t>
  </si>
  <si>
    <t>Armenia</t>
  </si>
  <si>
    <t>Austria</t>
  </si>
  <si>
    <t>Canada</t>
  </si>
  <si>
    <t>Argentina</t>
  </si>
  <si>
    <t>Irak</t>
  </si>
  <si>
    <t>Angola</t>
  </si>
  <si>
    <t>Bangladesh</t>
  </si>
  <si>
    <t>Azerbaijan</t>
  </si>
  <si>
    <t>Belgium</t>
  </si>
  <si>
    <t>Barbados</t>
  </si>
  <si>
    <t>Iran</t>
  </si>
  <si>
    <t>Benin</t>
  </si>
  <si>
    <t>Bhutan</t>
  </si>
  <si>
    <t>Belarus</t>
  </si>
  <si>
    <t>Bulgaria</t>
  </si>
  <si>
    <t>Brazil</t>
  </si>
  <si>
    <t>Israel</t>
  </si>
  <si>
    <t>Botswana</t>
  </si>
  <si>
    <t>Brunei</t>
  </si>
  <si>
    <t>Kazakhstan</t>
  </si>
  <si>
    <t>Croatia</t>
  </si>
  <si>
    <t>Bolivia</t>
  </si>
  <si>
    <t>Jordan</t>
  </si>
  <si>
    <t>Burkina Faso</t>
  </si>
  <si>
    <t>Cambodia</t>
  </si>
  <si>
    <t>Kyrgyzstan</t>
  </si>
  <si>
    <t>Czech Republic</t>
  </si>
  <si>
    <t>Chile</t>
  </si>
  <si>
    <t>Kuwait</t>
  </si>
  <si>
    <t>Burundi</t>
  </si>
  <si>
    <t>Indonesia</t>
  </si>
  <si>
    <t>Moldova</t>
  </si>
  <si>
    <t>Denmark</t>
  </si>
  <si>
    <t>Colombia</t>
  </si>
  <si>
    <t>Lebanon</t>
  </si>
  <si>
    <t>Cabo Verde</t>
  </si>
  <si>
    <t>Japan</t>
  </si>
  <si>
    <t>Russia</t>
  </si>
  <si>
    <t>Estonia</t>
  </si>
  <si>
    <t>Costa Rica</t>
  </si>
  <si>
    <t>Oman</t>
  </si>
  <si>
    <t>Cameroon</t>
  </si>
  <si>
    <t>Laos</t>
  </si>
  <si>
    <t>Tajikistan</t>
  </si>
  <si>
    <t>Finland</t>
  </si>
  <si>
    <t>Cuba</t>
  </si>
  <si>
    <t>Palestine</t>
  </si>
  <si>
    <t>Central African Republic (CAR)</t>
  </si>
  <si>
    <t>Malaysia</t>
  </si>
  <si>
    <t>Turkmenistan</t>
  </si>
  <si>
    <t>France</t>
  </si>
  <si>
    <t>Ecuador</t>
  </si>
  <si>
    <t>Qatar</t>
  </si>
  <si>
    <t>Chad</t>
  </si>
  <si>
    <t>Maldives</t>
  </si>
  <si>
    <t>Uzbekistan</t>
  </si>
  <si>
    <t>Germany</t>
  </si>
  <si>
    <t>El salvador</t>
  </si>
  <si>
    <t>Saudi Arabia</t>
  </si>
  <si>
    <t>Comoros</t>
  </si>
  <si>
    <t>Mongolia</t>
  </si>
  <si>
    <t>Ukraine</t>
  </si>
  <si>
    <t>Greece</t>
  </si>
  <si>
    <t>Guatemala</t>
  </si>
  <si>
    <t>Syria</t>
  </si>
  <si>
    <t>Congo, Democratic Republic of the</t>
  </si>
  <si>
    <t>Myanmar</t>
  </si>
  <si>
    <t>Hungary</t>
  </si>
  <si>
    <t>Guateloupe</t>
  </si>
  <si>
    <t>United Arab Emirates</t>
  </si>
  <si>
    <t>Congo, Republic of the</t>
  </si>
  <si>
    <t>Nepal</t>
  </si>
  <si>
    <t>Ireland</t>
  </si>
  <si>
    <t>Martinique</t>
  </si>
  <si>
    <t>Yemen</t>
  </si>
  <si>
    <t>Cote d'Ivoire</t>
  </si>
  <si>
    <t>North Korea</t>
  </si>
  <si>
    <t>Italy</t>
  </si>
  <si>
    <t>French Guiana</t>
  </si>
  <si>
    <t>Djibouti</t>
  </si>
  <si>
    <t>Pakistan</t>
  </si>
  <si>
    <t>Latvia</t>
  </si>
  <si>
    <t>Haiti</t>
  </si>
  <si>
    <t>Egypt</t>
  </si>
  <si>
    <t>Philippines</t>
  </si>
  <si>
    <t>Lithuania</t>
  </si>
  <si>
    <t>Honduras</t>
  </si>
  <si>
    <t>Equatorial Guinea</t>
  </si>
  <si>
    <t>Singapore</t>
  </si>
  <si>
    <t>Luxembourg</t>
  </si>
  <si>
    <t>Jamaica</t>
  </si>
  <si>
    <t>Eritrea</t>
  </si>
  <si>
    <t>South Korea</t>
  </si>
  <si>
    <t>Netherlands</t>
  </si>
  <si>
    <t>Mexico</t>
  </si>
  <si>
    <t>Eswatini</t>
  </si>
  <si>
    <t>Sri Lanka</t>
  </si>
  <si>
    <t>Norway</t>
  </si>
  <si>
    <t>Nicaragua</t>
  </si>
  <si>
    <t>Ethiopia</t>
  </si>
  <si>
    <t>Taiwan</t>
  </si>
  <si>
    <t>Poland</t>
  </si>
  <si>
    <t>Panama</t>
  </si>
  <si>
    <t>Gabon</t>
  </si>
  <si>
    <t>Thailand</t>
  </si>
  <si>
    <t>Romania</t>
  </si>
  <si>
    <t>Paraguay</t>
  </si>
  <si>
    <t>Gambia</t>
  </si>
  <si>
    <t>Timor-Leste</t>
  </si>
  <si>
    <t>Serbia</t>
  </si>
  <si>
    <t>Peru</t>
  </si>
  <si>
    <t>Ghana</t>
  </si>
  <si>
    <t>Vietnam</t>
  </si>
  <si>
    <t>Slovenia</t>
  </si>
  <si>
    <t>Puerto Rico</t>
  </si>
  <si>
    <t>Guinea</t>
  </si>
  <si>
    <t>Oceania</t>
  </si>
  <si>
    <t>Spain</t>
  </si>
  <si>
    <t>Dominican Republic</t>
  </si>
  <si>
    <t>Guinea-Bissau</t>
  </si>
  <si>
    <t>Australia</t>
  </si>
  <si>
    <t>Sweden</t>
  </si>
  <si>
    <t>Suriname</t>
  </si>
  <si>
    <t>Kenya</t>
  </si>
  <si>
    <t>Fiji</t>
  </si>
  <si>
    <t>Switzerland</t>
  </si>
  <si>
    <t>Trinidad &amp; Tobago</t>
  </si>
  <si>
    <t>Lesotho</t>
  </si>
  <si>
    <t>Kiribati</t>
  </si>
  <si>
    <t>Turkey</t>
  </si>
  <si>
    <t>Urugay</t>
  </si>
  <si>
    <t>Liberia</t>
  </si>
  <si>
    <t>Marshall Islands</t>
  </si>
  <si>
    <t>United Kingdom</t>
  </si>
  <si>
    <t>Venezuela</t>
  </si>
  <si>
    <t>Libya</t>
  </si>
  <si>
    <t>Micronesia Federation</t>
  </si>
  <si>
    <t>rest of Europe</t>
  </si>
  <si>
    <t>Rest of Latin America</t>
  </si>
  <si>
    <t>Madagascar</t>
  </si>
  <si>
    <t>Nauru</t>
  </si>
  <si>
    <t>Iceland</t>
  </si>
  <si>
    <t>Belize</t>
  </si>
  <si>
    <t>Malawi</t>
  </si>
  <si>
    <t>New Zealand</t>
  </si>
  <si>
    <t>Albania</t>
  </si>
  <si>
    <t>Guyana</t>
  </si>
  <si>
    <t>Mali</t>
  </si>
  <si>
    <t>Palau</t>
  </si>
  <si>
    <t>Andorra</t>
  </si>
  <si>
    <t>Saint-Barthélemy</t>
  </si>
  <si>
    <t>Mauritania</t>
  </si>
  <si>
    <t>Papua New Guinea</t>
  </si>
  <si>
    <t>Bosnia and Herzegovina</t>
  </si>
  <si>
    <t>Saint-Martin</t>
  </si>
  <si>
    <t>Mauritius</t>
  </si>
  <si>
    <t>Samoa</t>
  </si>
  <si>
    <t>Georgia</t>
  </si>
  <si>
    <t>Morocco</t>
  </si>
  <si>
    <t>Solomon Islands</t>
  </si>
  <si>
    <t>Kosovo</t>
  </si>
  <si>
    <t>Mozambique</t>
  </si>
  <si>
    <t>Tonga</t>
  </si>
  <si>
    <t>Liechtenstein</t>
  </si>
  <si>
    <t>Namibia</t>
  </si>
  <si>
    <t>Tuvalu</t>
  </si>
  <si>
    <t>Macedonia</t>
  </si>
  <si>
    <t>Niger</t>
  </si>
  <si>
    <t>Vanuatu</t>
  </si>
  <si>
    <t>Malta</t>
  </si>
  <si>
    <t>Nigeria</t>
  </si>
  <si>
    <t>Monaco</t>
  </si>
  <si>
    <t>Rwanda</t>
  </si>
  <si>
    <t>Montenegro</t>
  </si>
  <si>
    <t>Sao Tome and Principe</t>
  </si>
  <si>
    <t>San Marino</t>
  </si>
  <si>
    <t>Senegal</t>
  </si>
  <si>
    <t>Slovakia</t>
  </si>
  <si>
    <t>Seychelles</t>
  </si>
  <si>
    <t>Vatican City</t>
  </si>
  <si>
    <t>Sierra Leone</t>
  </si>
  <si>
    <t>Cyprus</t>
  </si>
  <si>
    <t>Somalia</t>
  </si>
  <si>
    <t>South Africa</t>
  </si>
  <si>
    <t>South Sudan</t>
  </si>
  <si>
    <t>Sudan</t>
  </si>
  <si>
    <t>Tanzania</t>
  </si>
  <si>
    <t>Togo</t>
  </si>
  <si>
    <t>Tunisia</t>
  </si>
  <si>
    <t>Uganda</t>
  </si>
  <si>
    <t>Zambia</t>
  </si>
  <si>
    <t>Zimbabwe</t>
  </si>
  <si>
    <t>Rest of Europe represents 3,5% of all Europe population</t>
  </si>
  <si>
    <t>Central + South America (Ficem)</t>
  </si>
  <si>
    <t>Central + South America</t>
  </si>
  <si>
    <t>Selection must be made only once on the sheet 'Whole life model'</t>
  </si>
  <si>
    <r>
      <t xml:space="preserve">Asia </t>
    </r>
    <r>
      <rPr>
        <sz val="11"/>
        <color theme="1"/>
        <rFont val="Arial"/>
        <family val="2"/>
        <scheme val="minor"/>
      </rPr>
      <t>(excl. China and India)</t>
    </r>
  </si>
  <si>
    <t>(Concrete or mortar from) Bagged Cement</t>
  </si>
  <si>
    <t>Imported clinker</t>
  </si>
  <si>
    <t>Mt clinker</t>
  </si>
  <si>
    <t>1.2.3.9</t>
  </si>
  <si>
    <t>1.2.3.10</t>
  </si>
  <si>
    <t>1.2.3.11</t>
  </si>
  <si>
    <t>1.2.3.12</t>
  </si>
  <si>
    <r>
      <t>Clinker CO</t>
    </r>
    <r>
      <rPr>
        <vertAlign val="subscript"/>
        <sz val="10"/>
        <rFont val="Arial"/>
        <family val="2"/>
        <scheme val="minor"/>
      </rPr>
      <t>2</t>
    </r>
    <r>
      <rPr>
        <sz val="10"/>
        <rFont val="Arial"/>
        <family val="2"/>
        <scheme val="minor"/>
      </rPr>
      <t xml:space="preserve"> emission factor (direct CO</t>
    </r>
    <r>
      <rPr>
        <vertAlign val="subscript"/>
        <sz val="10"/>
        <rFont val="Arial"/>
        <family val="2"/>
        <scheme val="minor"/>
      </rPr>
      <t>2</t>
    </r>
    <r>
      <rPr>
        <sz val="10"/>
        <rFont val="Arial"/>
        <family val="2"/>
        <scheme val="minor"/>
      </rPr>
      <t xml:space="preserve"> emissions regional clinker production)</t>
    </r>
  </si>
  <si>
    <t>Share of imported clinker in reference to total clinker usage</t>
  </si>
  <si>
    <r>
      <t>Imported clinker CO</t>
    </r>
    <r>
      <rPr>
        <vertAlign val="subscript"/>
        <sz val="10"/>
        <rFont val="Arial"/>
        <family val="2"/>
        <scheme val="minor"/>
      </rPr>
      <t>2</t>
    </r>
    <r>
      <rPr>
        <sz val="10"/>
        <rFont val="Arial"/>
        <family val="2"/>
        <scheme val="minor"/>
      </rPr>
      <t xml:space="preserve"> emission factor</t>
    </r>
  </si>
  <si>
    <t>Minor amendment of info on electricity from waste heat recovery at the bottom of sheet 1.2, minor correction of unit references in sheet 4.1 and 1.2, clarification on heat consumption for 1.2 clinker EF, Info sheets on Regions Countries (Central + South America incl. Brazil) and on Template versions, line reference in lin 1.4.1 corrected, amended column heading "(Concrete or mortar from) Bagged Cement", line 3.1.5 described as "Less cement wastaed through shift from bagged cement to readymix or precast", Amendment of lines 1.2.3.9. to 1.2.3.12 for imported clinker CO2 emission factor calculated with GCCA Cement CO2 and Energy Protocol default emission factor of 0,865 kg CO2/kg clinker</t>
  </si>
  <si>
    <t>Default emission factor for clinker import according to GCCA Cement CO2 and Energy Protocol line 49b for 2020. Future values can be adjusted according to assumption or requirement.</t>
  </si>
  <si>
    <t>Version 103, 17.12.2020, ECRA</t>
  </si>
  <si>
    <t>Information for estimates on future society demand from public sources</t>
  </si>
  <si>
    <t xml:space="preserve">It is recommended IEA data is used.  IEA regional data groups Asia, Africa &amp; Latin America as rest of World.   </t>
  </si>
  <si>
    <t>Explanation of IEA data, and derivation from Rest of World into regions, is provided below.</t>
  </si>
  <si>
    <t>Cement tonnage by region.  Proxy for societal demand for construction ( assumption of no material subsitution ).  (IEA SDS scenario*)</t>
  </si>
  <si>
    <t>IEA*</t>
  </si>
  <si>
    <t>CIS**</t>
  </si>
  <si>
    <t>Asia**</t>
  </si>
  <si>
    <t>Africa**</t>
  </si>
  <si>
    <t>Latin America**</t>
  </si>
  <si>
    <t>World</t>
  </si>
  <si>
    <t>** derived from "Rest of World" as explained below</t>
  </si>
  <si>
    <t>*IEA values provided in personal commuication were for IEA STEPS scenario (i.e. inclusive of 26% reduction due to material efficiency in 2070). To back calculate SDS scenario, this reduction has been removed based on linear reduction over time ( i.e. 5,2% is applied in 2030 and 15,6% in 2050 ).</t>
  </si>
  <si>
    <t>**For China, India, Middle East, Europe and North America values are estimated by IEA. For the other regions, IEA stated them as 'rest of the world'. To obtain specific values for Asia, Africa, CIS and Latin America, values from Cao et al. for these regions constituting the equivalent of 'rest of the world' in IEA were added together and a ratio of each region can be found. This ratio of Cao et al. is finally used on IEA values and values for each region is obtained. It is be noted that IEA values provided were for IEA STEPS scenario (i.e. inclusive of 26% reduction due to material efficiency in 2070) and to back caclulate SDS scenario regional data, this reduction has been removed using linear potential reduction ( i.e. 5,2% is applied in 2030 and 15,6% in 2050 )."</t>
  </si>
  <si>
    <t xml:space="preserve">IEA : IEA regional breakdown data provided in personal communication on November 24th following IEA presentation of ETP 2020 report. Published ETP report does not include regional breakdown  </t>
  </si>
  <si>
    <t>Cao et al.</t>
  </si>
  <si>
    <t>CIS*</t>
  </si>
  <si>
    <t>Asia*</t>
  </si>
  <si>
    <t>Africa*</t>
  </si>
  <si>
    <t>Latin America*</t>
  </si>
  <si>
    <t>Reat of World</t>
  </si>
  <si>
    <t xml:space="preserve">The Cao et al graphs for those regions that IEA group as " rest of world" are provided so that GCCA groups have more information to base their own estimates on. </t>
  </si>
  <si>
    <t>NOTE - Any numerical information from the graphs should be the graphs should be multiplied up to remove the 17% material efficiency embedded within them. ( linear interpolation to be applied 17% by 2100)</t>
  </si>
  <si>
    <t>NOTE - graph from IEA can be seen below</t>
  </si>
  <si>
    <t xml:space="preserve">NOTE - Any numerical information derived from the IEA graphs below should should be multiplied by up to 26% depending on year to obtain SDS scenario - proxy for society construction demand. (linear interpolation to be applied for intervening years). </t>
  </si>
  <si>
    <r>
      <rPr>
        <b/>
        <sz val="11"/>
        <color rgb="FF000000"/>
        <rFont val="Arial"/>
        <family val="2"/>
        <scheme val="minor"/>
      </rPr>
      <t>Cao et al. values in the table above</t>
    </r>
    <r>
      <rPr>
        <sz val="11"/>
        <color rgb="FF000000"/>
        <rFont val="Arial"/>
        <family val="2"/>
        <scheme val="minor"/>
      </rPr>
      <t xml:space="preserve">: "The scenario (of 9 scenarios ) that is used is "low-moderate scenario" which was selected because it most closely reflected with IEA prediction for worlwide cement production in 2050. (Note that Cao et al chose, following consideration of literature, that a 17% reduction would occur due to material efficiency by </t>
    </r>
    <r>
      <rPr>
        <sz val="11"/>
        <rFont val="Arial"/>
        <family val="2"/>
        <scheme val="minor"/>
      </rPr>
      <t>2100 (material efficiency largely reflected efficiency in</t>
    </r>
    <r>
      <rPr>
        <sz val="11"/>
        <color rgb="FFFF0000"/>
        <rFont val="Arial"/>
        <family val="2"/>
        <scheme val="minor"/>
      </rPr>
      <t xml:space="preserve"> </t>
    </r>
    <r>
      <rPr>
        <sz val="11"/>
        <color rgb="FF000000"/>
        <rFont val="Arial"/>
        <family val="2"/>
        <scheme val="minor"/>
      </rPr>
      <t xml:space="preserve">concrete production and design and construction stages). It is assumed a linear potential reduction from material so a 2% is applied in 2030 and a 6,5% in 2050. Given that the GCCA roadmap model requires societal demand for construction excluding efficiencies measures, the value from Cao et al were multiplied by 100/98 for 2030 and 93,5/100 for 2050 to obtain the table below. "  Whilst expressed in tonnes of cement, the percentage change is a proxy for societal demand , given that the efficiency factor has been removed.  </t>
    </r>
  </si>
  <si>
    <t>101 &amp; 102</t>
  </si>
  <si>
    <t>103</t>
  </si>
  <si>
    <t>03.12.2020, 7.12.2020</t>
  </si>
  <si>
    <t>Amendment of Info Society demand</t>
  </si>
  <si>
    <t>Share of calcined clay in binder volume</t>
  </si>
  <si>
    <t>Volume of calcined clay [Mt]</t>
  </si>
  <si>
    <t>Hydrogen</t>
  </si>
  <si>
    <t>Direct emissions</t>
  </si>
  <si>
    <t>Indirect emissions</t>
  </si>
  <si>
    <r>
      <t>Direct CO</t>
    </r>
    <r>
      <rPr>
        <vertAlign val="subscript"/>
        <sz val="12"/>
        <rFont val="Arial Narrow"/>
        <family val="2"/>
      </rPr>
      <t>2</t>
    </r>
    <r>
      <rPr>
        <sz val="12"/>
        <rFont val="Arial Narrow"/>
        <family val="2"/>
      </rPr>
      <t xml:space="preserve"> emissions (Mt CO</t>
    </r>
    <r>
      <rPr>
        <vertAlign val="subscript"/>
        <sz val="12"/>
        <rFont val="Arial Narrow"/>
        <family val="2"/>
      </rPr>
      <t>2</t>
    </r>
    <r>
      <rPr>
        <sz val="12"/>
        <rFont val="Arial Narrow"/>
        <family val="2"/>
      </rPr>
      <t>)</t>
    </r>
  </si>
  <si>
    <r>
      <t>Indirect CO2 emissions (Mt CO</t>
    </r>
    <r>
      <rPr>
        <vertAlign val="subscript"/>
        <sz val="12"/>
        <rFont val="Arial Narrow"/>
        <family val="2"/>
      </rPr>
      <t>2</t>
    </r>
    <r>
      <rPr>
        <sz val="12"/>
        <rFont val="Arial Narrow"/>
        <family val="2"/>
      </rPr>
      <t>)</t>
    </r>
  </si>
  <si>
    <t>Societal demand</t>
  </si>
  <si>
    <t>CO2 emission with additional decarbonisation of electricity mix</t>
  </si>
  <si>
    <t>Mt CO2</t>
  </si>
  <si>
    <t>Electricity</t>
  </si>
  <si>
    <t>CO2 emission with additional deduction of emissions from fossil waste fuels</t>
  </si>
  <si>
    <t>Fossil waste fuels</t>
  </si>
  <si>
    <r>
      <t>CO</t>
    </r>
    <r>
      <rPr>
        <vertAlign val="subscript"/>
        <sz val="10"/>
        <color theme="1"/>
        <rFont val="Arial"/>
        <family val="2"/>
        <scheme val="minor"/>
      </rPr>
      <t>2</t>
    </r>
    <r>
      <rPr>
        <sz val="10"/>
        <color theme="1"/>
        <rFont val="Arial"/>
        <family val="2"/>
        <scheme val="minor"/>
      </rPr>
      <t xml:space="preserve"> emission change by decarbonisation electricity</t>
    </r>
  </si>
  <si>
    <r>
      <t>CO</t>
    </r>
    <r>
      <rPr>
        <vertAlign val="subscript"/>
        <sz val="10"/>
        <color theme="1"/>
        <rFont val="Arial"/>
        <family val="2"/>
        <scheme val="minor"/>
      </rPr>
      <t>2</t>
    </r>
    <r>
      <rPr>
        <sz val="10"/>
        <color theme="1"/>
        <rFont val="Arial"/>
        <family val="2"/>
        <scheme val="minor"/>
      </rPr>
      <t xml:space="preserve"> emission change by deduction of emissions from fossil waste fuels</t>
    </r>
  </si>
  <si>
    <r>
      <t xml:space="preserve">Product life cycle partial recarbonation according to IVL study </t>
    </r>
    <r>
      <rPr>
        <sz val="10"/>
        <color theme="1"/>
        <rFont val="Arial Narrow"/>
        <family val="2"/>
      </rPr>
      <t>(conservative estimate in relation to process emissions)</t>
    </r>
  </si>
  <si>
    <r>
      <t>CO</t>
    </r>
    <r>
      <rPr>
        <vertAlign val="subscript"/>
        <sz val="10"/>
        <color theme="1"/>
        <rFont val="Arial"/>
        <family val="2"/>
        <scheme val="minor"/>
      </rPr>
      <t>2</t>
    </r>
    <r>
      <rPr>
        <sz val="10"/>
        <color theme="1"/>
        <rFont val="Arial"/>
        <family val="2"/>
        <scheme val="minor"/>
      </rPr>
      <t xml:space="preserve"> emissions (incl. clay calcination) [Mt CO</t>
    </r>
    <r>
      <rPr>
        <vertAlign val="subscript"/>
        <sz val="10"/>
        <color theme="1"/>
        <rFont val="Arial"/>
        <family val="2"/>
        <scheme val="minor"/>
      </rPr>
      <t>2</t>
    </r>
    <r>
      <rPr>
        <sz val="10"/>
        <color theme="1"/>
        <rFont val="Arial"/>
        <family val="2"/>
        <scheme val="minor"/>
      </rPr>
      <t>]</t>
    </r>
  </si>
  <si>
    <r>
      <t>Volume of mortar, screed, others [Bn m</t>
    </r>
    <r>
      <rPr>
        <vertAlign val="superscript"/>
        <sz val="10"/>
        <color theme="1"/>
        <rFont val="Arial"/>
        <family val="2"/>
        <scheme val="minor"/>
      </rPr>
      <t>3</t>
    </r>
    <r>
      <rPr>
        <sz val="10"/>
        <color theme="1"/>
        <rFont val="Arial"/>
        <family val="2"/>
        <scheme val="minor"/>
      </rPr>
      <t>]</t>
    </r>
  </si>
  <si>
    <r>
      <t>Volume of precast concrete [Bn m</t>
    </r>
    <r>
      <rPr>
        <vertAlign val="superscript"/>
        <sz val="10"/>
        <color theme="1"/>
        <rFont val="Arial"/>
        <family val="2"/>
        <scheme val="minor"/>
      </rPr>
      <t>3</t>
    </r>
    <r>
      <rPr>
        <sz val="10"/>
        <color theme="1"/>
        <rFont val="Arial"/>
        <family val="2"/>
        <scheme val="minor"/>
      </rPr>
      <t>]</t>
    </r>
  </si>
  <si>
    <r>
      <t>Volume of RMX + precast concrete [Bn m</t>
    </r>
    <r>
      <rPr>
        <vertAlign val="superscript"/>
        <sz val="10"/>
        <color theme="1"/>
        <rFont val="Arial"/>
        <family val="2"/>
        <scheme val="minor"/>
      </rPr>
      <t>3</t>
    </r>
    <r>
      <rPr>
        <sz val="10"/>
        <color theme="1"/>
        <rFont val="Arial"/>
        <family val="2"/>
        <scheme val="minor"/>
      </rPr>
      <t>]</t>
    </r>
  </si>
  <si>
    <r>
      <t>Emission factor of calcined clay  [kg CO</t>
    </r>
    <r>
      <rPr>
        <vertAlign val="subscript"/>
        <sz val="10"/>
        <color theme="1"/>
        <rFont val="Arial"/>
        <family val="2"/>
        <scheme val="minor"/>
      </rPr>
      <t>2</t>
    </r>
    <r>
      <rPr>
        <sz val="10"/>
        <color theme="1"/>
        <rFont val="Arial"/>
        <family val="2"/>
        <scheme val="minor"/>
      </rPr>
      <t>/kg calc. clay]</t>
    </r>
  </si>
  <si>
    <r>
      <t>Emissions from clay calcination [Mt CO</t>
    </r>
    <r>
      <rPr>
        <vertAlign val="subscript"/>
        <sz val="10"/>
        <color theme="1"/>
        <rFont val="Arial"/>
        <family val="2"/>
        <scheme val="minor"/>
      </rPr>
      <t>2</t>
    </r>
    <r>
      <rPr>
        <sz val="10"/>
        <color theme="1"/>
        <rFont val="Arial"/>
        <family val="2"/>
        <scheme val="minor"/>
      </rPr>
      <t>]</t>
    </r>
  </si>
  <si>
    <t>(Concrete, mortar, screed from ) Bagged Cement</t>
  </si>
  <si>
    <t>(Mortar, screed, others) Project Site Silos</t>
  </si>
  <si>
    <t>0.2.6</t>
  </si>
  <si>
    <t>3.1.12</t>
  </si>
  <si>
    <t>3.1.13</t>
  </si>
  <si>
    <t>Other reduction of binder content</t>
  </si>
  <si>
    <t>Reduction of binder per m³ by switch from bagged to industrialised process</t>
  </si>
  <si>
    <t>Reduction of binder content due to shift from bagged ro industrialised process</t>
  </si>
  <si>
    <t>Emissions from clay calcination</t>
  </si>
  <si>
    <t>Indirect emissions from electricity</t>
  </si>
  <si>
    <t>Version 202, 19.07.2022, ECRA</t>
  </si>
  <si>
    <t>% binder saving vs. status quo</t>
  </si>
  <si>
    <r>
      <t>CO</t>
    </r>
    <r>
      <rPr>
        <vertAlign val="subscript"/>
        <sz val="10"/>
        <color theme="1"/>
        <rFont val="Arial"/>
        <family val="2"/>
        <scheme val="minor"/>
      </rPr>
      <t>2</t>
    </r>
    <r>
      <rPr>
        <sz val="10"/>
        <color theme="1"/>
        <rFont val="Arial"/>
        <family val="2"/>
        <scheme val="minor"/>
      </rPr>
      <t xml:space="preserve"> reference (status quo)</t>
    </r>
  </si>
  <si>
    <r>
      <t>CO</t>
    </r>
    <r>
      <rPr>
        <vertAlign val="subscript"/>
        <sz val="10"/>
        <color theme="1"/>
        <rFont val="Arial"/>
        <family val="2"/>
        <scheme val="minor"/>
      </rPr>
      <t>2</t>
    </r>
    <r>
      <rPr>
        <sz val="10"/>
        <color theme="1"/>
        <rFont val="Arial"/>
        <family val="2"/>
        <scheme val="minor"/>
      </rPr>
      <t xml:space="preserve"> according to societal demand changes (status quo technology)</t>
    </r>
  </si>
  <si>
    <r>
      <t>CO</t>
    </r>
    <r>
      <rPr>
        <vertAlign val="subscript"/>
        <sz val="10"/>
        <color theme="1"/>
        <rFont val="Arial"/>
        <family val="2"/>
        <scheme val="minor"/>
      </rPr>
      <t xml:space="preserve">2 </t>
    </r>
    <r>
      <rPr>
        <sz val="10"/>
        <color theme="1"/>
        <rFont val="Arial"/>
        <family val="2"/>
        <scheme val="minor"/>
      </rPr>
      <t>change according to societal demand changes (status quo technology)</t>
    </r>
  </si>
  <si>
    <r>
      <t>Waterfall diagram data for GCCA CO</t>
    </r>
    <r>
      <rPr>
        <b/>
        <vertAlign val="subscript"/>
        <sz val="12"/>
        <rFont val="Arial"/>
        <family val="2"/>
        <scheme val="minor"/>
      </rPr>
      <t>2</t>
    </r>
    <r>
      <rPr>
        <b/>
        <sz val="12"/>
        <rFont val="Arial"/>
        <family val="2"/>
        <scheme val="minor"/>
      </rPr>
      <t xml:space="preserve"> roadmap status quo to 2030</t>
    </r>
  </si>
  <si>
    <r>
      <t>Waterfall diagram data for GCCA CO</t>
    </r>
    <r>
      <rPr>
        <b/>
        <vertAlign val="subscript"/>
        <sz val="12"/>
        <rFont val="Arial"/>
        <family val="2"/>
        <scheme val="minor"/>
      </rPr>
      <t>2</t>
    </r>
    <r>
      <rPr>
        <b/>
        <sz val="12"/>
        <rFont val="Arial"/>
        <family val="2"/>
        <scheme val="minor"/>
      </rPr>
      <t xml:space="preserve"> roadmap status quo to 2050</t>
    </r>
  </si>
  <si>
    <t>0.2.7</t>
  </si>
  <si>
    <t xml:space="preserve"> </t>
  </si>
  <si>
    <r>
      <t>Direct CO</t>
    </r>
    <r>
      <rPr>
        <vertAlign val="subscript"/>
        <sz val="10"/>
        <rFont val="Arial"/>
        <family val="2"/>
        <scheme val="minor"/>
      </rPr>
      <t>2</t>
    </r>
    <r>
      <rPr>
        <sz val="10"/>
        <rFont val="Arial"/>
        <family val="2"/>
        <scheme val="minor"/>
      </rPr>
      <t xml:space="preserve"> emissions</t>
    </r>
  </si>
  <si>
    <r>
      <t>Indirect CO</t>
    </r>
    <r>
      <rPr>
        <vertAlign val="subscript"/>
        <sz val="10"/>
        <rFont val="Arial"/>
        <family val="2"/>
        <scheme val="minor"/>
      </rPr>
      <t>2</t>
    </r>
    <r>
      <rPr>
        <sz val="10"/>
        <rFont val="Arial"/>
        <family val="2"/>
        <scheme val="minor"/>
      </rPr>
      <t xml:space="preserve"> emissions</t>
    </r>
  </si>
  <si>
    <t>Year</t>
  </si>
  <si>
    <t>2050 savings in %</t>
  </si>
  <si>
    <t>Control value</t>
  </si>
  <si>
    <t>Cement &amp; binders (incl. new binders)</t>
  </si>
  <si>
    <t>Clinker (incl. fossil waste fuels)</t>
  </si>
  <si>
    <t>CEMENT FOR DOMESTIC USE</t>
  </si>
  <si>
    <t>Cambiar las especificaciones para el rendimiento</t>
  </si>
  <si>
    <t>Elimina la necesidad de resistencia a la compresión por rendimiento mecánico en módulo elástico</t>
  </si>
  <si>
    <t>Aplicación</t>
  </si>
  <si>
    <t>Mejora en la verificación de la calidad de los materiales de construcción</t>
  </si>
  <si>
    <t>Uso masivo de prefabricados</t>
  </si>
  <si>
    <t>Implementar en la normativa el uso de la prefabricación como sistema estructural de una forma más sencilla</t>
  </si>
  <si>
    <t>Hormigones de ultra altas prestaciones</t>
  </si>
  <si>
    <t>El uso de hormigones de mayor rendimiento reduce el consumo de material por metro cuadrado</t>
  </si>
  <si>
    <t>Diseño estructural orgánico</t>
  </si>
  <si>
    <t>Métodos de diseño más adecuados en función de cada elemento, para elaborar elementos más esbeltos</t>
  </si>
  <si>
    <t>Promover la prefabricación como proceso constructivo</t>
  </si>
  <si>
    <t>Optimice el prefabricado para evitar el desperdicio de hormigón</t>
  </si>
  <si>
    <t>Impulsar el aprovechamiento de los residuos de la construcción</t>
  </si>
  <si>
    <t>Incrementar los procesos industriales para la reutilización de residuos de demolición de hormigón para su uso como árido</t>
  </si>
  <si>
    <t>Reducción de residuos</t>
  </si>
  <si>
    <t>Promover el aprovechamiento del concreto devuelto evitando su disposición final o pérdida del material, mediante su uso (ejemplo: en obra: pisos de baja especificación, prefabricados, etc.)</t>
  </si>
  <si>
    <t>Reducción del volumen de la pasta mediante un mayor contenido de aditivo para una trabajabilidad adecuada</t>
  </si>
  <si>
    <t>agregados</t>
  </si>
  <si>
    <t>Curvas granulométricas mejoradas de los áridos, depende mucho de la región y del contenido de arcilla</t>
  </si>
  <si>
    <t>Control de calidad</t>
  </si>
  <si>
    <t>Control de calidad mejorado en la planta de RMX, solo en nivel de calidad 'regular/bueno'</t>
  </si>
  <si>
    <t>Residuos de hormigón y hormigón adherido en tambor y lavado cuando regresa el camión</t>
  </si>
  <si>
    <t>Aprendizaje automático</t>
  </si>
  <si>
    <t>Mejore el diseño de la mezcla con A.I.</t>
  </si>
  <si>
    <t>Ceniza volante</t>
  </si>
  <si>
    <t>Continuar con el uso de cenizas volantes en la mezcla preparada, pero las cenizas volantes utilizando la extracción de cenizas volantes</t>
  </si>
  <si>
    <t>No habrá oferta de este material.</t>
  </si>
  <si>
    <t>Arcilla calcinada</t>
  </si>
  <si>
    <t>Ampliar la producción de arcillas calcinadas para consumo en hormigones</t>
  </si>
  <si>
    <t>Caliza</t>
  </si>
  <si>
    <t>Continúe agregando piedra caliza en el concreto</t>
  </si>
  <si>
    <t>Microsilicio</t>
  </si>
  <si>
    <t>Metacaolín</t>
  </si>
  <si>
    <t>2.2.6</t>
  </si>
  <si>
    <t>This is a filler</t>
  </si>
  <si>
    <t>Cambio embolsado a premezclado</t>
  </si>
  <si>
    <t>Mayor participación de RMX, menor participación de cemento embolsado</t>
  </si>
  <si>
    <t>Aditivos</t>
  </si>
  <si>
    <t>Otros</t>
  </si>
  <si>
    <t>Por favor especificar</t>
  </si>
  <si>
    <t>Infraestructura</t>
  </si>
  <si>
    <t>Sacos</t>
  </si>
  <si>
    <t>Crecimiento/disminución del mercado de la construcción* (desarrollo de la demanda social externa)</t>
  </si>
  <si>
    <t xml:space="preserve">Cuota de segmentos de mercado de la producción de hormigón </t>
  </si>
  <si>
    <t xml:space="preserve">Ganancia de eficiencia (intensidad de material) por diseño y construcción </t>
  </si>
  <si>
    <t>Volumen de ligante en hormigón (material cementoso, cemento y SCM en planta de hormigón)</t>
  </si>
  <si>
    <t>Uso de materiales cementicios suplementarios (SCM) en la producción de hormigón</t>
  </si>
  <si>
    <t>"Factor aglomerante de clinker en el hormigón" que refleja el uso adicional de SCM en la producción de hormigón (comparable con IEA ETP, el enfoque de Cembureau)</t>
  </si>
  <si>
    <t>Volumen de producción de cemento (excl. SCM para uso en planta de concreto)</t>
  </si>
  <si>
    <t xml:space="preserve">Volumen producción de Clinker </t>
  </si>
  <si>
    <t>Emisiones de CO2 (excluyendo efecto de nuevos ligantes, recarbonatación y CCUS)</t>
  </si>
  <si>
    <t>Porcentaje de ligantes nuevos utilizados en la producción de hormigón, referencia al volumen de ligante, línea 2.1</t>
  </si>
  <si>
    <t>Factor medio de emisión de CO2 de los nuevos ligantes</t>
  </si>
  <si>
    <t>Ahorro de emisiones de CO2 por el uso de nuevos aglutinantes (número positivo = ahorro en comparación con los cementos y aglutinantes a base de clínker)</t>
  </si>
  <si>
    <t>Cantidad de CO2 capturado para uso y/o almacenamiento (CCUS)</t>
  </si>
  <si>
    <t>Cantidad equivalente producción clínker con captura de carbono al 90% eficiencia de captura CO2 de la cadena completa de CCUS</t>
  </si>
  <si>
    <t>Emisiones de CO2 residuales (incluido el efecto de CCUS)</t>
  </si>
  <si>
    <t>CCUS/NbS/Metano</t>
  </si>
  <si>
    <t>Emisiones Indirectas Electricidad (Mt CO2)</t>
  </si>
  <si>
    <r>
      <t>Factor emisión CO</t>
    </r>
    <r>
      <rPr>
        <vertAlign val="subscript"/>
        <sz val="11"/>
        <color theme="1"/>
        <rFont val="Arial"/>
        <family val="2"/>
        <scheme val="minor"/>
      </rPr>
      <t>2</t>
    </r>
    <r>
      <rPr>
        <sz val="11"/>
        <color theme="1"/>
        <rFont val="Arial"/>
        <family val="2"/>
        <scheme val="minor"/>
      </rPr>
      <t xml:space="preserve"> del Clinker   (= linea 1.2.4)</t>
    </r>
  </si>
  <si>
    <r>
      <t>kg CO</t>
    </r>
    <r>
      <rPr>
        <vertAlign val="subscript"/>
        <sz val="11"/>
        <color theme="1"/>
        <rFont val="Arial"/>
        <family val="2"/>
        <scheme val="minor"/>
      </rPr>
      <t>2</t>
    </r>
    <r>
      <rPr>
        <sz val="11"/>
        <color theme="1"/>
        <rFont val="Arial"/>
        <family val="2"/>
        <scheme val="minor"/>
      </rPr>
      <t>/kg clinker</t>
    </r>
  </si>
  <si>
    <r>
      <t>Mt CO</t>
    </r>
    <r>
      <rPr>
        <vertAlign val="subscript"/>
        <sz val="10"/>
        <color theme="1"/>
        <rFont val="Arial"/>
        <family val="2"/>
        <scheme val="minor"/>
      </rPr>
      <t>2</t>
    </r>
    <r>
      <rPr>
        <sz val="10"/>
        <color theme="1"/>
        <rFont val="Arial"/>
        <family val="2"/>
        <scheme val="minor"/>
      </rPr>
      <t xml:space="preserve">              </t>
    </r>
    <r>
      <rPr>
        <sz val="14"/>
        <color theme="1"/>
        <rFont val="Arial"/>
        <family val="2"/>
        <scheme val="minor"/>
      </rPr>
      <t>&gt;</t>
    </r>
  </si>
  <si>
    <t>Concreto Premezclado</t>
  </si>
  <si>
    <t>Factor clínker</t>
  </si>
  <si>
    <t>Estructural</t>
  </si>
  <si>
    <t>No Estructural</t>
  </si>
  <si>
    <t>Silo en Obra</t>
  </si>
  <si>
    <t>Prefabricados</t>
  </si>
  <si>
    <t>Factor Clínker Consolidado</t>
  </si>
  <si>
    <t>Yeso</t>
  </si>
  <si>
    <t>Escoria</t>
  </si>
  <si>
    <t>Cenizas</t>
  </si>
  <si>
    <t>Puzolana</t>
  </si>
  <si>
    <t>Otras Adiciones</t>
  </si>
  <si>
    <t>Carbón</t>
  </si>
  <si>
    <t>Factor emisión</t>
  </si>
  <si>
    <t>Gas Natural</t>
  </si>
  <si>
    <t>Derivados de residuos fósiles</t>
  </si>
  <si>
    <t>Biomasa</t>
  </si>
  <si>
    <t>Hidrógeno</t>
  </si>
  <si>
    <t>Coprocesamiento</t>
  </si>
  <si>
    <t>Design&amp;Construction</t>
  </si>
  <si>
    <t xml:space="preserve">Factor Emisión </t>
  </si>
  <si>
    <t>Clínker Propio</t>
  </si>
  <si>
    <t xml:space="preserve">Clínker Importado </t>
  </si>
  <si>
    <t>Ocupando u tercio de la prod de ckmestara cubierta con CCUS. Paper 50, con eificiencia 80%</t>
  </si>
  <si>
    <t>Factor emisión red eléctrica [g CO2/kWh]</t>
  </si>
  <si>
    <t>Consumo eléctrico específico [kWh/t cement]</t>
  </si>
  <si>
    <t>Consumo eléctrico producción cemento [TWh]</t>
  </si>
  <si>
    <t>Consumo eléctrico adicional de CCUS [kWh/t clinker]</t>
  </si>
  <si>
    <t>Consumo eléctrico de CCUS [TWh]</t>
  </si>
  <si>
    <t>Consumo eléctrico adicional en concreto [kWh/m3]</t>
  </si>
  <si>
    <t>Consumo eléctrico de mezcla concreto [TWh]</t>
  </si>
  <si>
    <t>Consumo eléctrico Total [TWh]</t>
  </si>
  <si>
    <t>Volúmenes de Concreto</t>
  </si>
  <si>
    <t>Todos los segmentos de mercado</t>
  </si>
  <si>
    <r>
      <t>Contenido de Cemento  en el concret [kg cement / m</t>
    </r>
    <r>
      <rPr>
        <vertAlign val="superscript"/>
        <sz val="10"/>
        <color theme="1"/>
        <rFont val="Arial"/>
        <family val="2"/>
        <scheme val="minor"/>
      </rPr>
      <t>3</t>
    </r>
    <r>
      <rPr>
        <sz val="10"/>
        <color theme="1"/>
        <rFont val="Arial"/>
        <family val="2"/>
        <scheme val="minor"/>
      </rPr>
      <t>]</t>
    </r>
  </si>
  <si>
    <r>
      <t>Contenido de SCM  en el concreto [kg SCM / m</t>
    </r>
    <r>
      <rPr>
        <vertAlign val="superscript"/>
        <sz val="10"/>
        <color theme="1"/>
        <rFont val="Arial"/>
        <family val="2"/>
        <scheme val="minor"/>
      </rPr>
      <t>3</t>
    </r>
    <r>
      <rPr>
        <sz val="10"/>
        <color theme="1"/>
        <rFont val="Arial"/>
        <family val="2"/>
        <scheme val="minor"/>
      </rPr>
      <t>]</t>
    </r>
  </si>
  <si>
    <r>
      <t>Contenido de Cementicio en concreto [kg binder / m</t>
    </r>
    <r>
      <rPr>
        <vertAlign val="superscript"/>
        <sz val="10"/>
        <color theme="1"/>
        <rFont val="Arial"/>
        <family val="2"/>
        <scheme val="minor"/>
      </rPr>
      <t>3</t>
    </r>
    <r>
      <rPr>
        <sz val="10"/>
        <color theme="1"/>
        <rFont val="Arial"/>
        <family val="2"/>
        <scheme val="minor"/>
      </rPr>
      <t>]</t>
    </r>
  </si>
  <si>
    <r>
      <t>Volume of RMX concrete [M m</t>
    </r>
    <r>
      <rPr>
        <vertAlign val="superscript"/>
        <sz val="10"/>
        <color theme="1"/>
        <rFont val="Arial"/>
        <family val="2"/>
        <scheme val="minor"/>
      </rPr>
      <t>3</t>
    </r>
    <r>
      <rPr>
        <sz val="10"/>
        <color theme="1"/>
        <rFont val="Arial"/>
        <family val="2"/>
        <scheme val="minor"/>
      </rPr>
      <t>]</t>
    </r>
  </si>
  <si>
    <r>
      <t>Volume of concrete made from bagged cement [M m</t>
    </r>
    <r>
      <rPr>
        <vertAlign val="superscript"/>
        <sz val="10"/>
        <color theme="1"/>
        <rFont val="Arial"/>
        <family val="2"/>
        <scheme val="minor"/>
      </rPr>
      <t>3</t>
    </r>
    <r>
      <rPr>
        <sz val="10"/>
        <color theme="1"/>
        <rFont val="Arial"/>
        <family val="2"/>
        <scheme val="minor"/>
      </rPr>
      <t>]</t>
    </r>
  </si>
  <si>
    <t>Factor Emision Clínker Importado</t>
  </si>
  <si>
    <t>Clinker BAU</t>
  </si>
  <si>
    <t>Construcción Estructural</t>
  </si>
  <si>
    <t>Construcción No Estructural</t>
  </si>
  <si>
    <t>CANALES</t>
  </si>
  <si>
    <t>FACTOR EMISIONES CLINKER</t>
  </si>
  <si>
    <t>COMBUSTIBLES HORNO</t>
  </si>
  <si>
    <t xml:space="preserve">Demanda Energía Térmica </t>
  </si>
  <si>
    <t xml:space="preserve"> (MJ/tCk)</t>
  </si>
  <si>
    <t>RECARBONATACION</t>
  </si>
  <si>
    <t xml:space="preserve"> [kgCO2/kg calcinación CO2]</t>
  </si>
  <si>
    <t xml:space="preserve"> (Mt CO2)</t>
  </si>
  <si>
    <t>Factor emisión calcinación</t>
  </si>
  <si>
    <t xml:space="preserve"> [kgCO2/kg ck]</t>
  </si>
  <si>
    <t>Volumen Producción Clínker</t>
  </si>
  <si>
    <t xml:space="preserve"> [Mt Clínker]</t>
  </si>
  <si>
    <t>kg CO2/kg clinker</t>
  </si>
  <si>
    <t>FACTOR Recarbonatación  (estudio IVL)</t>
  </si>
  <si>
    <t xml:space="preserve">Factor emisión red eléctrica </t>
  </si>
  <si>
    <t>[g CO2/kWh]</t>
  </si>
  <si>
    <t>Consumo eléctrico específico</t>
  </si>
  <si>
    <t xml:space="preserve"> [kWh/t cement]</t>
  </si>
  <si>
    <t>Consumo eléctrico producción cemento</t>
  </si>
  <si>
    <t xml:space="preserve"> [TWh]</t>
  </si>
  <si>
    <t xml:space="preserve">Consumo eléctrico adicional de CCUS </t>
  </si>
  <si>
    <t>[kWh/t clinker]</t>
  </si>
  <si>
    <r>
      <t>Consumo eléctrico adicional en concreto</t>
    </r>
    <r>
      <rPr>
        <sz val="10"/>
        <color theme="0"/>
        <rFont val="Avenir Next LT Pro"/>
        <family val="2"/>
      </rPr>
      <t xml:space="preserve"> </t>
    </r>
  </si>
  <si>
    <t>[kWh/m3]</t>
  </si>
  <si>
    <r>
      <t>Consumo eléctrico de CCUS</t>
    </r>
    <r>
      <rPr>
        <sz val="10"/>
        <color theme="0"/>
        <rFont val="Avenir Next LT Pro"/>
        <family val="2"/>
      </rPr>
      <t xml:space="preserve"> </t>
    </r>
  </si>
  <si>
    <t>[TWh]</t>
  </si>
  <si>
    <t xml:space="preserve">Consumo eléctrico de mezcla concreto </t>
  </si>
  <si>
    <t xml:space="preserve">Consumo eléctrico Total </t>
  </si>
  <si>
    <t>(Mt CO2)</t>
  </si>
  <si>
    <t>PRINCIPALES INDICADORES</t>
  </si>
  <si>
    <t>Clinker NZA</t>
  </si>
  <si>
    <t>Factor Clinker NZA</t>
  </si>
  <si>
    <t>Coprocesamiento NZA</t>
  </si>
  <si>
    <r>
      <t>Mm</t>
    </r>
    <r>
      <rPr>
        <vertAlign val="superscript"/>
        <sz val="12"/>
        <color theme="0"/>
        <rFont val="Avenir Next LT Pro"/>
        <family val="2"/>
      </rPr>
      <t>3</t>
    </r>
  </si>
  <si>
    <t>Transporte Naviero (20,000 kms)</t>
  </si>
  <si>
    <r>
      <t>Mt CO</t>
    </r>
    <r>
      <rPr>
        <vertAlign val="subscript"/>
        <sz val="12"/>
        <color theme="0"/>
        <rFont val="Avenir Next LT Pro"/>
        <family val="2"/>
      </rPr>
      <t>2</t>
    </r>
  </si>
  <si>
    <t>N/A</t>
  </si>
  <si>
    <t>CEMENTO &amp; ADICIONES</t>
  </si>
  <si>
    <t>Factor Emisión Clínker Local Neta</t>
  </si>
  <si>
    <t>Factor Emisión Clínker Local Bruta</t>
  </si>
  <si>
    <t>Consumo Térmico</t>
  </si>
  <si>
    <t>kg CO2/GJ fuel mix</t>
  </si>
  <si>
    <t xml:space="preserve">Emisiones Calcinación </t>
  </si>
  <si>
    <t>Emisiones de Biomasa</t>
  </si>
  <si>
    <t>Emisiones carbono organico piedra caliza</t>
  </si>
  <si>
    <t>Emisiones Combustibles Fósiles</t>
  </si>
  <si>
    <t>EMISIONES DE CO2 CLINKER BAU</t>
  </si>
  <si>
    <t>EMISIONES DE CO2 CLINKER NZA</t>
  </si>
  <si>
    <t>EMISIONES ELECTRICAS</t>
  </si>
  <si>
    <t>EMISIONES INDIRECTAS ELECTRICIDAD (EJE 1)</t>
  </si>
  <si>
    <t>Factor Emisión Clínker 2020</t>
  </si>
  <si>
    <t>Factor de Emisión Clínker Ponderado</t>
  </si>
  <si>
    <t>Participación Clínker Importado</t>
  </si>
  <si>
    <t>FE Clínker Importado Bruta</t>
  </si>
  <si>
    <t>FE Clínker Local Bruta</t>
  </si>
  <si>
    <t>Emisiones Clínker</t>
  </si>
  <si>
    <t>Emisiones Eléctricas</t>
  </si>
  <si>
    <t>Factor Eléctrico</t>
  </si>
  <si>
    <t>kg CO2/GJ fossil fuel</t>
  </si>
  <si>
    <t>FE Mix Derivados Residuos Fósiles</t>
  </si>
  <si>
    <t>CCUS
NbA
METANO</t>
  </si>
  <si>
    <t>Emisiones Combustibles AF</t>
  </si>
  <si>
    <t>Re Carbonatación</t>
  </si>
  <si>
    <t>Soluciones Basadas en la Naturaleza</t>
  </si>
  <si>
    <t>CCUS (1/3 Emisiones Remanentes)</t>
  </si>
  <si>
    <t>MtCO2 Eq</t>
  </si>
  <si>
    <t>EMISIONES TOTALES DE CO2 LINEA BASE 2020 (LINEA BASE)</t>
  </si>
  <si>
    <t>EMISIONES EVITADAS DISEÑO &amp; CONSTRUCCION (EJE 2)</t>
  </si>
  <si>
    <t>EMISIONES EVITADAS CONCRETO (EJE 3)</t>
  </si>
  <si>
    <t>EMISIONES EVITADAS CEMENTO &amp; ADICIONES (EJE 4)</t>
  </si>
  <si>
    <t>EMISIONES UPTAKE (EJE 6)</t>
  </si>
  <si>
    <t>EMISIONES EVITADAS (EJE 7)</t>
  </si>
  <si>
    <t>SUMIDERO EMISIONES (EJE 8)</t>
  </si>
  <si>
    <t>EMISIONES EVITADAS COMBUSTIBLES ALTERNOS FOSILES (EJE 9)</t>
  </si>
  <si>
    <t>Emisiones Remanentes (Eje 10)</t>
  </si>
  <si>
    <t>Emisiones Residuales (sin CCUS)</t>
  </si>
  <si>
    <t xml:space="preserve">Consumo de Concreto </t>
  </si>
  <si>
    <r>
      <t xml:space="preserve">Emisiones Directas </t>
    </r>
    <r>
      <rPr>
        <sz val="9"/>
        <color theme="0"/>
        <rFont val="Avenir Next LT Pro"/>
        <family val="2"/>
      </rPr>
      <t>(Calcinación + Comb. Fósiles)</t>
    </r>
  </si>
  <si>
    <t>kg CO2/t cement</t>
  </si>
  <si>
    <t>Emisiones Clínker 2020</t>
  </si>
  <si>
    <t>Cuota de segmentos de mercado de la producción de hormigón</t>
  </si>
  <si>
    <t>Participación en la producción total de concreto, información para "Modelo de vida entera", línea 0.2</t>
  </si>
  <si>
    <t>Cambio de cuota de mercado en comparación con el statu quo</t>
  </si>
  <si>
    <t>Aumento de la participación del cemento en sacos (en comparación con el statu quo)</t>
  </si>
  <si>
    <t>Ganancias de eficiencia (intensidad material) en la producción de concreto (excluyendo SCM)</t>
  </si>
  <si>
    <t>TWh</t>
  </si>
  <si>
    <t>kg CO2/t clinker</t>
  </si>
  <si>
    <t>CEMENTO EN EL CONCRETO</t>
  </si>
  <si>
    <t>kg cemento / m3</t>
  </si>
  <si>
    <r>
      <t>Volumen Total  de concreto [Bn m</t>
    </r>
    <r>
      <rPr>
        <b/>
        <vertAlign val="superscript"/>
        <sz val="10"/>
        <color theme="1"/>
        <rFont val="Arial"/>
        <family val="2"/>
        <scheme val="minor"/>
      </rPr>
      <t>3</t>
    </r>
    <r>
      <rPr>
        <b/>
        <sz val="10"/>
        <color theme="1"/>
        <rFont val="Arial"/>
        <family val="2"/>
        <scheme val="minor"/>
      </rPr>
      <t>]</t>
    </r>
  </si>
  <si>
    <t>ROADMAP NZA GCCA-FICEM ARGENTINA 2050</t>
  </si>
  <si>
    <r>
      <t>kg CO</t>
    </r>
    <r>
      <rPr>
        <vertAlign val="subscript"/>
        <sz val="8"/>
        <color theme="0"/>
        <rFont val="Arial"/>
        <family val="2"/>
        <scheme val="minor"/>
      </rPr>
      <t>2</t>
    </r>
    <r>
      <rPr>
        <sz val="8"/>
        <color theme="0"/>
        <rFont val="Arial"/>
        <family val="2"/>
        <scheme val="minor"/>
      </rPr>
      <t>/GJ</t>
    </r>
  </si>
  <si>
    <r>
      <t>Mt CO</t>
    </r>
    <r>
      <rPr>
        <vertAlign val="subscript"/>
        <sz val="11"/>
        <color theme="0"/>
        <rFont val="Avenir Next LT Pro"/>
        <family val="2"/>
      </rPr>
      <t>2</t>
    </r>
  </si>
  <si>
    <t>ARGENTINA</t>
  </si>
  <si>
    <t>AFCP</t>
  </si>
  <si>
    <t>FICEM and AFCP</t>
  </si>
  <si>
    <t>maria.lefevre@afcp.org.ar</t>
  </si>
  <si>
    <t>baja demanda</t>
  </si>
  <si>
    <t>alta demanda</t>
  </si>
  <si>
    <r>
      <rPr>
        <b/>
        <sz val="9"/>
        <color theme="1"/>
        <rFont val="Avenir Next LT Pro"/>
        <family val="2"/>
      </rPr>
      <t>2030:</t>
    </r>
    <r>
      <rPr>
        <sz val="9"/>
        <color theme="1"/>
        <rFont val="Avenir Next LT Pro"/>
        <family val="2"/>
      </rPr>
      <t xml:space="preserve"> 10% a 20%  </t>
    </r>
    <r>
      <rPr>
        <b/>
        <sz val="9"/>
        <color theme="1"/>
        <rFont val="Avenir Next LT Pro"/>
        <family val="2"/>
      </rPr>
      <t>2050:</t>
    </r>
    <r>
      <rPr>
        <sz val="9"/>
        <color theme="1"/>
        <rFont val="Avenir Next LT Pro"/>
        <family val="2"/>
      </rPr>
      <t xml:space="preserve"> 25% a 40%</t>
    </r>
  </si>
  <si>
    <r>
      <rPr>
        <b/>
        <sz val="9"/>
        <color theme="1"/>
        <rFont val="Avenir Next LT Pro"/>
        <family val="2"/>
      </rPr>
      <t>2030:</t>
    </r>
    <r>
      <rPr>
        <sz val="9"/>
        <color theme="1"/>
        <rFont val="Avenir Next LT Pro"/>
        <family val="2"/>
      </rPr>
      <t xml:space="preserve"> 25% a 40%  
</t>
    </r>
    <r>
      <rPr>
        <b/>
        <sz val="9"/>
        <color theme="1"/>
        <rFont val="Avenir Next LT Pro"/>
        <family val="2"/>
      </rPr>
      <t>2050:</t>
    </r>
    <r>
      <rPr>
        <sz val="9"/>
        <color theme="1"/>
        <rFont val="Avenir Next LT Pro"/>
        <family val="2"/>
      </rPr>
      <t xml:space="preserve"> 50% a 80%</t>
    </r>
  </si>
  <si>
    <t>Cemento BAU</t>
  </si>
  <si>
    <t>Adiciones (DS, Ef. D&amp;C)</t>
  </si>
  <si>
    <t>Adiciones (DS, Ef. Concreto)</t>
  </si>
  <si>
    <t>NUEVOS CEMENTOS</t>
  </si>
  <si>
    <t>Cementicio en el Concreto</t>
  </si>
  <si>
    <t>Mt Cementicio</t>
  </si>
  <si>
    <t>Nuevos cementicios en producción de concreto</t>
  </si>
  <si>
    <t>kg CO2/kg new binder</t>
  </si>
  <si>
    <r>
      <t>Factor medio emisión CO</t>
    </r>
    <r>
      <rPr>
        <b/>
        <vertAlign val="subscript"/>
        <sz val="12"/>
        <color theme="0"/>
        <rFont val="Avenir Next LT Pro"/>
        <family val="2"/>
      </rPr>
      <t>2</t>
    </r>
    <r>
      <rPr>
        <b/>
        <sz val="12"/>
        <color theme="0"/>
        <rFont val="Avenir Next LT Pro"/>
        <family val="2"/>
      </rPr>
      <t xml:space="preserve"> nuevos cementicios</t>
    </r>
  </si>
  <si>
    <r>
      <t>kg CO</t>
    </r>
    <r>
      <rPr>
        <vertAlign val="subscript"/>
        <sz val="11"/>
        <color theme="1"/>
        <rFont val="Arial"/>
        <family val="2"/>
        <scheme val="minor"/>
      </rPr>
      <t>2</t>
    </r>
    <r>
      <rPr>
        <sz val="11"/>
        <color theme="0"/>
        <rFont val="Arial"/>
        <family val="2"/>
        <scheme val="minor"/>
      </rPr>
      <t>/kg new binder</t>
    </r>
  </si>
  <si>
    <t>Factor Aglomerante Clínker en Concreto</t>
  </si>
  <si>
    <t>kg Ck/kg cementitious</t>
  </si>
  <si>
    <t>EMISIONES EVITADAS NUEVOS CEMENTOS (EJE 6)</t>
  </si>
  <si>
    <t>Fósiles Tradicionales</t>
  </si>
  <si>
    <t xml:space="preserve">Emisiones Combustibles Derivados Residuos fósiles </t>
  </si>
  <si>
    <t>Cemento NZA</t>
  </si>
  <si>
    <t>Arcilla Calcinada</t>
  </si>
  <si>
    <t>AUMENTO EMISIONES POR DEMANDA SOCIAL 2050 (EJE 1)</t>
  </si>
  <si>
    <t>Diferencia Factor Clínker vs. 2022</t>
  </si>
  <si>
    <t>BAU</t>
  </si>
  <si>
    <t>Mm3</t>
  </si>
  <si>
    <t>Bnm3</t>
  </si>
  <si>
    <t>Premix</t>
  </si>
  <si>
    <t>Silos</t>
  </si>
  <si>
    <t>Precast</t>
  </si>
  <si>
    <t>Aumento Demanda</t>
  </si>
  <si>
    <t xml:space="preserve">FACTOR CLINKER </t>
  </si>
  <si>
    <t>COPROCESAMIENTO</t>
  </si>
  <si>
    <t>% CEMENTO EN SACOS</t>
  </si>
  <si>
    <t>EFICIENCIA TERMICA</t>
  </si>
  <si>
    <t>AUMENTO DEMANDA</t>
  </si>
  <si>
    <t>Factor Clinker</t>
  </si>
  <si>
    <t>% Cemento Sacos</t>
  </si>
  <si>
    <t>Eficiencia Térmica</t>
  </si>
  <si>
    <t>Perú</t>
  </si>
  <si>
    <t>LB 2020 Ck</t>
  </si>
  <si>
    <t>Alc2</t>
  </si>
  <si>
    <t>Total 2020</t>
  </si>
  <si>
    <t>Aumento 2050</t>
  </si>
  <si>
    <t>BAU 2050</t>
  </si>
  <si>
    <t>Fosil Conv</t>
  </si>
  <si>
    <t>H2V</t>
  </si>
  <si>
    <t>Metano</t>
  </si>
  <si>
    <t>SbN</t>
  </si>
  <si>
    <t>ESCENARIO EMISIONES 2050</t>
  </si>
  <si>
    <t>DISEÑO Y CONSTRUCCION</t>
  </si>
  <si>
    <t>Aumentar la eficiencia en el uso de concreto en la construcción, a través de la inclusión de etapas y actividades aguas arriba y aguas abajo de la industria del cemento y concreto – como diseño, planificación, especificación y construcción – significa, entre otros,
no sobre utilizar concreto, si no el volumen más bajo posible que cumpla con los requisitos de aplicación sin comprometer durabilidad y seguridad.</t>
  </si>
  <si>
    <t>Medida D&amp;C</t>
  </si>
  <si>
    <t>Industrialización (incluye prefabricación)</t>
  </si>
  <si>
    <t>Reducción y reciclaje de RCD</t>
  </si>
  <si>
    <t>Extender la vida útil de las estructuras (reúso, refuncionalización, etc)</t>
  </si>
  <si>
    <t>Optimización estructural (pretensado / postensado, sistemas estructurales mixtos e híbridos, lean design, BIM, AI para diseño estructural, etc)</t>
  </si>
  <si>
    <t>Especificación de concreto
(solicitud sin exceso; desagregar especificación por tipos de elementos; 56 o 90 días como edad de diseño; P2P; uso de concreto de alta resistencia en elementos comprimidos )</t>
  </si>
  <si>
    <t>Potencial Reducción</t>
  </si>
  <si>
    <t>Factibilidad Aplicación</t>
  </si>
  <si>
    <t>Alto</t>
  </si>
  <si>
    <t>Medio</t>
  </si>
  <si>
    <t>Bajo</t>
  </si>
  <si>
    <t>Algunas aplicaciones son: elementos de fachada tipo sándwich; diseño con AI y optimización elementos estructurales; cálculos de diseño lineal/elásticos hasta cálculos basados en plasticidad, reutilización
residuos de concreto, entre otros. Proyectistas, diseñadores, especificadores, inspectores y directores de obra, contratistas y el Poder Público tienen un rol central para su despliegue.</t>
  </si>
  <si>
    <t>EFICIENCIA PRODUCCION CONCRETO</t>
  </si>
  <si>
    <t>La optimización en la producción de concreto, implica hacer más eficiente el uso del cemento en el concreto, para una prestación de referencia,  reduciendo, además, la huella de carbono del concreto. Esta mejora se debe lograr sin comprometer la calidad del producto.</t>
  </si>
  <si>
    <t>CEMENTO Y ADICIONES</t>
  </si>
  <si>
    <t>En LAC, el porcentaje de clínker es de 67%, 10 puntos porcentuales bajo el valor global, debido a la mayor disponibilidad de adiciones como las puzolanas, escoria y cenizas en nuestra región lo que resulta en un producto con menores emisiones de CO2e. Los porcentajes de composición del cemento en LAC son los siguientes: yeso (6%), caliza (11%), puzolana (11%), escoria (2%); cenizas (2%) y otras adiciones (1%) y clínker (67%).</t>
  </si>
  <si>
    <r>
      <t>Las emisiones proyectadas al año 2050 se calculan a partir de la línea base de emisiones al año 2020(*), y el incremento de producción de cemento al 2050 sin
eficiencias (</t>
    </r>
    <r>
      <rPr>
        <b/>
        <sz val="11"/>
        <color theme="0"/>
        <rFont val="Arial"/>
        <family val="2"/>
        <scheme val="minor"/>
      </rPr>
      <t>58%</t>
    </r>
    <r>
      <rPr>
        <sz val="11"/>
        <color theme="0"/>
        <rFont val="Arial"/>
        <family val="2"/>
        <scheme val="minor"/>
      </rPr>
      <t>), según escenario BAU (Business as Usual), que significa producir y utilizar el cemento bajo las mismas condiciones actuales en el 2050.</t>
    </r>
  </si>
  <si>
    <r>
      <t xml:space="preserve">Las emisiones LB2020 fueron </t>
    </r>
    <r>
      <rPr>
        <b/>
        <sz val="11"/>
        <color theme="0"/>
        <rFont val="Arial"/>
        <family val="2"/>
        <scheme val="minor"/>
      </rPr>
      <t>6,9 MtCO2e</t>
    </r>
    <r>
      <rPr>
        <sz val="11"/>
        <color theme="0"/>
        <rFont val="Arial"/>
        <family val="2"/>
        <scheme val="minor"/>
      </rPr>
      <t>, considerando emisiones directas (</t>
    </r>
    <r>
      <rPr>
        <b/>
        <sz val="11"/>
        <color theme="0"/>
        <rFont val="Arial"/>
        <family val="2"/>
        <scheme val="minor"/>
      </rPr>
      <t>6,5 MtCO2e</t>
    </r>
    <r>
      <rPr>
        <sz val="11"/>
        <color theme="0"/>
        <rFont val="Arial"/>
        <family val="2"/>
        <scheme val="minor"/>
      </rPr>
      <t>) e indirectas del uso de energía eléctrica (</t>
    </r>
    <r>
      <rPr>
        <b/>
        <sz val="11"/>
        <color theme="0"/>
        <rFont val="Arial"/>
        <family val="2"/>
        <scheme val="minor"/>
      </rPr>
      <t>0,4 MtCO2e</t>
    </r>
    <r>
      <rPr>
        <sz val="11"/>
        <color theme="0"/>
        <rFont val="Arial"/>
        <family val="2"/>
        <scheme val="minor"/>
      </rPr>
      <t xml:space="preserve">). Al año 2050, se consideró un aumento del </t>
    </r>
    <r>
      <rPr>
        <b/>
        <sz val="11"/>
        <color theme="0"/>
        <rFont val="Arial"/>
        <family val="2"/>
        <scheme val="minor"/>
      </rPr>
      <t>58%</t>
    </r>
    <r>
      <rPr>
        <sz val="11"/>
        <color theme="0"/>
        <rFont val="Arial"/>
        <family val="2"/>
        <scheme val="minor"/>
      </rPr>
      <t xml:space="preserve"> del consumo de cemento, que implica llegar a </t>
    </r>
    <r>
      <rPr>
        <b/>
        <sz val="11"/>
        <color theme="0"/>
        <rFont val="Arial"/>
        <family val="2"/>
        <scheme val="minor"/>
      </rPr>
      <t>19,5 M</t>
    </r>
    <r>
      <rPr>
        <sz val="11"/>
        <color theme="0"/>
        <rFont val="Arial"/>
        <family val="2"/>
        <scheme val="minor"/>
      </rPr>
      <t xml:space="preserve">t, lo que significaría </t>
    </r>
    <r>
      <rPr>
        <b/>
        <sz val="11"/>
        <color theme="0"/>
        <rFont val="Arial"/>
        <family val="2"/>
        <scheme val="minor"/>
      </rPr>
      <t>10,7 MtCO2e</t>
    </r>
    <r>
      <rPr>
        <sz val="11"/>
        <color theme="0"/>
        <rFont val="Arial"/>
        <family val="2"/>
        <scheme val="minor"/>
      </rPr>
      <t xml:space="preserve"> de emisiones totales BAU.</t>
    </r>
  </si>
  <si>
    <r>
      <t>actualmente, la composición de la fabricación del concreto en LAC, se distribuye de la siguiente manera:</t>
    </r>
    <r>
      <rPr>
        <b/>
        <sz val="11"/>
        <color theme="0"/>
        <rFont val="Arial"/>
        <family val="2"/>
        <scheme val="minor"/>
      </rPr>
      <t xml:space="preserve"> 28%</t>
    </r>
    <r>
      <rPr>
        <sz val="11"/>
        <color theme="0"/>
        <rFont val="Arial"/>
        <family val="2"/>
        <scheme val="minor"/>
      </rPr>
      <t xml:space="preserve"> de premezclado, </t>
    </r>
    <r>
      <rPr>
        <b/>
        <sz val="11"/>
        <color theme="0"/>
        <rFont val="Arial"/>
        <family val="2"/>
        <scheme val="minor"/>
      </rPr>
      <t>64%</t>
    </r>
    <r>
      <rPr>
        <sz val="11"/>
        <color theme="0"/>
        <rFont val="Arial"/>
        <family val="2"/>
        <scheme val="minor"/>
      </rPr>
      <t xml:space="preserve"> de cemento en sacos; </t>
    </r>
    <r>
      <rPr>
        <b/>
        <sz val="11"/>
        <color theme="0"/>
        <rFont val="Arial"/>
        <family val="2"/>
        <scheme val="minor"/>
      </rPr>
      <t xml:space="preserve">5% </t>
    </r>
    <r>
      <rPr>
        <sz val="11"/>
        <color theme="0"/>
        <rFont val="Arial"/>
        <family val="2"/>
        <scheme val="minor"/>
      </rPr>
      <t xml:space="preserve">de mezcla en silos de obra; </t>
    </r>
    <r>
      <rPr>
        <b/>
        <sz val="11"/>
        <color theme="0"/>
        <rFont val="Arial"/>
        <family val="2"/>
        <scheme val="minor"/>
      </rPr>
      <t xml:space="preserve">3% </t>
    </r>
    <r>
      <rPr>
        <sz val="11"/>
        <color theme="0"/>
        <rFont val="Arial"/>
        <family val="2"/>
        <scheme val="minor"/>
      </rPr>
      <t xml:space="preserve">de prefabricados. Se proyecta, que para el año 2050, la distribución sea de la siguiente forma: </t>
    </r>
    <r>
      <rPr>
        <b/>
        <sz val="11"/>
        <color theme="0"/>
        <rFont val="Arial"/>
        <family val="2"/>
        <scheme val="minor"/>
      </rPr>
      <t xml:space="preserve">45% </t>
    </r>
    <r>
      <rPr>
        <sz val="11"/>
        <color theme="0"/>
        <rFont val="Arial"/>
        <family val="2"/>
        <scheme val="minor"/>
      </rPr>
      <t xml:space="preserve">de premezclado, </t>
    </r>
    <r>
      <rPr>
        <b/>
        <sz val="11"/>
        <color theme="0"/>
        <rFont val="Arial"/>
        <family val="2"/>
        <scheme val="minor"/>
      </rPr>
      <t>40%</t>
    </r>
    <r>
      <rPr>
        <sz val="11"/>
        <color theme="0"/>
        <rFont val="Arial"/>
        <family val="2"/>
        <scheme val="minor"/>
      </rPr>
      <t xml:space="preserve"> de cemento en sacos; </t>
    </r>
    <r>
      <rPr>
        <b/>
        <sz val="11"/>
        <color theme="0"/>
        <rFont val="Arial"/>
        <family val="2"/>
        <scheme val="minor"/>
      </rPr>
      <t xml:space="preserve">5% </t>
    </r>
    <r>
      <rPr>
        <sz val="11"/>
        <color theme="0"/>
        <rFont val="Arial"/>
        <family val="2"/>
        <scheme val="minor"/>
      </rPr>
      <t xml:space="preserve">de mezcla en silos de obra; </t>
    </r>
    <r>
      <rPr>
        <b/>
        <sz val="11"/>
        <color theme="0"/>
        <rFont val="Arial"/>
        <family val="2"/>
        <scheme val="minor"/>
      </rPr>
      <t xml:space="preserve">10% </t>
    </r>
    <r>
      <rPr>
        <sz val="11"/>
        <color theme="0"/>
        <rFont val="Arial"/>
        <family val="2"/>
        <scheme val="minor"/>
      </rPr>
      <t xml:space="preserve">de prefabricados; aumentando así la industrialización en este proceso. </t>
    </r>
  </si>
  <si>
    <r>
      <t xml:space="preserve">El parámetro más importante para determinar
las emisiones de CO2e del cemento es su contenido o porcentaje de clínker, que se conoce como factor clínker. A nivel global, según datos reportados en GNR al año 2022, el factor clínker fue de </t>
    </r>
    <r>
      <rPr>
        <b/>
        <sz val="11"/>
        <color theme="0"/>
        <rFont val="Arial"/>
        <family val="2"/>
        <scheme val="minor"/>
      </rPr>
      <t xml:space="preserve">77%, </t>
    </r>
    <r>
      <rPr>
        <sz val="11"/>
        <color theme="0"/>
        <rFont val="Arial"/>
        <family val="2"/>
        <scheme val="minor"/>
      </rPr>
      <t>el cual junto al yeso (</t>
    </r>
    <r>
      <rPr>
        <b/>
        <sz val="11"/>
        <color theme="0"/>
        <rFont val="Arial"/>
        <family val="2"/>
        <scheme val="minor"/>
      </rPr>
      <t>5%</t>
    </r>
    <r>
      <rPr>
        <sz val="11"/>
        <color theme="0"/>
        <rFont val="Arial"/>
        <family val="2"/>
        <scheme val="minor"/>
      </rPr>
      <t>), caliza (</t>
    </r>
    <r>
      <rPr>
        <b/>
        <sz val="11"/>
        <color theme="0"/>
        <rFont val="Arial"/>
        <family val="2"/>
        <scheme val="minor"/>
      </rPr>
      <t>9%</t>
    </r>
    <r>
      <rPr>
        <sz val="11"/>
        <color theme="0"/>
        <rFont val="Arial"/>
        <family val="2"/>
        <scheme val="minor"/>
      </rPr>
      <t>), puzolana (</t>
    </r>
    <r>
      <rPr>
        <b/>
        <sz val="11"/>
        <color theme="0"/>
        <rFont val="Arial"/>
        <family val="2"/>
        <scheme val="minor"/>
      </rPr>
      <t>2%</t>
    </r>
    <r>
      <rPr>
        <sz val="11"/>
        <color theme="0"/>
        <rFont val="Arial"/>
        <family val="2"/>
        <scheme val="minor"/>
      </rPr>
      <t>), escoria (</t>
    </r>
    <r>
      <rPr>
        <b/>
        <sz val="11"/>
        <color theme="0"/>
        <rFont val="Arial"/>
        <family val="2"/>
        <scheme val="minor"/>
      </rPr>
      <t>3%</t>
    </r>
    <r>
      <rPr>
        <sz val="11"/>
        <color theme="0"/>
        <rFont val="Arial"/>
        <family val="2"/>
        <scheme val="minor"/>
      </rPr>
      <t>); cenizas (</t>
    </r>
    <r>
      <rPr>
        <b/>
        <sz val="11"/>
        <color theme="0"/>
        <rFont val="Arial"/>
        <family val="2"/>
        <scheme val="minor"/>
      </rPr>
      <t>3%</t>
    </r>
    <r>
      <rPr>
        <sz val="11"/>
        <color theme="0"/>
        <rFont val="Arial"/>
        <family val="2"/>
        <scheme val="minor"/>
      </rPr>
      <t>) y otras adiciones (</t>
    </r>
    <r>
      <rPr>
        <b/>
        <sz val="11"/>
        <color theme="0"/>
        <rFont val="Arial"/>
        <family val="2"/>
        <scheme val="minor"/>
      </rPr>
      <t>1%</t>
    </r>
    <r>
      <rPr>
        <sz val="11"/>
        <color theme="0"/>
        <rFont val="Arial"/>
        <family val="2"/>
        <scheme val="minor"/>
      </rPr>
      <t>), forman el cemento.</t>
    </r>
  </si>
  <si>
    <t>Este eje depende de varios factores, entre los que se destacan la preparación de materias pimas y combustibles, el aumento en la capacidad de
los hornos, el cambio de hornos largos a hornos con 6 etapas y precalcinador y uso de enfriadores de clínker con tecnología eficiente. El promedio global reportado en GNR año 2022 es de 3501 MJ/tclínker.</t>
  </si>
  <si>
    <t>Actualmente, en LAC, según datos de GNR del año 2022, el 55% de los hornos son de tipo proceso
seco, con precalentador y precalcinador, mientras que un 24% de hornos operan con proceso seco,
con precalentador y sin precalcinador, un 1% de hornos largos sin precalcinador, 18% de hornos
mixtos; y el 2% restante corresponde a hornos verticales con proceso húmedo. Los valores de
energía específica se encuentran entre los 3465 MJ/tclínker y los 6405 MJ/tclínker. El promedio en
LAC es de 3576 MJ/tclínker.</t>
  </si>
  <si>
    <t>COMBUSTIBLES FOSILES TRADICIONALES</t>
  </si>
  <si>
    <t>Global GNR</t>
  </si>
  <si>
    <t>COMBUSTIBLES FOSILES ALTERNATIVOS</t>
  </si>
  <si>
    <t>COMBUSTIBLES FOSILES CONVENCIONALES</t>
  </si>
  <si>
    <t>COMBUSTIBLES DERIVADOS DE BIOMASA</t>
  </si>
  <si>
    <t>COMBUSTIBLES DE HIDROGENO BAJO EN CARBONO</t>
  </si>
  <si>
    <r>
      <t xml:space="preserve">Las emisiones LB2020 fueron </t>
    </r>
    <r>
      <rPr>
        <b/>
        <sz val="16"/>
        <color theme="0"/>
        <rFont val="Arial"/>
        <family val="2"/>
        <scheme val="minor"/>
      </rPr>
      <t>6,9 MtCO2e</t>
    </r>
    <r>
      <rPr>
        <sz val="16"/>
        <color theme="0"/>
        <rFont val="Arial"/>
        <family val="2"/>
        <scheme val="minor"/>
      </rPr>
      <t>, considerando emisiones directas (</t>
    </r>
    <r>
      <rPr>
        <b/>
        <sz val="16"/>
        <color theme="0"/>
        <rFont val="Arial"/>
        <family val="2"/>
        <scheme val="minor"/>
      </rPr>
      <t>6,5 MtCO2e</t>
    </r>
    <r>
      <rPr>
        <sz val="16"/>
        <color theme="0"/>
        <rFont val="Arial"/>
        <family val="2"/>
        <scheme val="minor"/>
      </rPr>
      <t>) e indirectas del uso de energía eléctrica (</t>
    </r>
    <r>
      <rPr>
        <b/>
        <sz val="16"/>
        <color theme="0"/>
        <rFont val="Arial"/>
        <family val="2"/>
        <scheme val="minor"/>
      </rPr>
      <t>0,4 MtCO2e</t>
    </r>
    <r>
      <rPr>
        <sz val="16"/>
        <color theme="0"/>
        <rFont val="Arial"/>
        <family val="2"/>
        <scheme val="minor"/>
      </rPr>
      <t xml:space="preserve">). Al año 2050, se consideró un aumento del </t>
    </r>
    <r>
      <rPr>
        <b/>
        <sz val="16"/>
        <color theme="0"/>
        <rFont val="Arial"/>
        <family val="2"/>
        <scheme val="minor"/>
      </rPr>
      <t>58%</t>
    </r>
    <r>
      <rPr>
        <sz val="16"/>
        <color theme="0"/>
        <rFont val="Arial"/>
        <family val="2"/>
        <scheme val="minor"/>
      </rPr>
      <t xml:space="preserve"> del consumo de cemento, que implica llegar a </t>
    </r>
    <r>
      <rPr>
        <b/>
        <sz val="16"/>
        <color theme="0"/>
        <rFont val="Arial"/>
        <family val="2"/>
        <scheme val="minor"/>
      </rPr>
      <t>19,5 M</t>
    </r>
    <r>
      <rPr>
        <sz val="16"/>
        <color theme="0"/>
        <rFont val="Arial"/>
        <family val="2"/>
        <scheme val="minor"/>
      </rPr>
      <t xml:space="preserve">t, lo que significaría </t>
    </r>
    <r>
      <rPr>
        <b/>
        <sz val="16"/>
        <color theme="0"/>
        <rFont val="Arial"/>
        <family val="2"/>
        <scheme val="minor"/>
      </rPr>
      <t>10,7 MtCO2e</t>
    </r>
    <r>
      <rPr>
        <sz val="16"/>
        <color theme="0"/>
        <rFont val="Arial"/>
        <family val="2"/>
        <scheme val="minor"/>
      </rPr>
      <t xml:space="preserve"> de emisiones totales BAU.</t>
    </r>
  </si>
  <si>
    <r>
      <t>Las emisiones proyectadas al año 2050 se calculan a partir de la línea base de emisiones al año 2020(*), y el incremento de producción de cemento al 2050 sin eficiencias (</t>
    </r>
    <r>
      <rPr>
        <b/>
        <sz val="16"/>
        <color theme="0"/>
        <rFont val="Arial"/>
        <family val="2"/>
        <scheme val="minor"/>
      </rPr>
      <t>58%</t>
    </r>
    <r>
      <rPr>
        <sz val="16"/>
        <color theme="0"/>
        <rFont val="Arial"/>
        <family val="2"/>
        <scheme val="minor"/>
      </rPr>
      <t>), según escenario BAU (Business as Usual), que significa producir y utilizar el cemento bajo las mismas condiciones actuales en el 2050.</t>
    </r>
  </si>
  <si>
    <t>Emisiones Totales</t>
  </si>
  <si>
    <t>ESCENARIO EMISIONES 2020 - 2050</t>
  </si>
  <si>
    <t>Aumentar la eficiencia en el uso de concreto en la construcción, a través de la inclusión de etapas y actividades aguas arriba y aguas abajo de la industria del cemento y concreto – como diseño, planificación, especificación y construcción – significa, entre otros, no sobre utilizar concreto, si no el volumen más bajo posible que cumpla con los requisitos de aplicación sin comprometer durabilidad y seguridad.</t>
  </si>
  <si>
    <t>Algunas aplicaciones son: elementos de fachada tipo sándwich; diseño con AI y optimización elementos estructurales; cálculos de diseño lineal/elásticos hasta cálculos basados en plasticidad, reutilización residuos de concreto, entre otros. Proyectistas, diseñadores, especificadores, inspectores y directores de obra, contratistas y el Poder Público tienen un rol central para su despliegue.</t>
  </si>
  <si>
    <t xml:space="preserve">Actualmente, la composición de la fabricación del concreto en LAC, se distribuye de la siguiente manera: 28% de premezclado, 64% de cemento en sacos; 5% de mezcla en silos de obra; 3% de prefabricados. Se proyecta, que para el año 2050, la distribución sea de la siguiente forma: 45% de premezclado, 40% de cemento en sacos; 5% de mezcla en silos de obra; 10% de prefabricados; aumentando así la industrialización en este proceso. </t>
  </si>
  <si>
    <t>% PREFABRICADOS</t>
  </si>
  <si>
    <t>El parámetro más importante para determinar las emisiones de CO2e del cemento es su contenido o porcentaje de clínker, que se conoce como factor clínker. A nivel global, según datos reportados en GNR al año 2022, el factor clínker fue de 77%, el cual junto al yeso (5%), caliza (9%), puzolana (2%), escoria (3%); cenizas (3%) y otras adiciones (1%), forman el cemento.</t>
  </si>
  <si>
    <t>GCCA Roadmap</t>
  </si>
  <si>
    <t>Actualmente, en LAC, según datos de GNR del año 2022, el 55% de los hornos son de tipo proceso seco, con precalentador y precalcinador, mientras que un 24% de hornos operan con proceso seco, con precalentador y sin precalcinador, un 1% de hornos largos sin precalcinador, 18% de hornos mixtos; y el 2% restante corresponde a hornos verticales con proceso húmedo. Los valores de energía específica se encuentran entre los 3465 MJ/tclínker y los 6405 MJ/tclínker. El promedio en LAC es de 3576 MJ/tclínker.</t>
  </si>
  <si>
    <t>Este eje depende de varios factores, entre los que se destacan la preparación de materias pimas y combustibles, el aumento en la capacidad de los hornos, el cambio de hornos largos a hornos con 6 etapas y precalcinador y uso de enfriadores de clínker con tecnología eficiente. El promedio global reportado en GNR año 2022 es de 3501 MJ/tclínker.</t>
  </si>
  <si>
    <t>Los combustibles fósiles tradicionales utilizados en hornos de cemento son, principalmente, el carbón y los derivados del petróleo. La energía aportada por este tipo de combustibles, corresponde a la suma de la participación de cada uno de ellos. A nivel global, según GNR 2022, los combustibles fósiles tradicionales correspondieron al 77% de la matriz de combustibles, distribuidos de la siguiente manera: carbón, 38%, petcoke 25%, gas natural 10% y el 4% restante, otros combustibles.</t>
  </si>
  <si>
    <t>Actualmente, el uso de combustibles fósiles es predominante en la industria del cemento, debido a su alta disponibilidad y bajo costo. En la región, el 81% de la matriz de combustibles de la industria cementera corresponde a fósiles tradicionales, distribuidos de la siguiente manera: 49% petcoke, 16% carbón, 14% gas natural y el 2% restante a otros combustibles.</t>
  </si>
  <si>
    <t>Fosiles Tradicionales</t>
  </si>
  <si>
    <t>E. Termica</t>
  </si>
  <si>
    <t>Corresponden a combustibles cuya energía proviene de la fracción fósil de los residuos. Entre ellos se puede destacar los derivados de residuos urbanos o industriales, neumáticos fuera de uso, plásticos, solventes, aceites usados, entre otros, lo que permite el desplazamiento del uso de combustibles fósiles tradicionales.</t>
  </si>
  <si>
    <t>El bajo despliegue de este eje, se debe, entre otros factores, a la inadecuada gestión de los residuos en la Región.</t>
  </si>
  <si>
    <t>Actualmente, la participación de este tipo de combustibles, a nivel regional es de 8%, distribuidos de la siguiente manera: 4% corresponde a residuos industriales y urbanos, 2% a neumáticos fuera de uso, y el 2% restante, a otros combustibles derivados de residuos.</t>
  </si>
  <si>
    <r>
      <t xml:space="preserve">DISEÑO Y CONSTRUCCION - </t>
    </r>
    <r>
      <rPr>
        <b/>
        <sz val="12"/>
        <color theme="1"/>
        <rFont val="Arial"/>
        <family val="2"/>
        <scheme val="minor"/>
      </rPr>
      <t>4.1 Design &amp; Construction</t>
    </r>
  </si>
  <si>
    <t>Ready Mix</t>
  </si>
  <si>
    <t>Construccion Estructural</t>
  </si>
  <si>
    <t>Construccion No Estructural</t>
  </si>
  <si>
    <t>Proporción estimada de concreto utilizado en diferentes tipos de edificios en la actualidad</t>
  </si>
  <si>
    <t>Componentes: Vigas, columnas, fundaciones, losas</t>
  </si>
  <si>
    <t>Proporción estimada de concreto utilizado en diferentes tipos de edificios 2030 y 2050</t>
  </si>
  <si>
    <t xml:space="preserve">Ahorros Estimados de Concreto </t>
  </si>
  <si>
    <t>Especificaciones / Estándares</t>
  </si>
  <si>
    <t>Componentes: cielos, paredes livianas</t>
  </si>
  <si>
    <t>Diseño estructural y sistemas.</t>
  </si>
  <si>
    <t xml:space="preserve">Procesos Constructivos </t>
  </si>
  <si>
    <t>Re-utilización elementos de concreto</t>
  </si>
  <si>
    <t>Ahorro por uso tipos de concreto %</t>
  </si>
  <si>
    <t>Ahorros Acumulados %</t>
  </si>
  <si>
    <t>Demanda Acumulada %</t>
  </si>
  <si>
    <t>Cemento en Sacos</t>
  </si>
  <si>
    <t>Silos en Obra</t>
  </si>
  <si>
    <r>
      <t xml:space="preserve">PROPORCION CONCRETO - </t>
    </r>
    <r>
      <rPr>
        <b/>
        <sz val="12"/>
        <color theme="1"/>
        <rFont val="Arial"/>
        <family val="2"/>
        <scheme val="minor"/>
      </rPr>
      <t>0.2 Share of Concrete</t>
    </r>
  </si>
  <si>
    <t>Participación en producción total concreto</t>
  </si>
  <si>
    <t>Cambio cuota mercado comparada con BAU</t>
  </si>
  <si>
    <t>Aumento cemento en sacos comparada con BAU</t>
  </si>
  <si>
    <t>Celda Roja</t>
  </si>
  <si>
    <t>→</t>
  </si>
  <si>
    <t>Celda calculada desde otra hoja del libro</t>
  </si>
  <si>
    <t>Amarilla</t>
  </si>
  <si>
    <t>Celda calculada en esta hoja del libro</t>
  </si>
  <si>
    <r>
      <t xml:space="preserve">PRODUCCION DE CONCRETO - </t>
    </r>
    <r>
      <rPr>
        <b/>
        <sz val="12"/>
        <color theme="1"/>
        <rFont val="Arial"/>
        <family val="2"/>
        <scheme val="minor"/>
      </rPr>
      <t>3.1 Concrete Production</t>
    </r>
  </si>
  <si>
    <t>Reducción binder/m³ por  cambio saco a industrializado</t>
  </si>
  <si>
    <t>Reducción binder por cambio saco a industrializado</t>
  </si>
  <si>
    <t>Otra reducción del contenido binder</t>
  </si>
  <si>
    <t>Demanda total de contenido binder</t>
  </si>
  <si>
    <t>Celda Amarilla</t>
  </si>
  <si>
    <t>Celda calculada desde celdas de esta hoja</t>
  </si>
  <si>
    <t>Celda Azul</t>
  </si>
  <si>
    <t>Celda con valor por defecto</t>
  </si>
  <si>
    <t>Factor Clínker</t>
  </si>
  <si>
    <t>% Readymix</t>
  </si>
  <si>
    <t>Silos Obra</t>
  </si>
  <si>
    <t>Carbon</t>
  </si>
  <si>
    <t>a</t>
  </si>
  <si>
    <t>b</t>
  </si>
  <si>
    <t>c</t>
  </si>
  <si>
    <t>d</t>
  </si>
  <si>
    <t>e</t>
  </si>
  <si>
    <t>Cemento en el Concreto</t>
  </si>
  <si>
    <t>kgcem/m3</t>
  </si>
  <si>
    <t>Total Fosiles Tradicionales</t>
  </si>
  <si>
    <t>Combustible</t>
  </si>
  <si>
    <t>Derivados de Residuos</t>
  </si>
  <si>
    <t>Residuos Sólidos (RSU/RIS)</t>
  </si>
  <si>
    <t>Neumáticos Fuera de Uso</t>
  </si>
  <si>
    <t>Otros Residuos</t>
  </si>
  <si>
    <t>Derivados de Biomasa</t>
  </si>
  <si>
    <t>Residuos Agrícolas</t>
  </si>
  <si>
    <t>Maderas</t>
  </si>
  <si>
    <t>Otros Residuos Biomasa</t>
  </si>
  <si>
    <t>Clínker BAU [Mt]</t>
  </si>
  <si>
    <t>Cemento BAU [Mt]</t>
  </si>
  <si>
    <t>FE Clinker BAU [kgCO2/tck]</t>
  </si>
  <si>
    <t>Aumento Demanda Escenario BAU [%]</t>
  </si>
  <si>
    <t>Emisiones Directas Clinker BAU [MtCO2]</t>
  </si>
  <si>
    <t>Emisiones Alcance 2 BAU [MTCO2]</t>
  </si>
  <si>
    <t>Emisiones Totales BAU [MTCO2]</t>
  </si>
  <si>
    <t>EMISIONES ESCENARIO BAU</t>
  </si>
  <si>
    <t>COMPOSICION CONCRETO</t>
  </si>
  <si>
    <t>Participacion Premezclado [%]</t>
  </si>
  <si>
    <t>Participacion Sacos [%]</t>
  </si>
  <si>
    <t>Participacion Silos [%]</t>
  </si>
  <si>
    <t>Participacion Prefabricados [%]</t>
  </si>
  <si>
    <t>CEMENTO EN CONCRETO [kgCem/m3)</t>
  </si>
  <si>
    <t>FACTOR CLINKER CANAL</t>
  </si>
  <si>
    <t>MATERIAS PRIMAS CEMENTO</t>
  </si>
  <si>
    <t>Clínker [%]</t>
  </si>
  <si>
    <t>Caliza [%]</t>
  </si>
  <si>
    <t>Escoria Alto Horno [%]</t>
  </si>
  <si>
    <t>Cenizas Volantes [%]</t>
  </si>
  <si>
    <t>Puzolana Natural [%]</t>
  </si>
  <si>
    <t>Otras Adiciones [%]</t>
  </si>
  <si>
    <t>Arcillas Calcinadas [%]</t>
  </si>
  <si>
    <t>Yeso [%]</t>
  </si>
  <si>
    <t>Global</t>
  </si>
  <si>
    <t>LAyC</t>
  </si>
  <si>
    <t>Meta No Condicionada</t>
  </si>
  <si>
    <t>Meta Condicionada</t>
  </si>
  <si>
    <r>
      <t>Volumen Total Concreto [Mm</t>
    </r>
    <r>
      <rPr>
        <b/>
        <vertAlign val="superscript"/>
        <sz val="12"/>
        <rFont val="Figtree"/>
      </rPr>
      <t>3</t>
    </r>
    <r>
      <rPr>
        <b/>
        <sz val="12"/>
        <rFont val="Figtree"/>
      </rPr>
      <t>]</t>
    </r>
  </si>
  <si>
    <t>PROYECCION EMISIONES TOTALES BAU</t>
  </si>
  <si>
    <t>SE DEJA COMPARACION CON PAISES</t>
  </si>
  <si>
    <t>ARGENTINA SE SUMA INDEPENDIENTE</t>
  </si>
  <si>
    <t>FICEM SE CAMBIA POR COMPAÑÍA</t>
  </si>
  <si>
    <t>% READYMIX</t>
  </si>
  <si>
    <t>CEMENTO EN CONCRETO</t>
  </si>
  <si>
    <t>CONCRETO</t>
  </si>
  <si>
    <t>CEMENTO/CONCRETO</t>
  </si>
  <si>
    <t>CEMENTO [Mt]</t>
  </si>
  <si>
    <t>kgCem/m3</t>
  </si>
  <si>
    <t>grafico 2 local biomasa + cdr y coproc</t>
  </si>
  <si>
    <t>GCCA</t>
  </si>
  <si>
    <t>Premezclado [%]</t>
  </si>
  <si>
    <t>Sacos [%]</t>
  </si>
  <si>
    <t>Silos [%]</t>
  </si>
  <si>
    <t>Prefabricados [%]</t>
  </si>
  <si>
    <t>PARTICIPACION POR CANAL</t>
  </si>
  <si>
    <t>Heavy Fuel</t>
  </si>
  <si>
    <t>Diesel Oil</t>
  </si>
  <si>
    <t>Waste oil</t>
  </si>
  <si>
    <t>RDF (incl. Plasticos)</t>
  </si>
  <si>
    <t>Solventes</t>
  </si>
  <si>
    <t>Lodos</t>
  </si>
  <si>
    <t>Papeles, cartones</t>
  </si>
  <si>
    <t>CEMENTO BAU</t>
  </si>
  <si>
    <t>CEMENTO NZA</t>
  </si>
  <si>
    <t>% Silos</t>
  </si>
  <si>
    <t>% Prefabricados</t>
  </si>
  <si>
    <t>MATRIZ COMBUSTIBLES</t>
  </si>
  <si>
    <t>Derivados Residuos Fósiles</t>
  </si>
  <si>
    <t>Energia Producción H2 (MWh/tH2)</t>
  </si>
  <si>
    <t>Poder Calorífico (MJ/kgH2)</t>
  </si>
  <si>
    <r>
      <t>Metano (2,9 veces CO</t>
    </r>
    <r>
      <rPr>
        <vertAlign val="subscript"/>
        <sz val="11"/>
        <color theme="0"/>
        <rFont val="Avenir Next LT Pro"/>
        <family val="2"/>
      </rPr>
      <t>2</t>
    </r>
    <r>
      <rPr>
        <sz val="11"/>
        <color theme="0"/>
        <rFont val="Avenir Next LT Pro"/>
        <family val="2"/>
      </rPr>
      <t xml:space="preserve"> de la Biomasa)</t>
    </r>
  </si>
  <si>
    <t>%Reduccion</t>
  </si>
  <si>
    <t>Factor Recarbonatación</t>
  </si>
  <si>
    <t>Factor Emisión Calcinación</t>
  </si>
  <si>
    <t>Sumidero de Emsiones</t>
  </si>
  <si>
    <t>kgCO2/kgCk</t>
  </si>
  <si>
    <t>MtCk</t>
  </si>
  <si>
    <t>MtCO2</t>
  </si>
  <si>
    <t>Emisiones Brutas Cemento</t>
  </si>
  <si>
    <t>Emisiones Netas Cemento</t>
  </si>
  <si>
    <t>FACTOR CLINKER POR CANAL ARGENTINA</t>
  </si>
  <si>
    <t>FCk Sacos</t>
  </si>
  <si>
    <t>FCk Silos</t>
  </si>
  <si>
    <t>FCk Readymix</t>
  </si>
  <si>
    <t>FCk Precast</t>
  </si>
  <si>
    <t>Ejes 12-13</t>
  </si>
  <si>
    <t>% CEMENTO EN SILOS OBRA</t>
  </si>
  <si>
    <t>CDR Fosiles</t>
  </si>
  <si>
    <t xml:space="preserve"> CANAL</t>
  </si>
  <si>
    <t>Concreto Mm3</t>
  </si>
  <si>
    <t>Concreto (7%)</t>
  </si>
  <si>
    <t>D&amp;C (13%)</t>
  </si>
  <si>
    <t>Cem&amp;Adic (7%)</t>
  </si>
  <si>
    <t>Electr (7%)</t>
  </si>
  <si>
    <t>Fosil Conv (3%)</t>
  </si>
  <si>
    <t>Fosil Alt (2%)</t>
  </si>
  <si>
    <t>H2V (0,5%)</t>
  </si>
  <si>
    <t>Recarb (12%)</t>
  </si>
  <si>
    <t>Clinker (15,5%)</t>
  </si>
  <si>
    <t>Biom (5%)</t>
  </si>
  <si>
    <t>Metano (5%)</t>
  </si>
  <si>
    <t>Efic. Term (2%)</t>
  </si>
  <si>
    <t>Indicador</t>
  </si>
  <si>
    <t>Unidad</t>
  </si>
  <si>
    <t>Pertic</t>
  </si>
  <si>
    <t>FCk</t>
  </si>
  <si>
    <t>% y FCk por Canal</t>
  </si>
  <si>
    <t xml:space="preserve">99,5% lo abate directamente y queda u 0,5% </t>
  </si>
  <si>
    <t>SbN (21%)</t>
  </si>
  <si>
    <t>CCUS (21%)</t>
  </si>
  <si>
    <t>Cembureau</t>
  </si>
  <si>
    <t>India*</t>
  </si>
  <si>
    <t>Coproces</t>
  </si>
  <si>
    <t>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</si>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</sst>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 #,##0_ ;_ * \-#,##0_ ;_ * &quot;-&quot;_ ;_ @_ "/>
    <numFmt numFmtId="43" formatCode="_ * #,##0.00_ ;_ * \-#,##0.00_ ;_ * &quot;-&quot;??_ ;_ @_ "/>
    <numFmt numFmtId="164" formatCode="_-* #,##0.00\ _€_-;\-* #,##0.00\ _€_-;_-* &quot;-&quot;??\ _€_-;_-@_-"/>
    <numFmt numFmtId="165" formatCode="#,##0.000"/>
    <numFmt numFmtId="166" formatCode="0.000"/>
    <numFmt numFmtId="167" formatCode="#,##0.0"/>
    <numFmt numFmtId="168" formatCode="0.0%"/>
    <numFmt numFmtId="169" formatCode="[Color9]\+#,##0.0\ _€;[Color10]\-#,##0.0\ _€"/>
    <numFmt numFmtId="170" formatCode="0.0"/>
    <numFmt numFmtId="171" formatCode="_-* #,##0.0\ _€_-;\-* #,##0.0\ _€_-;_-* &quot;-&quot;??\ _€_-;_-@_-"/>
    <numFmt numFmtId="172" formatCode="_-* #,##0\ _€_-;\-* #,##0\ _€_-;_-* &quot;-&quot;??\ _€_-;_-@_-"/>
    <numFmt numFmtId="173" formatCode="#,##0.00000"/>
    <numFmt numFmtId="174" formatCode="#,##0.0000000"/>
    <numFmt numFmtId="175" formatCode="0.00000000"/>
    <numFmt numFmtId="176" formatCode="_ * #,##0.00_ ;_ * \-#,##0.00_ ;_ * &quot;-&quot;_ ;_ @_ "/>
    <numFmt numFmtId="177" formatCode="_ * #,##0.0_ ;_ * \-#,##0.0_ ;_ * &quot;-&quot;_ ;_ @_ "/>
    <numFmt numFmtId="178" formatCode="_ * #,##0.000_ ;_ * \-#,##0.000_ ;_ * &quot;-&quot;_ ;_ @_ "/>
    <numFmt numFmtId="179" formatCode="0.0000"/>
    <numFmt numFmtId="180" formatCode="_ * #,##0.0000_ ;_ * \-#,##0.0000_ ;_ * &quot;-&quot;_ ;_ @_ "/>
    <numFmt numFmtId="181" formatCode="_-* #,##0.000\ _€_-;\-* #,##0.000\ _€_-;_-* &quot;-&quot;??\ _€_-;_-@_-"/>
    <numFmt numFmtId="182" formatCode="_ * #,##0.0_ ;_ * \-#,##0.0_ ;_ * &quot;-&quot;?_ ;_ @_ "/>
    <numFmt numFmtId="183" formatCode="_ * #,##0.0_ ;_ * \-#,##0.0_ ;_ * &quot;-&quot;??_ ;_ @_ "/>
  </numFmts>
  <fonts count="186">
    <font>
      <sz val="11"/>
      <color theme="1"/>
      <name val="Arial"/>
      <family val="2"/>
      <scheme val="minor"/>
    </font>
    <font>
      <sz val="10"/>
      <name val="Arial"/>
      <family val="2"/>
    </font>
    <font>
      <sz val="10"/>
      <color theme="1"/>
      <name val="Arial"/>
      <family val="2"/>
    </font>
    <font>
      <sz val="10"/>
      <color theme="1"/>
      <name val="Arial"/>
      <family val="2"/>
      <scheme val="minor"/>
    </font>
    <font>
      <sz val="11"/>
      <color theme="1"/>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theme="0"/>
      <name val="Arial"/>
      <family val="2"/>
      <scheme val="minor"/>
    </font>
    <font>
      <b/>
      <sz val="12"/>
      <color theme="1"/>
      <name val="Arial"/>
      <family val="2"/>
      <scheme val="minor"/>
    </font>
    <font>
      <sz val="11"/>
      <name val="Arial"/>
      <family val="2"/>
      <scheme val="minor"/>
    </font>
    <font>
      <sz val="10"/>
      <name val="Arial"/>
      <family val="2"/>
    </font>
    <font>
      <sz val="10"/>
      <name val="Arial"/>
      <family val="2"/>
      <scheme val="minor"/>
    </font>
    <font>
      <b/>
      <sz val="11"/>
      <name val="Arial"/>
      <family val="2"/>
      <scheme val="minor"/>
    </font>
    <font>
      <b/>
      <sz val="10"/>
      <color theme="1"/>
      <name val="Arial"/>
      <family val="2"/>
      <scheme val="minor"/>
    </font>
    <font>
      <sz val="10"/>
      <name val="MS Sans Serif"/>
      <family val="2"/>
    </font>
    <font>
      <sz val="10"/>
      <color rgb="FFFFFFFF"/>
      <name val="Arial"/>
      <family val="2"/>
      <scheme val="minor"/>
    </font>
    <font>
      <sz val="10"/>
      <color rgb="FFFF0000"/>
      <name val="Arial"/>
      <family val="2"/>
      <scheme val="minor"/>
    </font>
    <font>
      <u/>
      <sz val="11"/>
      <color theme="10"/>
      <name val="Arial"/>
      <family val="2"/>
      <scheme val="minor"/>
    </font>
    <font>
      <vertAlign val="subscript"/>
      <sz val="10"/>
      <color theme="1"/>
      <name val="Arial"/>
      <family val="2"/>
      <scheme val="minor"/>
    </font>
    <font>
      <strike/>
      <sz val="10"/>
      <color theme="1"/>
      <name val="Arial"/>
      <family val="2"/>
      <scheme val="minor"/>
    </font>
    <font>
      <b/>
      <sz val="10"/>
      <name val="Arial"/>
      <family val="2"/>
      <scheme val="minor"/>
    </font>
    <font>
      <sz val="10"/>
      <color theme="1"/>
      <name val="Arial Narrow"/>
      <family val="2"/>
    </font>
    <font>
      <sz val="10"/>
      <color theme="1"/>
      <name val="Arial"/>
      <family val="2"/>
    </font>
    <font>
      <strike/>
      <sz val="11"/>
      <color theme="1"/>
      <name val="Arial"/>
      <family val="2"/>
      <scheme val="minor"/>
    </font>
    <font>
      <i/>
      <sz val="11"/>
      <color theme="2" tint="-0.249977111117893"/>
      <name val="Arial"/>
      <family val="2"/>
      <scheme val="minor"/>
    </font>
    <font>
      <b/>
      <sz val="12"/>
      <name val="Arial"/>
      <family val="2"/>
      <scheme val="minor"/>
    </font>
    <font>
      <i/>
      <sz val="10"/>
      <color theme="2" tint="-0.249977111117893"/>
      <name val="Arial"/>
      <family val="2"/>
      <scheme val="minor"/>
    </font>
    <font>
      <sz val="12"/>
      <name val="Arial"/>
      <family val="2"/>
      <scheme val="minor"/>
    </font>
    <font>
      <vertAlign val="subscript"/>
      <sz val="10"/>
      <name val="Arial"/>
      <family val="2"/>
      <scheme val="minor"/>
    </font>
    <font>
      <b/>
      <vertAlign val="subscript"/>
      <sz val="12"/>
      <color theme="1"/>
      <name val="Arial"/>
      <family val="2"/>
      <scheme val="minor"/>
    </font>
    <font>
      <b/>
      <vertAlign val="subscript"/>
      <sz val="10"/>
      <color theme="1"/>
      <name val="Arial"/>
      <family val="2"/>
      <scheme val="minor"/>
    </font>
    <font>
      <b/>
      <sz val="14"/>
      <color theme="1"/>
      <name val="Arial"/>
      <family val="2"/>
      <scheme val="minor"/>
    </font>
    <font>
      <sz val="10"/>
      <name val="Arial Narrow"/>
      <family val="2"/>
    </font>
    <font>
      <sz val="12"/>
      <name val="Arial Narrow"/>
      <family val="2"/>
    </font>
    <font>
      <vertAlign val="subscript"/>
      <sz val="12"/>
      <name val="Arial Narrow"/>
      <family val="2"/>
    </font>
    <font>
      <b/>
      <vertAlign val="subscript"/>
      <sz val="12"/>
      <name val="Arial"/>
      <family val="2"/>
      <scheme val="minor"/>
    </font>
    <font>
      <b/>
      <vertAlign val="subscript"/>
      <sz val="10"/>
      <name val="Arial"/>
      <family val="2"/>
      <scheme val="minor"/>
    </font>
    <font>
      <sz val="10"/>
      <color rgb="FF444444"/>
      <name val="Arial"/>
      <family val="2"/>
    </font>
    <font>
      <b/>
      <sz val="10"/>
      <color theme="1"/>
      <name val="Arial"/>
      <family val="2"/>
    </font>
    <font>
      <b/>
      <sz val="10"/>
      <color theme="1"/>
      <name val="Arial Narrow"/>
      <family val="2"/>
    </font>
    <font>
      <i/>
      <sz val="10"/>
      <color theme="1"/>
      <name val="Arial"/>
      <family val="2"/>
      <scheme val="minor"/>
    </font>
    <font>
      <i/>
      <sz val="10"/>
      <name val="Arial"/>
      <family val="2"/>
      <scheme val="minor"/>
    </font>
    <font>
      <b/>
      <i/>
      <sz val="12"/>
      <name val="Arial"/>
      <family val="2"/>
      <scheme val="minor"/>
    </font>
    <font>
      <b/>
      <sz val="11"/>
      <color theme="1"/>
      <name val="Arial"/>
      <family val="2"/>
      <scheme val="minor"/>
    </font>
    <font>
      <b/>
      <i/>
      <sz val="10"/>
      <color theme="1"/>
      <name val="Arial"/>
      <family val="2"/>
      <scheme val="minor"/>
    </font>
    <font>
      <i/>
      <sz val="10"/>
      <color rgb="FFFF0000"/>
      <name val="Arial"/>
      <family val="2"/>
      <scheme val="minor"/>
    </font>
    <font>
      <i/>
      <sz val="10"/>
      <name val="Arial Narrow"/>
      <family val="2"/>
    </font>
    <font>
      <i/>
      <sz val="10"/>
      <color theme="1"/>
      <name val="Arial"/>
      <family val="2"/>
    </font>
    <font>
      <i/>
      <sz val="10"/>
      <color rgb="FF000000"/>
      <name val="Arial"/>
      <family val="2"/>
      <scheme val="minor"/>
    </font>
    <font>
      <i/>
      <sz val="10"/>
      <color rgb="FF444444"/>
      <name val="Arial"/>
      <family val="2"/>
    </font>
    <font>
      <i/>
      <sz val="11"/>
      <color theme="1"/>
      <name val="Arial"/>
      <family val="2"/>
      <scheme val="minor"/>
    </font>
    <font>
      <i/>
      <strike/>
      <sz val="10"/>
      <color theme="1"/>
      <name val="Arial"/>
      <family val="2"/>
      <scheme val="minor"/>
    </font>
    <font>
      <i/>
      <strike/>
      <sz val="11"/>
      <color theme="1"/>
      <name val="Arial"/>
      <family val="2"/>
      <scheme val="minor"/>
    </font>
    <font>
      <i/>
      <vertAlign val="subscript"/>
      <sz val="10"/>
      <name val="Arial"/>
      <family val="2"/>
      <scheme val="minor"/>
    </font>
    <font>
      <i/>
      <u/>
      <sz val="11"/>
      <color theme="10"/>
      <name val="Arial"/>
      <family val="2"/>
      <scheme val="minor"/>
    </font>
    <font>
      <i/>
      <sz val="11"/>
      <name val="Arial"/>
      <family val="2"/>
      <scheme val="minor"/>
    </font>
    <font>
      <b/>
      <sz val="12"/>
      <name val="Arial"/>
      <family val="2"/>
    </font>
    <font>
      <b/>
      <vertAlign val="subscript"/>
      <sz val="12"/>
      <name val="Arial"/>
      <family val="2"/>
    </font>
    <font>
      <vertAlign val="subscript"/>
      <sz val="10"/>
      <name val="Arial"/>
      <family val="2"/>
    </font>
    <font>
      <vertAlign val="superscript"/>
      <sz val="10"/>
      <color theme="1"/>
      <name val="Arial"/>
      <family val="2"/>
      <scheme val="minor"/>
    </font>
    <font>
      <b/>
      <i/>
      <sz val="10"/>
      <color theme="1"/>
      <name val="Arial"/>
      <family val="2"/>
    </font>
    <font>
      <u/>
      <sz val="10"/>
      <color theme="10"/>
      <name val="Arial"/>
      <family val="2"/>
      <scheme val="minor"/>
    </font>
    <font>
      <b/>
      <i/>
      <sz val="12"/>
      <color theme="1"/>
      <name val="Arial"/>
      <family val="2"/>
      <scheme val="minor"/>
    </font>
    <font>
      <i/>
      <vertAlign val="subscript"/>
      <sz val="10"/>
      <color theme="1"/>
      <name val="Arial"/>
      <family val="2"/>
      <scheme val="minor"/>
    </font>
    <font>
      <sz val="10"/>
      <color rgb="FF00B050"/>
      <name val="Arial"/>
      <family val="2"/>
      <scheme val="minor"/>
    </font>
    <font>
      <sz val="10"/>
      <color theme="0"/>
      <name val="Arial"/>
      <family val="2"/>
      <scheme val="minor"/>
    </font>
    <font>
      <i/>
      <sz val="12"/>
      <name val="Arial"/>
      <family val="2"/>
      <scheme val="minor"/>
    </font>
    <font>
      <sz val="11"/>
      <color rgb="FFFF0000"/>
      <name val="Arial"/>
      <family val="2"/>
      <scheme val="minor"/>
    </font>
    <font>
      <sz val="11"/>
      <color rgb="FF000000"/>
      <name val="Arial"/>
      <family val="2"/>
      <scheme val="minor"/>
    </font>
    <font>
      <b/>
      <sz val="11"/>
      <color rgb="FF000000"/>
      <name val="Arial"/>
      <family val="2"/>
      <scheme val="minor"/>
    </font>
    <font>
      <b/>
      <i/>
      <sz val="11"/>
      <color theme="1"/>
      <name val="Arial"/>
      <family val="2"/>
      <scheme val="minor"/>
    </font>
    <font>
      <b/>
      <sz val="10"/>
      <color rgb="FFFF0000"/>
      <name val="Arial"/>
      <family val="2"/>
      <scheme val="minor"/>
    </font>
    <font>
      <i/>
      <sz val="10"/>
      <color theme="1"/>
      <name val="Arial Narrow"/>
      <family val="2"/>
    </font>
    <font>
      <b/>
      <sz val="16"/>
      <color theme="1"/>
      <name val="Arial"/>
      <family val="2"/>
      <scheme val="minor"/>
    </font>
    <font>
      <b/>
      <vertAlign val="superscript"/>
      <sz val="10"/>
      <color theme="1"/>
      <name val="Arial"/>
      <family val="2"/>
      <scheme val="minor"/>
    </font>
    <font>
      <i/>
      <sz val="10"/>
      <color theme="0" tint="-0.499984740745262"/>
      <name val="Arial"/>
      <family val="2"/>
      <scheme val="minor"/>
    </font>
    <font>
      <i/>
      <sz val="10"/>
      <color theme="0" tint="-0.34998626667073579"/>
      <name val="Arial"/>
      <family val="2"/>
      <scheme val="minor"/>
    </font>
    <font>
      <i/>
      <sz val="10"/>
      <color theme="0" tint="-0.249977111117893"/>
      <name val="Arial"/>
      <family val="2"/>
      <scheme val="minor"/>
    </font>
    <font>
      <sz val="9"/>
      <color theme="1"/>
      <name val="Arial"/>
      <family val="2"/>
      <scheme val="minor"/>
    </font>
    <font>
      <sz val="11"/>
      <color theme="1"/>
      <name val="Avenir Next LT Pro"/>
      <family val="2"/>
    </font>
    <font>
      <sz val="9"/>
      <color theme="0"/>
      <name val="Avenir Next LT Pro"/>
      <family val="2"/>
    </font>
    <font>
      <b/>
      <sz val="11"/>
      <color theme="0"/>
      <name val="Avenir Next LT Pro"/>
      <family val="2"/>
    </font>
    <font>
      <b/>
      <sz val="9"/>
      <color theme="0"/>
      <name val="Avenir Next LT Pro"/>
      <family val="2"/>
    </font>
    <font>
      <b/>
      <sz val="12"/>
      <color theme="0"/>
      <name val="Avenir Next LT Pro"/>
      <family val="2"/>
    </font>
    <font>
      <b/>
      <sz val="11"/>
      <color theme="1"/>
      <name val="Avenir Next LT Pro"/>
      <family val="2"/>
    </font>
    <font>
      <b/>
      <sz val="10"/>
      <color theme="0"/>
      <name val="Avenir Next LT Pro"/>
      <family val="2"/>
    </font>
    <font>
      <b/>
      <sz val="14"/>
      <color theme="0"/>
      <name val="Avenir Next LT Pro"/>
      <family val="2"/>
    </font>
    <font>
      <sz val="10"/>
      <color theme="0"/>
      <name val="Avenir Next LT Pro"/>
      <family val="2"/>
    </font>
    <font>
      <vertAlign val="subscript"/>
      <sz val="11"/>
      <color theme="1"/>
      <name val="Arial"/>
      <family val="2"/>
      <scheme val="minor"/>
    </font>
    <font>
      <sz val="14"/>
      <color theme="1"/>
      <name val="Arial"/>
      <family val="2"/>
      <scheme val="minor"/>
    </font>
    <font>
      <sz val="9"/>
      <color theme="1"/>
      <name val="Avenir Next LT Pro"/>
      <family val="2"/>
    </font>
    <font>
      <sz val="11"/>
      <color theme="0"/>
      <name val="Avenir Next LT Pro"/>
      <family val="2"/>
    </font>
    <font>
      <vertAlign val="subscript"/>
      <sz val="11"/>
      <color theme="0"/>
      <name val="Avenir Next LT Pro"/>
      <family val="2"/>
    </font>
    <font>
      <sz val="12"/>
      <color theme="0"/>
      <name val="Avenir Next LT Pro"/>
      <family val="2"/>
    </font>
    <font>
      <vertAlign val="subscript"/>
      <sz val="12"/>
      <color theme="0"/>
      <name val="Avenir Next LT Pro"/>
      <family val="2"/>
    </font>
    <font>
      <sz val="8"/>
      <color theme="0"/>
      <name val="Avenir Next LT Pro"/>
      <family val="2"/>
    </font>
    <font>
      <sz val="12"/>
      <color theme="1"/>
      <name val="Avenir Next LT Pro"/>
      <family val="2"/>
    </font>
    <font>
      <sz val="12"/>
      <color theme="0"/>
      <name val="Avenir Next LT Pro"/>
      <family val="2"/>
    </font>
    <font>
      <b/>
      <sz val="14"/>
      <color theme="1"/>
      <name val="Avenir Next LT Pro"/>
      <family val="2"/>
    </font>
    <font>
      <b/>
      <sz val="11"/>
      <color theme="0"/>
      <name val="Avenir Next LT Pro"/>
      <family val="2"/>
    </font>
    <font>
      <b/>
      <sz val="12"/>
      <color theme="0"/>
      <name val="Avenir Next LT Pro"/>
      <family val="2"/>
    </font>
    <font>
      <b/>
      <sz val="9"/>
      <color theme="0"/>
      <name val="Avenir Next LT Pro"/>
      <family val="2"/>
    </font>
    <font>
      <b/>
      <sz val="8"/>
      <color theme="0"/>
      <name val="Avenir Next LT Pro"/>
      <family val="2"/>
    </font>
    <font>
      <sz val="12"/>
      <color theme="0" tint="-0.499984740745262"/>
      <name val="Avenir Next LT Pro"/>
      <family val="2"/>
    </font>
    <font>
      <b/>
      <sz val="11"/>
      <color theme="0"/>
      <name val="Avenir Next Regular"/>
    </font>
    <font>
      <vertAlign val="superscript"/>
      <sz val="12"/>
      <color theme="0"/>
      <name val="Avenir Next LT Pro"/>
      <family val="2"/>
    </font>
    <font>
      <b/>
      <sz val="22"/>
      <color theme="1"/>
      <name val="Avenir Next LT Pro"/>
      <family val="2"/>
    </font>
    <font>
      <b/>
      <sz val="14"/>
      <color rgb="FFFFFF00"/>
      <name val="Avenir Next LT Pro"/>
      <family val="2"/>
    </font>
    <font>
      <b/>
      <sz val="11"/>
      <color rgb="FFFFFF00"/>
      <name val="Avenir Next LT Pro"/>
      <family val="2"/>
    </font>
    <font>
      <sz val="8"/>
      <color theme="0"/>
      <name val="Arial"/>
      <family val="2"/>
      <scheme val="minor"/>
    </font>
    <font>
      <vertAlign val="subscript"/>
      <sz val="8"/>
      <color theme="0"/>
      <name val="Arial"/>
      <family val="2"/>
      <scheme val="minor"/>
    </font>
    <font>
      <b/>
      <sz val="12"/>
      <color rgb="FFFFFF00"/>
      <name val="Avenir Next LT Pro"/>
      <family val="2"/>
    </font>
    <font>
      <b/>
      <sz val="16"/>
      <color rgb="FF00B0F0"/>
      <name val="Avenir Next LT Pro"/>
      <family val="2"/>
    </font>
    <font>
      <b/>
      <sz val="14"/>
      <color rgb="FF00B0F0"/>
      <name val="Avenir Next LT Pro"/>
      <family val="2"/>
    </font>
    <font>
      <b/>
      <sz val="13"/>
      <color rgb="FFFFFF00"/>
      <name val="Avenir Next LT Pro"/>
      <family val="2"/>
    </font>
    <font>
      <sz val="10"/>
      <color rgb="FFFFFF00"/>
      <name val="Avenir Next LT Pro"/>
      <family val="2"/>
    </font>
    <font>
      <b/>
      <sz val="18"/>
      <color rgb="FFFFFF00"/>
      <name val="Avenir Next LT Pro"/>
      <family val="2"/>
    </font>
    <font>
      <b/>
      <sz val="9"/>
      <color theme="1"/>
      <name val="Avenir Next LT Pro"/>
      <family val="2"/>
    </font>
    <font>
      <b/>
      <sz val="14"/>
      <color rgb="FFFF0000"/>
      <name val="Avenir Next LT Pro"/>
      <family val="2"/>
    </font>
    <font>
      <sz val="10"/>
      <color rgb="FFFF0000"/>
      <name val="Avenir Next LT Pro"/>
      <family val="2"/>
    </font>
    <font>
      <sz val="14"/>
      <color theme="0"/>
      <name val="Avenir Next LT Pro"/>
      <family val="2"/>
    </font>
    <font>
      <b/>
      <vertAlign val="subscript"/>
      <sz val="12"/>
      <color theme="0"/>
      <name val="Avenir Next LT Pro"/>
      <family val="2"/>
    </font>
    <font>
      <b/>
      <sz val="12"/>
      <color rgb="FFFFC000"/>
      <name val="Avenir Next LT Pro"/>
      <family val="2"/>
    </font>
    <font>
      <b/>
      <sz val="18"/>
      <color rgb="FFFFC000"/>
      <name val="Avenir Next LT Pro"/>
      <family val="2"/>
    </font>
    <font>
      <b/>
      <sz val="16"/>
      <color theme="1"/>
      <name val="Avenir Next LT Pro"/>
      <family val="2"/>
    </font>
    <font>
      <b/>
      <sz val="11"/>
      <color rgb="FFFF0000"/>
      <name val="Avenir Next LT Pro"/>
      <family val="2"/>
    </font>
    <font>
      <b/>
      <sz val="12"/>
      <color rgb="FFFF0000"/>
      <name val="Avenir Next LT Pro"/>
      <family val="2"/>
    </font>
    <font>
      <b/>
      <sz val="14"/>
      <name val="Avenir Next LT Pro"/>
      <family val="2"/>
    </font>
    <font>
      <b/>
      <sz val="12"/>
      <color rgb="FF29B95C"/>
      <name val="Avenir Next LT Pro"/>
      <family val="2"/>
    </font>
    <font>
      <sz val="12"/>
      <color rgb="FFFFFF00"/>
      <name val="Avenir Next LT Pro"/>
      <family val="2"/>
    </font>
    <font>
      <sz val="12"/>
      <color rgb="FF339933"/>
      <name val="Avenir Next LT Pro"/>
      <family val="2"/>
    </font>
    <font>
      <sz val="10"/>
      <color rgb="FF339933"/>
      <name val="Avenir Next LT Pro"/>
      <family val="2"/>
    </font>
    <font>
      <sz val="10"/>
      <color rgb="FFC189F7"/>
      <name val="Avenir Next LT Pro"/>
      <family val="2"/>
    </font>
    <font>
      <sz val="11"/>
      <color rgb="FFC189F7"/>
      <name val="Avenir Next LT Pro"/>
      <family val="2"/>
    </font>
    <font>
      <sz val="10"/>
      <color rgb="FF29B95C"/>
      <name val="Avenir Next LT Pro"/>
      <family val="2"/>
    </font>
    <font>
      <sz val="11"/>
      <color rgb="FF29B95C"/>
      <name val="Avenir Next LT Pro"/>
      <family val="2"/>
    </font>
    <font>
      <b/>
      <sz val="10"/>
      <color rgb="FF29B95C"/>
      <name val="Avenir Next LT Pro"/>
      <family val="2"/>
    </font>
    <font>
      <b/>
      <sz val="11"/>
      <color theme="0"/>
      <name val="Arial"/>
      <family val="2"/>
      <scheme val="minor"/>
    </font>
    <font>
      <sz val="11"/>
      <color theme="0"/>
      <name val="Helvetica"/>
      <family val="2"/>
    </font>
    <font>
      <b/>
      <sz val="20"/>
      <color theme="0"/>
      <name val="Helvetica"/>
      <family val="2"/>
    </font>
    <font>
      <sz val="12"/>
      <color theme="0"/>
      <name val="Helvetica"/>
      <family val="2"/>
    </font>
    <font>
      <sz val="11"/>
      <color theme="4" tint="-0.499984740745262"/>
      <name val="Avenir Next LT Pro"/>
      <family val="2"/>
    </font>
    <font>
      <b/>
      <sz val="11"/>
      <color theme="4" tint="-0.499984740745262"/>
      <name val="Avenir Next LT Pro"/>
      <family val="2"/>
    </font>
    <font>
      <b/>
      <sz val="16"/>
      <color theme="0"/>
      <name val="Avenir Next LT Pro"/>
      <family val="2"/>
    </font>
    <font>
      <sz val="16"/>
      <color theme="0"/>
      <name val="Helvetica"/>
      <family val="3"/>
    </font>
    <font>
      <b/>
      <sz val="16"/>
      <color rgb="FF92D050"/>
      <name val="Helvetica"/>
      <family val="3"/>
    </font>
    <font>
      <b/>
      <sz val="16"/>
      <color rgb="FF00B0F0"/>
      <name val="Helvetica"/>
      <family val="3"/>
    </font>
    <font>
      <sz val="9"/>
      <color theme="0"/>
      <name val="Arial"/>
      <family val="2"/>
      <scheme val="minor"/>
    </font>
    <font>
      <b/>
      <sz val="9"/>
      <color theme="0"/>
      <name val="Arial"/>
      <family val="2"/>
      <scheme val="minor"/>
    </font>
    <font>
      <sz val="16"/>
      <color theme="0"/>
      <name val="Helvetica"/>
      <family val="2"/>
    </font>
    <font>
      <b/>
      <sz val="16"/>
      <color theme="0"/>
      <name val="Arial"/>
      <family val="2"/>
      <scheme val="minor"/>
    </font>
    <font>
      <b/>
      <sz val="20"/>
      <color theme="0"/>
      <name val="Arial"/>
      <family val="2"/>
      <scheme val="minor"/>
    </font>
    <font>
      <sz val="16"/>
      <color theme="0"/>
      <name val="Arial"/>
      <family val="2"/>
      <scheme val="minor"/>
    </font>
    <font>
      <sz val="14"/>
      <color theme="0"/>
      <name val="Helvetica"/>
      <family val="2"/>
    </font>
    <font>
      <sz val="16"/>
      <color theme="0"/>
      <name val="Arial"/>
      <family val="2"/>
      <scheme val="major"/>
    </font>
    <font>
      <b/>
      <sz val="9"/>
      <color theme="1"/>
      <name val="Arial"/>
      <family val="2"/>
      <scheme val="minor"/>
    </font>
    <font>
      <sz val="11"/>
      <color theme="1"/>
      <name val="Calibri"/>
      <family val="2"/>
    </font>
    <font>
      <b/>
      <sz val="9"/>
      <color indexed="81"/>
      <name val="Tahoma"/>
      <family val="2"/>
    </font>
    <font>
      <sz val="9"/>
      <color indexed="81"/>
      <name val="Tahoma"/>
      <family val="2"/>
    </font>
    <font>
      <b/>
      <sz val="13"/>
      <color theme="0"/>
      <name val="Avenir Next LT Pro"/>
      <family val="2"/>
    </font>
    <font>
      <sz val="12"/>
      <color theme="0"/>
      <name val="Figtree"/>
    </font>
    <font>
      <b/>
      <sz val="12"/>
      <color theme="0"/>
      <name val="Figtree"/>
    </font>
    <font>
      <sz val="12"/>
      <name val="Figtree"/>
    </font>
    <font>
      <b/>
      <sz val="12"/>
      <name val="Figtree"/>
    </font>
    <font>
      <b/>
      <sz val="16"/>
      <color theme="0"/>
      <name val="Helvetica"/>
      <family val="2"/>
    </font>
    <font>
      <b/>
      <sz val="14"/>
      <name val="Figtree"/>
    </font>
    <font>
      <b/>
      <sz val="16"/>
      <name val="Helvetica"/>
      <family val="2"/>
    </font>
    <font>
      <b/>
      <vertAlign val="superscript"/>
      <sz val="12"/>
      <name val="Figtree"/>
    </font>
    <font>
      <sz val="11"/>
      <color theme="0"/>
      <name val="Helvetica"/>
      <family val="3"/>
    </font>
    <font>
      <sz val="11"/>
      <name val="Figtree"/>
    </font>
    <font>
      <b/>
      <sz val="10"/>
      <name val="Figtree"/>
    </font>
    <font>
      <b/>
      <sz val="14"/>
      <color theme="0"/>
      <name val="Figtree"/>
    </font>
    <font>
      <b/>
      <sz val="12"/>
      <color theme="0" tint="-0.499984740745262"/>
      <name val="Avenir Next LT Pro"/>
      <family val="2"/>
    </font>
    <font>
      <sz val="9"/>
      <name val="Helvetica"/>
      <family val="2"/>
    </font>
    <font>
      <sz val="12"/>
      <color theme="0"/>
      <name val="Helvetica"/>
      <family val="3"/>
    </font>
    <font>
      <sz val="10"/>
      <color theme="0"/>
      <name val="Helvetica"/>
      <family val="3"/>
    </font>
    <font>
      <b/>
      <sz val="14"/>
      <name val="Helvetica"/>
      <family val="3"/>
    </font>
    <font>
      <b/>
      <sz val="12"/>
      <name val="Helvetica"/>
      <family val="3"/>
    </font>
    <font>
      <b/>
      <sz val="14"/>
      <color theme="0"/>
      <name val="Helvetica"/>
      <family val="3"/>
    </font>
    <font>
      <sz val="12"/>
      <name val="Avenir Next LT Pro"/>
      <family val="2"/>
    </font>
    <font>
      <sz val="18"/>
      <color theme="0"/>
      <name val="Helvetica"/>
      <family val="3"/>
    </font>
    <font>
      <b/>
      <sz val="20"/>
      <color theme="0"/>
      <name val="Helvetica"/>
      <family val="3"/>
    </font>
    <font>
      <b/>
      <sz val="11"/>
      <color rgb="FF00B0F0"/>
      <name val="Avenir Next LT Pro"/>
      <family val="2"/>
    </font>
    <font>
      <b/>
      <sz val="16"/>
      <color theme="0"/>
      <name val="Helvetica"/>
      <family val="3"/>
    </font>
    <font>
      <sz val="14"/>
      <color theme="0"/>
      <name val="Helvetica"/>
      <family val="3"/>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39997558519241921"/>
        <bgColor indexed="65"/>
      </patternFill>
    </fill>
    <fill>
      <patternFill patternType="solid">
        <fgColor theme="7" tint="0.39997558519241921"/>
        <bgColor indexed="65"/>
      </patternFill>
    </fill>
    <fill>
      <patternFill patternType="solid">
        <fgColor theme="9"/>
      </patternFill>
    </fill>
    <fill>
      <patternFill patternType="solid">
        <fgColor theme="9" tint="0.39997558519241921"/>
        <bgColor indexed="65"/>
      </patternFill>
    </fill>
    <fill>
      <patternFill patternType="solid">
        <fgColor theme="4"/>
      </patternFill>
    </fill>
    <fill>
      <patternFill patternType="solid">
        <fgColor rgb="FF00B050"/>
        <bgColor indexed="64"/>
      </patternFill>
    </fill>
    <fill>
      <patternFill patternType="solid">
        <fgColor theme="6" tint="0.59999389629810485"/>
        <bgColor indexed="65"/>
      </patternFill>
    </fill>
    <fill>
      <patternFill patternType="solid">
        <fgColor rgb="FFFF0000"/>
        <bgColor indexed="64"/>
      </patternFill>
    </fill>
    <fill>
      <patternFill patternType="solid">
        <fgColor rgb="FFFFFF00"/>
        <bgColor indexed="64"/>
      </patternFill>
    </fill>
    <fill>
      <patternFill patternType="solid">
        <fgColor theme="3" tint="0.79998168889431442"/>
        <bgColor indexed="64"/>
      </patternFill>
    </fill>
    <fill>
      <patternFill patternType="solid">
        <fgColor rgb="FF00B0F0"/>
        <bgColor indexed="64"/>
      </patternFill>
    </fill>
    <fill>
      <patternFill patternType="solid">
        <fgColor theme="0"/>
        <bgColor indexed="64"/>
      </patternFill>
    </fill>
    <fill>
      <patternFill patternType="solid">
        <fgColor theme="4" tint="0.79998168889431442"/>
        <bgColor indexed="64"/>
      </patternFill>
    </fill>
    <fill>
      <patternFill patternType="solid">
        <fgColor theme="6"/>
        <bgColor indexed="64"/>
      </patternFill>
    </fill>
    <fill>
      <patternFill patternType="solid">
        <fgColor theme="6"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3" tint="0.39997558519241921"/>
        <bgColor indexed="64"/>
      </patternFill>
    </fill>
    <fill>
      <patternFill patternType="solid">
        <fgColor theme="1"/>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rgb="FF002060"/>
        <bgColor indexed="64"/>
      </patternFill>
    </fill>
    <fill>
      <patternFill patternType="solid">
        <fgColor theme="8" tint="-0.89999084444715716"/>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theme="8"/>
        <bgColor indexed="64"/>
      </patternFill>
    </fill>
    <fill>
      <patternFill patternType="solid">
        <fgColor theme="9" tint="-0.24994659260841701"/>
        <bgColor indexed="64"/>
      </patternFill>
    </fill>
    <fill>
      <patternFill patternType="solid">
        <fgColor theme="3" tint="-0.249977111117893"/>
        <bgColor indexed="64"/>
      </patternFill>
    </fill>
    <fill>
      <patternFill patternType="solid">
        <fgColor theme="3" tint="-0.499984740745262"/>
        <bgColor indexed="64"/>
      </patternFill>
    </fill>
  </fills>
  <borders count="235">
    <border>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indexed="64"/>
      </left>
      <right/>
      <top style="medium">
        <color indexed="64"/>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indexed="64"/>
      </top>
      <bottom style="medium">
        <color indexed="64"/>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double">
        <color indexed="64"/>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right style="double">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theme="2" tint="-0.24994659260841701"/>
      </left>
      <right style="thin">
        <color theme="2" tint="-0.24994659260841701"/>
      </right>
      <top style="medium">
        <color theme="2" tint="-0.24994659260841701"/>
      </top>
      <bottom style="thin">
        <color theme="2" tint="-0.24994659260841701"/>
      </bottom>
      <diagonal/>
    </border>
    <border>
      <left style="thin">
        <color theme="2" tint="-0.24994659260841701"/>
      </left>
      <right style="thin">
        <color theme="2" tint="-0.24994659260841701"/>
      </right>
      <top style="medium">
        <color theme="2" tint="-0.24994659260841701"/>
      </top>
      <bottom style="thin">
        <color theme="2" tint="-0.24994659260841701"/>
      </bottom>
      <diagonal/>
    </border>
    <border>
      <left style="thin">
        <color theme="2" tint="-0.24994659260841701"/>
      </left>
      <right style="medium">
        <color theme="2" tint="-0.24994659260841701"/>
      </right>
      <top style="medium">
        <color theme="2" tint="-0.24994659260841701"/>
      </top>
      <bottom style="thin">
        <color theme="2" tint="-0.24994659260841701"/>
      </bottom>
      <diagonal/>
    </border>
    <border>
      <left style="medium">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medium">
        <color theme="2" tint="-0.24994659260841701"/>
      </right>
      <top style="thin">
        <color theme="2" tint="-0.24994659260841701"/>
      </top>
      <bottom style="thin">
        <color theme="2" tint="-0.24994659260841701"/>
      </bottom>
      <diagonal/>
    </border>
    <border>
      <left style="medium">
        <color theme="2" tint="-0.24994659260841701"/>
      </left>
      <right style="thin">
        <color theme="2" tint="-0.24994659260841701"/>
      </right>
      <top style="thin">
        <color theme="2" tint="-0.24994659260841701"/>
      </top>
      <bottom style="medium">
        <color theme="2" tint="-0.24994659260841701"/>
      </bottom>
      <diagonal/>
    </border>
    <border>
      <left style="thin">
        <color theme="2" tint="-0.24994659260841701"/>
      </left>
      <right style="thin">
        <color theme="2" tint="-0.24994659260841701"/>
      </right>
      <top style="thin">
        <color theme="2" tint="-0.24994659260841701"/>
      </top>
      <bottom style="medium">
        <color theme="2" tint="-0.24994659260841701"/>
      </bottom>
      <diagonal/>
    </border>
    <border>
      <left style="thin">
        <color theme="2" tint="-0.24994659260841701"/>
      </left>
      <right style="medium">
        <color theme="2" tint="-0.24994659260841701"/>
      </right>
      <top style="thin">
        <color theme="2" tint="-0.24994659260841701"/>
      </top>
      <bottom style="medium">
        <color theme="2" tint="-0.2499465926084170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theme="2" tint="-0.24994659260841701"/>
      </left>
      <right/>
      <top style="medium">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top style="thin">
        <color theme="2" tint="-0.24994659260841701"/>
      </top>
      <bottom style="medium">
        <color theme="2" tint="-0.24994659260841701"/>
      </bottom>
      <diagonal/>
    </border>
    <border>
      <left/>
      <right/>
      <top style="medium">
        <color auto="1"/>
      </top>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thin">
        <color theme="0" tint="-0.14996795556505021"/>
      </top>
      <bottom style="thin">
        <color theme="0" tint="-0.14996795556505021"/>
      </bottom>
      <diagonal/>
    </border>
    <border>
      <left/>
      <right/>
      <top/>
      <bottom style="thin">
        <color theme="0" tint="-0.14996795556505021"/>
      </bottom>
      <diagonal/>
    </border>
    <border>
      <left/>
      <right/>
      <top style="thin">
        <color theme="0" tint="-0.14996795556505021"/>
      </top>
      <bottom/>
      <diagonal/>
    </border>
    <border>
      <left/>
      <right/>
      <top style="thin">
        <color theme="1" tint="0.24994659260841701"/>
      </top>
      <bottom style="thin">
        <color theme="1" tint="0.2499465926084170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auto="1"/>
      </top>
      <bottom style="thin">
        <color theme="1" tint="0.24994659260841701"/>
      </bottom>
      <diagonal/>
    </border>
    <border>
      <left/>
      <right style="medium">
        <color auto="1"/>
      </right>
      <top style="medium">
        <color auto="1"/>
      </top>
      <bottom style="thin">
        <color theme="1" tint="0.24994659260841701"/>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right style="thin">
        <color theme="0"/>
      </right>
      <top style="medium">
        <color theme="0"/>
      </top>
      <bottom/>
      <diagonal/>
    </border>
    <border>
      <left/>
      <right style="thin">
        <color theme="0"/>
      </right>
      <top/>
      <bottom/>
      <diagonal/>
    </border>
    <border>
      <left style="medium">
        <color theme="0"/>
      </left>
      <right/>
      <top style="hair">
        <color theme="0"/>
      </top>
      <bottom style="hair">
        <color theme="0"/>
      </bottom>
      <diagonal/>
    </border>
    <border>
      <left/>
      <right/>
      <top style="hair">
        <color theme="0"/>
      </top>
      <bottom style="hair">
        <color theme="0"/>
      </bottom>
      <diagonal/>
    </border>
    <border>
      <left/>
      <right style="thin">
        <color theme="0"/>
      </right>
      <top style="hair">
        <color theme="0"/>
      </top>
      <bottom style="hair">
        <color theme="0"/>
      </bottom>
      <diagonal/>
    </border>
    <border>
      <left style="medium">
        <color theme="0"/>
      </left>
      <right/>
      <top style="hair">
        <color theme="0"/>
      </top>
      <bottom style="medium">
        <color theme="0"/>
      </bottom>
      <diagonal/>
    </border>
    <border>
      <left/>
      <right/>
      <top style="hair">
        <color theme="0"/>
      </top>
      <bottom style="medium">
        <color theme="0"/>
      </bottom>
      <diagonal/>
    </border>
    <border>
      <left/>
      <right style="thin">
        <color theme="0"/>
      </right>
      <top style="hair">
        <color theme="0"/>
      </top>
      <bottom style="medium">
        <color theme="0"/>
      </bottom>
      <diagonal/>
    </border>
    <border>
      <left style="medium">
        <color theme="0"/>
      </left>
      <right/>
      <top style="thin">
        <color theme="0"/>
      </top>
      <bottom style="hair">
        <color theme="0"/>
      </bottom>
      <diagonal/>
    </border>
    <border>
      <left/>
      <right/>
      <top style="thin">
        <color theme="0"/>
      </top>
      <bottom style="hair">
        <color theme="0"/>
      </bottom>
      <diagonal/>
    </border>
    <border>
      <left/>
      <right style="thin">
        <color theme="0"/>
      </right>
      <top style="thin">
        <color theme="0"/>
      </top>
      <bottom style="hair">
        <color theme="0"/>
      </bottom>
      <diagonal/>
    </border>
    <border>
      <left style="thin">
        <color theme="0"/>
      </left>
      <right/>
      <top style="thin">
        <color theme="0"/>
      </top>
      <bottom style="hair">
        <color theme="0"/>
      </bottom>
      <diagonal/>
    </border>
    <border>
      <left style="thin">
        <color theme="0"/>
      </left>
      <right/>
      <top style="hair">
        <color theme="0"/>
      </top>
      <bottom style="hair">
        <color theme="0"/>
      </bottom>
      <diagonal/>
    </border>
    <border>
      <left style="thin">
        <color theme="0"/>
      </left>
      <right/>
      <top style="hair">
        <color theme="0"/>
      </top>
      <bottom style="medium">
        <color theme="0"/>
      </bottom>
      <diagonal/>
    </border>
    <border>
      <left style="thin">
        <color theme="0"/>
      </left>
      <right style="medium">
        <color theme="0"/>
      </right>
      <top style="thin">
        <color theme="0"/>
      </top>
      <bottom style="hair">
        <color theme="0"/>
      </bottom>
      <diagonal/>
    </border>
    <border>
      <left style="thin">
        <color theme="0"/>
      </left>
      <right style="medium">
        <color theme="0"/>
      </right>
      <top style="hair">
        <color theme="0"/>
      </top>
      <bottom style="hair">
        <color theme="0"/>
      </bottom>
      <diagonal/>
    </border>
    <border>
      <left style="thin">
        <color theme="0"/>
      </left>
      <right style="medium">
        <color theme="0"/>
      </right>
      <top style="hair">
        <color theme="0"/>
      </top>
      <bottom style="medium">
        <color theme="0"/>
      </bottom>
      <diagonal/>
    </border>
    <border>
      <left style="thin">
        <color theme="0"/>
      </left>
      <right style="medium">
        <color theme="0"/>
      </right>
      <top style="medium">
        <color theme="0"/>
      </top>
      <bottom/>
      <diagonal/>
    </border>
    <border>
      <left style="thin">
        <color theme="0"/>
      </left>
      <right style="medium">
        <color theme="0"/>
      </right>
      <top/>
      <bottom style="thin">
        <color theme="0"/>
      </bottom>
      <diagonal/>
    </border>
    <border>
      <left/>
      <right/>
      <top style="hair">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medium">
        <color auto="1"/>
      </left>
      <right style="hair">
        <color auto="1"/>
      </right>
      <top/>
      <bottom/>
      <diagonal/>
    </border>
    <border>
      <left style="hair">
        <color auto="1"/>
      </left>
      <right style="hair">
        <color auto="1"/>
      </right>
      <top/>
      <bottom/>
      <diagonal/>
    </border>
    <border>
      <left style="hair">
        <color auto="1"/>
      </left>
      <right style="medium">
        <color auto="1"/>
      </right>
      <top/>
      <bottom/>
      <diagonal/>
    </border>
    <border>
      <left style="medium">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medium">
        <color auto="1"/>
      </right>
      <top style="thin">
        <color auto="1"/>
      </top>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style="hair">
        <color auto="1"/>
      </bottom>
      <diagonal/>
    </border>
    <border>
      <left style="medium">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top/>
      <bottom style="medium">
        <color auto="1"/>
      </bottom>
      <diagonal/>
    </border>
    <border>
      <left style="medium">
        <color auto="1"/>
      </left>
      <right style="medium">
        <color auto="1"/>
      </right>
      <top style="hair">
        <color auto="1"/>
      </top>
      <bottom style="medium">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style="medium">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medium">
        <color auto="1"/>
      </left>
      <right style="hair">
        <color auto="1"/>
      </right>
      <top style="hair">
        <color auto="1"/>
      </top>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right style="medium">
        <color auto="1"/>
      </right>
      <top style="hair">
        <color auto="1"/>
      </top>
      <bottom style="medium">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style="thin">
        <color auto="1"/>
      </top>
      <bottom style="medium">
        <color auto="1"/>
      </bottom>
      <diagonal/>
    </border>
    <border>
      <left/>
      <right style="hair">
        <color auto="1"/>
      </right>
      <top style="thin">
        <color auto="1"/>
      </top>
      <bottom style="medium">
        <color auto="1"/>
      </bottom>
      <diagonal/>
    </border>
    <border>
      <left style="medium">
        <color theme="2"/>
      </left>
      <right style="medium">
        <color theme="2"/>
      </right>
      <top style="medium">
        <color theme="2"/>
      </top>
      <bottom/>
      <diagonal/>
    </border>
    <border>
      <left style="medium">
        <color theme="2"/>
      </left>
      <right style="medium">
        <color theme="2"/>
      </right>
      <top/>
      <bottom/>
      <diagonal/>
    </border>
    <border>
      <left style="medium">
        <color theme="2"/>
      </left>
      <right style="medium">
        <color theme="2"/>
      </right>
      <top/>
      <bottom style="medium">
        <color theme="2"/>
      </bottom>
      <diagonal/>
    </border>
    <border>
      <left style="medium">
        <color theme="2"/>
      </left>
      <right style="medium">
        <color theme="2"/>
      </right>
      <top style="thin">
        <color theme="2"/>
      </top>
      <bottom style="medium">
        <color theme="2"/>
      </bottom>
      <diagonal/>
    </border>
    <border>
      <left style="medium">
        <color theme="2"/>
      </left>
      <right style="medium">
        <color theme="2"/>
      </right>
      <top/>
      <bottom style="thin">
        <color theme="2"/>
      </bottom>
      <diagonal/>
    </border>
    <border>
      <left style="thin">
        <color theme="0" tint="-0.14996795556505021"/>
      </left>
      <right style="thin">
        <color theme="0" tint="-0.14996795556505021"/>
      </right>
      <top style="medium">
        <color theme="0" tint="-0.14996795556505021"/>
      </top>
      <bottom style="hair">
        <color theme="0" tint="-0.14996795556505021"/>
      </bottom>
      <diagonal/>
    </border>
    <border>
      <left style="thin">
        <color theme="0" tint="-0.14996795556505021"/>
      </left>
      <right style="medium">
        <color theme="0" tint="-0.14996795556505021"/>
      </right>
      <top style="medium">
        <color theme="0" tint="-0.14996795556505021"/>
      </top>
      <bottom style="hair">
        <color theme="0" tint="-0.14996795556505021"/>
      </bottom>
      <diagonal/>
    </border>
    <border>
      <left style="thin">
        <color theme="0" tint="-0.14996795556505021"/>
      </left>
      <right style="thin">
        <color theme="0" tint="-0.14996795556505021"/>
      </right>
      <top style="hair">
        <color theme="0" tint="-0.14996795556505021"/>
      </top>
      <bottom style="hair">
        <color theme="0" tint="-0.14993743705557422"/>
      </bottom>
      <diagonal/>
    </border>
    <border>
      <left style="thin">
        <color theme="0" tint="-0.14996795556505021"/>
      </left>
      <right style="medium">
        <color theme="0" tint="-0.14996795556505021"/>
      </right>
      <top style="hair">
        <color theme="0" tint="-0.14996795556505021"/>
      </top>
      <bottom style="hair">
        <color theme="0" tint="-0.14993743705557422"/>
      </bottom>
      <diagonal/>
    </border>
    <border>
      <left style="thin">
        <color theme="0" tint="-0.14996795556505021"/>
      </left>
      <right style="thin">
        <color theme="0" tint="-0.14996795556505021"/>
      </right>
      <top style="hair">
        <color theme="0" tint="-0.14993743705557422"/>
      </top>
      <bottom style="hair">
        <color theme="0" tint="-0.14993743705557422"/>
      </bottom>
      <diagonal/>
    </border>
    <border>
      <left style="thin">
        <color theme="0" tint="-0.14996795556505021"/>
      </left>
      <right style="medium">
        <color theme="0" tint="-0.14996795556505021"/>
      </right>
      <top style="hair">
        <color theme="0" tint="-0.14993743705557422"/>
      </top>
      <bottom style="hair">
        <color theme="0" tint="-0.14993743705557422"/>
      </bottom>
      <diagonal/>
    </border>
    <border>
      <left style="thin">
        <color theme="0" tint="-0.14996795556505021"/>
      </left>
      <right style="thin">
        <color theme="0" tint="-0.14996795556505021"/>
      </right>
      <top style="hair">
        <color theme="0" tint="-0.14993743705557422"/>
      </top>
      <bottom style="medium">
        <color theme="0" tint="-0.14996795556505021"/>
      </bottom>
      <diagonal/>
    </border>
    <border>
      <left style="thin">
        <color theme="0" tint="-0.14996795556505021"/>
      </left>
      <right style="medium">
        <color theme="0" tint="-0.14996795556505021"/>
      </right>
      <top style="hair">
        <color theme="0" tint="-0.14993743705557422"/>
      </top>
      <bottom style="medium">
        <color theme="0" tint="-0.14996795556505021"/>
      </bottom>
      <diagonal/>
    </border>
    <border>
      <left/>
      <right style="thin">
        <color theme="0" tint="-0.14996795556505021"/>
      </right>
      <top style="medium">
        <color theme="0" tint="-0.14996795556505021"/>
      </top>
      <bottom style="hair">
        <color theme="0" tint="-0.14996795556505021"/>
      </bottom>
      <diagonal/>
    </border>
    <border>
      <left/>
      <right style="thin">
        <color theme="0" tint="-0.14996795556505021"/>
      </right>
      <top style="hair">
        <color theme="0" tint="-0.14996795556505021"/>
      </top>
      <bottom style="hair">
        <color theme="0" tint="-0.14993743705557422"/>
      </bottom>
      <diagonal/>
    </border>
    <border>
      <left/>
      <right style="thin">
        <color theme="0" tint="-0.14996795556505021"/>
      </right>
      <top style="hair">
        <color theme="0" tint="-0.14993743705557422"/>
      </top>
      <bottom style="hair">
        <color theme="0" tint="-0.14993743705557422"/>
      </bottom>
      <diagonal/>
    </border>
    <border>
      <left/>
      <right style="thin">
        <color theme="0" tint="-0.14996795556505021"/>
      </right>
      <top style="hair">
        <color theme="0" tint="-0.14993743705557422"/>
      </top>
      <bottom style="medium">
        <color theme="0" tint="-0.14996795556505021"/>
      </bottom>
      <diagonal/>
    </border>
    <border>
      <left style="medium">
        <color theme="0" tint="-0.14993743705557422"/>
      </left>
      <right/>
      <top style="medium">
        <color theme="0" tint="-0.14993743705557422"/>
      </top>
      <bottom style="hair">
        <color theme="0" tint="-0.14993743705557422"/>
      </bottom>
      <diagonal/>
    </border>
    <border>
      <left/>
      <right style="thin">
        <color theme="0" tint="-0.14993743705557422"/>
      </right>
      <top style="medium">
        <color theme="0" tint="-0.14993743705557422"/>
      </top>
      <bottom style="hair">
        <color theme="0" tint="-0.14993743705557422"/>
      </bottom>
      <diagonal/>
    </border>
    <border>
      <left style="medium">
        <color theme="0" tint="-0.14993743705557422"/>
      </left>
      <right/>
      <top style="hair">
        <color theme="0" tint="-0.14993743705557422"/>
      </top>
      <bottom style="hair">
        <color theme="0" tint="-0.14993743705557422"/>
      </bottom>
      <diagonal/>
    </border>
    <border>
      <left/>
      <right style="thin">
        <color theme="0" tint="-0.14993743705557422"/>
      </right>
      <top style="hair">
        <color theme="0" tint="-0.14993743705557422"/>
      </top>
      <bottom style="hair">
        <color theme="0" tint="-0.14993743705557422"/>
      </bottom>
      <diagonal/>
    </border>
    <border>
      <left style="medium">
        <color theme="0" tint="-0.14993743705557422"/>
      </left>
      <right/>
      <top style="hair">
        <color theme="0" tint="-0.14993743705557422"/>
      </top>
      <bottom style="medium">
        <color theme="0" tint="-0.14993743705557422"/>
      </bottom>
      <diagonal/>
    </border>
    <border>
      <left/>
      <right style="thin">
        <color theme="0" tint="-0.14993743705557422"/>
      </right>
      <top style="hair">
        <color theme="0" tint="-0.14993743705557422"/>
      </top>
      <bottom style="medium">
        <color theme="0" tint="-0.14993743705557422"/>
      </bottom>
      <diagonal/>
    </border>
  </borders>
  <cellStyleXfs count="20">
    <xf numFmtId="0" fontId="0" fillId="0" borderId="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9" fontId="4" fillId="0" borderId="0" applyFont="0" applyFill="0" applyBorder="0" applyAlignment="0" applyProtection="0"/>
    <xf numFmtId="0" fontId="4" fillId="11" borderId="0" applyNumberFormat="0" applyBorder="0" applyAlignment="0" applyProtection="0"/>
    <xf numFmtId="0" fontId="11" fillId="0" borderId="0"/>
    <xf numFmtId="9" fontId="11" fillId="0" borderId="0" applyFont="0" applyFill="0" applyBorder="0" applyAlignment="0" applyProtection="0"/>
    <xf numFmtId="0" fontId="15" fillId="0" borderId="0"/>
    <xf numFmtId="43" fontId="1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4" fillId="0" borderId="0" applyFont="0" applyFill="0" applyBorder="0" applyAlignment="0" applyProtection="0"/>
    <xf numFmtId="0" fontId="18" fillId="0" borderId="0" applyNumberFormat="0" applyFill="0" applyBorder="0" applyAlignment="0" applyProtection="0"/>
    <xf numFmtId="41" fontId="4" fillId="0" borderId="0" applyFont="0" applyFill="0" applyBorder="0" applyAlignment="0" applyProtection="0"/>
  </cellStyleXfs>
  <cellXfs count="1593">
    <xf numFmtId="0" fontId="0" fillId="0" borderId="0" xfId="0"/>
    <xf numFmtId="0" fontId="3" fillId="0" borderId="6" xfId="0" applyFont="1" applyBorder="1" applyAlignment="1">
      <alignment horizontal="left" vertical="center"/>
    </xf>
    <xf numFmtId="0" fontId="3" fillId="0" borderId="6" xfId="0" applyFont="1" applyBorder="1" applyAlignment="1">
      <alignment vertical="center"/>
    </xf>
    <xf numFmtId="0" fontId="3" fillId="0" borderId="6" xfId="0" applyFont="1" applyBorder="1" applyAlignment="1">
      <alignment horizontal="left" vertical="center" wrapText="1"/>
    </xf>
    <xf numFmtId="0" fontId="3" fillId="0" borderId="6" xfId="0" applyFont="1" applyBorder="1" applyAlignment="1">
      <alignment vertical="center" wrapText="1"/>
    </xf>
    <xf numFmtId="49" fontId="3" fillId="0" borderId="6" xfId="0" applyNumberFormat="1" applyFont="1" applyBorder="1" applyAlignment="1">
      <alignment horizontal="left" vertical="center" wrapText="1"/>
    </xf>
    <xf numFmtId="0" fontId="12" fillId="0" borderId="6" xfId="0" applyFont="1" applyBorder="1" applyAlignment="1">
      <alignment vertical="center"/>
    </xf>
    <xf numFmtId="0" fontId="9" fillId="0" borderId="6" xfId="0" applyFont="1" applyBorder="1" applyAlignment="1">
      <alignment horizontal="left" vertical="center" wrapText="1"/>
    </xf>
    <xf numFmtId="0" fontId="12" fillId="0" borderId="6" xfId="0" applyFont="1" applyBorder="1" applyAlignment="1">
      <alignment horizontal="left" vertical="center" wrapText="1"/>
    </xf>
    <xf numFmtId="0" fontId="26" fillId="0" borderId="6" xfId="0" applyFont="1" applyBorder="1" applyAlignment="1">
      <alignment horizontal="center" vertical="center" wrapText="1"/>
    </xf>
    <xf numFmtId="9" fontId="12" fillId="0" borderId="6" xfId="9" applyFont="1" applyFill="1" applyBorder="1" applyAlignment="1">
      <alignment horizontal="center" vertical="center" wrapText="1"/>
    </xf>
    <xf numFmtId="9" fontId="12" fillId="0" borderId="5" xfId="9" applyFont="1" applyFill="1" applyBorder="1" applyAlignment="1">
      <alignment horizontal="center" vertical="center" wrapText="1"/>
    </xf>
    <xf numFmtId="0" fontId="12" fillId="0" borderId="6" xfId="0" applyFont="1" applyBorder="1" applyAlignment="1">
      <alignment horizontal="center" vertical="center" wrapText="1"/>
    </xf>
    <xf numFmtId="0" fontId="9" fillId="0" borderId="30" xfId="0" applyFont="1" applyBorder="1" applyAlignment="1">
      <alignment horizontal="left" vertical="center" wrapText="1"/>
    </xf>
    <xf numFmtId="0" fontId="3" fillId="0" borderId="30" xfId="0" applyFont="1" applyBorder="1" applyAlignment="1">
      <alignment horizontal="left" vertical="center" wrapText="1"/>
    </xf>
    <xf numFmtId="0" fontId="12" fillId="0" borderId="30" xfId="0" applyFont="1" applyBorder="1" applyAlignment="1">
      <alignment horizontal="left" vertical="center" wrapText="1"/>
    </xf>
    <xf numFmtId="0" fontId="3" fillId="0" borderId="30" xfId="0" applyFont="1" applyBorder="1" applyAlignment="1">
      <alignment vertical="center"/>
    </xf>
    <xf numFmtId="0" fontId="3" fillId="0" borderId="29" xfId="0" applyFont="1" applyBorder="1" applyAlignment="1">
      <alignment horizontal="left" vertical="center" wrapText="1"/>
    </xf>
    <xf numFmtId="49" fontId="3" fillId="0" borderId="29" xfId="0" applyNumberFormat="1" applyFont="1" applyBorder="1" applyAlignment="1">
      <alignment horizontal="left" vertical="center" wrapText="1"/>
    </xf>
    <xf numFmtId="0" fontId="21" fillId="16" borderId="33" xfId="4" applyFont="1" applyFill="1" applyBorder="1" applyAlignment="1">
      <alignment horizontal="center" vertical="center"/>
    </xf>
    <xf numFmtId="0" fontId="12" fillId="0" borderId="31" xfId="0" applyFont="1" applyBorder="1" applyAlignment="1">
      <alignment horizontal="left" vertical="center" wrapText="1"/>
    </xf>
    <xf numFmtId="0" fontId="12" fillId="17" borderId="31" xfId="4" applyFont="1" applyFill="1" applyBorder="1" applyAlignment="1">
      <alignment horizontal="center" vertical="center"/>
    </xf>
    <xf numFmtId="0" fontId="12" fillId="17" borderId="32" xfId="4" applyFont="1" applyFill="1" applyBorder="1" applyAlignment="1">
      <alignment horizontal="center" vertical="center"/>
    </xf>
    <xf numFmtId="0" fontId="12" fillId="17" borderId="33" xfId="4" applyFont="1" applyFill="1" applyBorder="1" applyAlignment="1">
      <alignment horizontal="center" vertical="center"/>
    </xf>
    <xf numFmtId="0" fontId="12" fillId="11" borderId="31" xfId="10" applyFont="1" applyBorder="1" applyAlignment="1">
      <alignment horizontal="center" vertical="center"/>
    </xf>
    <xf numFmtId="0" fontId="12" fillId="11" borderId="32" xfId="10" applyFont="1" applyBorder="1" applyAlignment="1">
      <alignment horizontal="center" vertical="center"/>
    </xf>
    <xf numFmtId="0" fontId="12" fillId="11" borderId="33" xfId="10" applyFont="1" applyBorder="1" applyAlignment="1">
      <alignment horizontal="center" vertical="center"/>
    </xf>
    <xf numFmtId="0" fontId="12" fillId="19" borderId="31" xfId="7" applyFont="1" applyFill="1" applyBorder="1" applyAlignment="1">
      <alignment horizontal="center" vertical="center" wrapText="1"/>
    </xf>
    <xf numFmtId="0" fontId="12" fillId="19" borderId="33" xfId="7" applyFont="1" applyFill="1" applyBorder="1" applyAlignment="1">
      <alignment horizontal="center" vertical="center" wrapText="1"/>
    </xf>
    <xf numFmtId="0" fontId="12" fillId="6" borderId="31" xfId="5" applyFont="1" applyBorder="1" applyAlignment="1">
      <alignment horizontal="center" vertical="center"/>
    </xf>
    <xf numFmtId="0" fontId="12" fillId="6" borderId="32" xfId="5" applyFont="1" applyBorder="1" applyAlignment="1">
      <alignment horizontal="center" vertical="center"/>
    </xf>
    <xf numFmtId="0" fontId="12" fillId="6" borderId="33" xfId="5" applyFont="1" applyBorder="1" applyAlignment="1">
      <alignment horizontal="center" vertical="center"/>
    </xf>
    <xf numFmtId="0" fontId="3" fillId="0" borderId="29" xfId="0" applyFont="1" applyBorder="1" applyAlignment="1">
      <alignment vertical="center"/>
    </xf>
    <xf numFmtId="0" fontId="12" fillId="0" borderId="5" xfId="0" applyFont="1" applyBorder="1" applyAlignment="1">
      <alignment horizontal="center" vertical="center" wrapText="1"/>
    </xf>
    <xf numFmtId="0" fontId="26" fillId="0" borderId="5" xfId="0" applyFont="1" applyBorder="1" applyAlignment="1">
      <alignment horizontal="center" vertical="center" wrapText="1"/>
    </xf>
    <xf numFmtId="0" fontId="21" fillId="16" borderId="32" xfId="4" applyFont="1" applyFill="1" applyBorder="1" applyAlignment="1">
      <alignment horizontal="center" vertical="center"/>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3" fillId="0" borderId="36" xfId="0" applyFont="1" applyBorder="1" applyAlignment="1">
      <alignment horizontal="left" vertical="center" wrapText="1"/>
    </xf>
    <xf numFmtId="0" fontId="3" fillId="0" borderId="6" xfId="0" quotePrefix="1" applyFont="1" applyBorder="1" applyAlignment="1">
      <alignment horizontal="left" vertical="center" wrapText="1"/>
    </xf>
    <xf numFmtId="9" fontId="12" fillId="13" borderId="6" xfId="9" applyFont="1" applyFill="1" applyBorder="1" applyAlignment="1">
      <alignment horizontal="center" vertical="center" wrapText="1"/>
    </xf>
    <xf numFmtId="1" fontId="27" fillId="0" borderId="6" xfId="0" applyNumberFormat="1" applyFont="1" applyBorder="1" applyAlignment="1">
      <alignment horizontal="center" vertical="center"/>
    </xf>
    <xf numFmtId="0" fontId="12" fillId="0" borderId="5" xfId="0" applyFont="1" applyBorder="1" applyAlignment="1">
      <alignment horizontal="left" vertical="center" wrapText="1"/>
    </xf>
    <xf numFmtId="9" fontId="12" fillId="13" borderId="5" xfId="9" applyFont="1" applyFill="1" applyBorder="1" applyAlignment="1">
      <alignment horizontal="center" vertical="center"/>
    </xf>
    <xf numFmtId="9" fontId="12" fillId="13" borderId="6" xfId="9" applyFont="1" applyFill="1" applyBorder="1" applyAlignment="1">
      <alignment horizontal="center" vertical="center"/>
    </xf>
    <xf numFmtId="9" fontId="12" fillId="10" borderId="6" xfId="9" applyFont="1" applyFill="1" applyBorder="1" applyAlignment="1">
      <alignment horizontal="center" vertical="center" wrapText="1"/>
    </xf>
    <xf numFmtId="0" fontId="12" fillId="0" borderId="30" xfId="0" applyFont="1" applyBorder="1" applyAlignment="1">
      <alignment vertical="center"/>
    </xf>
    <xf numFmtId="0" fontId="28" fillId="0" borderId="6" xfId="0" applyFont="1" applyBorder="1" applyAlignment="1">
      <alignment horizontal="center" vertical="center" textRotation="90" wrapText="1"/>
    </xf>
    <xf numFmtId="9" fontId="12" fillId="10" borderId="6" xfId="9" applyFont="1" applyFill="1" applyBorder="1" applyAlignment="1">
      <alignment horizontal="center" vertical="center"/>
    </xf>
    <xf numFmtId="0" fontId="3" fillId="0" borderId="4" xfId="0" applyFont="1" applyBorder="1" applyAlignment="1">
      <alignment horizontal="left" vertical="center" wrapText="1"/>
    </xf>
    <xf numFmtId="0" fontId="3" fillId="0" borderId="5" xfId="0" applyFont="1" applyBorder="1" applyAlignment="1">
      <alignment vertical="center"/>
    </xf>
    <xf numFmtId="0" fontId="12" fillId="0" borderId="5" xfId="0" applyFont="1" applyBorder="1" applyAlignment="1">
      <alignment vertical="center"/>
    </xf>
    <xf numFmtId="0" fontId="3" fillId="0" borderId="34" xfId="0" applyFont="1" applyBorder="1" applyAlignment="1">
      <alignment vertical="center"/>
    </xf>
    <xf numFmtId="2" fontId="3" fillId="10" borderId="6" xfId="0" applyNumberFormat="1" applyFont="1" applyFill="1" applyBorder="1" applyAlignment="1">
      <alignment horizontal="center" vertical="center"/>
    </xf>
    <xf numFmtId="167" fontId="12" fillId="13" borderId="6" xfId="0" applyNumberFormat="1" applyFont="1" applyFill="1" applyBorder="1" applyAlignment="1">
      <alignment horizontal="center" vertical="center" wrapText="1"/>
    </xf>
    <xf numFmtId="167" fontId="12" fillId="13" borderId="6" xfId="8" applyNumberFormat="1" applyFont="1" applyFill="1" applyBorder="1" applyAlignment="1">
      <alignment horizontal="center" vertical="center" wrapText="1"/>
    </xf>
    <xf numFmtId="167" fontId="12" fillId="0" borderId="6" xfId="0" applyNumberFormat="1" applyFont="1" applyBorder="1" applyAlignment="1">
      <alignment horizontal="left" vertical="center" wrapText="1"/>
    </xf>
    <xf numFmtId="169" fontId="12" fillId="13" borderId="5" xfId="0" applyNumberFormat="1" applyFont="1" applyFill="1" applyBorder="1" applyAlignment="1">
      <alignment horizontal="center" vertical="center"/>
    </xf>
    <xf numFmtId="0" fontId="9" fillId="0" borderId="6" xfId="0" applyFont="1" applyBorder="1" applyAlignment="1">
      <alignment horizontal="left" vertical="center"/>
    </xf>
    <xf numFmtId="0" fontId="9" fillId="0" borderId="29" xfId="0" applyFont="1" applyBorder="1" applyAlignment="1">
      <alignment horizontal="left" vertical="center"/>
    </xf>
    <xf numFmtId="0" fontId="9" fillId="0" borderId="30" xfId="0" applyFont="1" applyBorder="1" applyAlignment="1">
      <alignment horizontal="left" vertical="center"/>
    </xf>
    <xf numFmtId="9" fontId="12" fillId="10" borderId="6" xfId="0" applyNumberFormat="1" applyFont="1" applyFill="1" applyBorder="1" applyAlignment="1">
      <alignment horizontal="center" vertical="center"/>
    </xf>
    <xf numFmtId="0" fontId="20" fillId="0" borderId="6" xfId="0" applyFont="1" applyBorder="1" applyAlignment="1">
      <alignment horizontal="left" vertical="center" wrapText="1"/>
    </xf>
    <xf numFmtId="49" fontId="20" fillId="0" borderId="6" xfId="0" applyNumberFormat="1" applyFont="1" applyBorder="1" applyAlignment="1">
      <alignment horizontal="left" vertical="center" wrapText="1"/>
    </xf>
    <xf numFmtId="0" fontId="14" fillId="0" borderId="6" xfId="0" applyFont="1" applyBorder="1" applyAlignment="1">
      <alignment horizontal="left" vertical="center" wrapText="1"/>
    </xf>
    <xf numFmtId="170" fontId="12" fillId="13" borderId="5" xfId="0" applyNumberFormat="1" applyFont="1" applyFill="1" applyBorder="1" applyAlignment="1">
      <alignment horizontal="center" vertical="center"/>
    </xf>
    <xf numFmtId="0" fontId="14" fillId="0" borderId="34" xfId="0" applyFont="1" applyBorder="1" applyAlignment="1">
      <alignment horizontal="left" vertical="center" wrapText="1"/>
    </xf>
    <xf numFmtId="0" fontId="14" fillId="0" borderId="6" xfId="0" quotePrefix="1" applyFont="1" applyBorder="1" applyAlignment="1">
      <alignment horizontal="left" vertical="center" wrapText="1"/>
    </xf>
    <xf numFmtId="170" fontId="27" fillId="0" borderId="6" xfId="9" applyNumberFormat="1" applyFont="1" applyFill="1" applyBorder="1" applyAlignment="1">
      <alignment horizontal="center" vertical="center" wrapText="1"/>
    </xf>
    <xf numFmtId="0" fontId="23" fillId="0" borderId="34" xfId="0" applyFont="1" applyBorder="1" applyAlignment="1">
      <alignment horizontal="left" vertical="center" wrapText="1"/>
    </xf>
    <xf numFmtId="167" fontId="3" fillId="13" borderId="5" xfId="0" applyNumberFormat="1" applyFont="1" applyFill="1" applyBorder="1" applyAlignment="1">
      <alignment horizontal="center" vertical="center"/>
    </xf>
    <xf numFmtId="0" fontId="9" fillId="0" borderId="34" xfId="0" applyFont="1" applyBorder="1" applyAlignment="1">
      <alignment horizontal="left" vertical="center" wrapText="1"/>
    </xf>
    <xf numFmtId="0" fontId="3" fillId="0" borderId="36" xfId="0" applyFont="1" applyBorder="1" applyAlignment="1">
      <alignment vertical="center"/>
    </xf>
    <xf numFmtId="0" fontId="3" fillId="0" borderId="2" xfId="0" applyFont="1" applyBorder="1" applyAlignment="1">
      <alignment vertical="center"/>
    </xf>
    <xf numFmtId="0" fontId="3" fillId="0" borderId="31" xfId="0" applyFont="1" applyBorder="1" applyAlignment="1">
      <alignment horizontal="left" vertical="center" wrapText="1"/>
    </xf>
    <xf numFmtId="0" fontId="14" fillId="0" borderId="35" xfId="0" applyFont="1" applyBorder="1" applyAlignment="1">
      <alignment horizontal="left" vertical="center" wrapText="1"/>
    </xf>
    <xf numFmtId="0" fontId="12" fillId="0" borderId="29" xfId="0" applyFont="1" applyBorder="1" applyAlignment="1">
      <alignment vertical="center"/>
    </xf>
    <xf numFmtId="0" fontId="0" fillId="0" borderId="6" xfId="0" applyBorder="1"/>
    <xf numFmtId="0" fontId="10" fillId="0" borderId="6" xfId="0" applyFont="1" applyBorder="1"/>
    <xf numFmtId="0" fontId="12" fillId="0" borderId="6" xfId="0" applyFont="1" applyBorder="1" applyAlignment="1">
      <alignment horizontal="left" vertical="center"/>
    </xf>
    <xf numFmtId="0" fontId="12" fillId="14" borderId="6" xfId="0" applyFont="1" applyFill="1" applyBorder="1" applyAlignment="1">
      <alignment vertical="center"/>
    </xf>
    <xf numFmtId="0" fontId="12" fillId="15" borderId="6" xfId="8" applyFont="1" applyFill="1" applyBorder="1" applyAlignment="1">
      <alignment horizontal="left" vertical="center"/>
    </xf>
    <xf numFmtId="0" fontId="12" fillId="15" borderId="6" xfId="8" applyFont="1" applyFill="1" applyBorder="1" applyAlignment="1">
      <alignment vertical="center"/>
    </xf>
    <xf numFmtId="0" fontId="12" fillId="10" borderId="6" xfId="6" applyFont="1" applyFill="1" applyBorder="1" applyAlignment="1">
      <alignment horizontal="left" vertical="center"/>
    </xf>
    <xf numFmtId="0" fontId="12" fillId="10" borderId="6" xfId="6" applyFont="1" applyFill="1" applyBorder="1" applyAlignment="1">
      <alignment vertical="center"/>
    </xf>
    <xf numFmtId="0" fontId="12" fillId="12" borderId="6" xfId="0" applyFont="1" applyFill="1" applyBorder="1" applyAlignment="1">
      <alignment horizontal="left" vertical="center"/>
    </xf>
    <xf numFmtId="0" fontId="12" fillId="12" borderId="6" xfId="0" applyFont="1" applyFill="1" applyBorder="1" applyAlignment="1">
      <alignment vertical="center"/>
    </xf>
    <xf numFmtId="0" fontId="12" fillId="13" borderId="6" xfId="0" applyFont="1" applyFill="1" applyBorder="1" applyAlignment="1">
      <alignment horizontal="left" vertical="center"/>
    </xf>
    <xf numFmtId="0" fontId="12" fillId="13" borderId="6" xfId="0" applyFont="1" applyFill="1" applyBorder="1" applyAlignment="1">
      <alignment vertical="center"/>
    </xf>
    <xf numFmtId="0" fontId="12" fillId="18" borderId="6" xfId="0" applyFont="1" applyFill="1" applyBorder="1" applyAlignment="1">
      <alignment horizontal="left" vertical="center"/>
    </xf>
    <xf numFmtId="0" fontId="12" fillId="18" borderId="6" xfId="0" applyFont="1" applyFill="1" applyBorder="1" applyAlignment="1">
      <alignment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26" fillId="0" borderId="6" xfId="0" applyFont="1" applyBorder="1" applyAlignment="1">
      <alignment horizontal="left" vertical="center"/>
    </xf>
    <xf numFmtId="0" fontId="3" fillId="16" borderId="6" xfId="0" applyFont="1" applyFill="1" applyBorder="1" applyAlignment="1">
      <alignment horizontal="left" vertical="center" wrapText="1"/>
    </xf>
    <xf numFmtId="0" fontId="3" fillId="16" borderId="39" xfId="0" applyFont="1" applyFill="1" applyBorder="1" applyAlignment="1">
      <alignment horizontal="left" vertical="center" wrapText="1"/>
    </xf>
    <xf numFmtId="49" fontId="3" fillId="16" borderId="40" xfId="0" applyNumberFormat="1" applyFont="1" applyFill="1" applyBorder="1" applyAlignment="1">
      <alignment horizontal="left" vertical="center" wrapText="1"/>
    </xf>
    <xf numFmtId="0" fontId="9" fillId="16" borderId="40" xfId="0" applyFont="1" applyFill="1" applyBorder="1" applyAlignment="1">
      <alignment horizontal="left" vertical="center"/>
    </xf>
    <xf numFmtId="0" fontId="3" fillId="16" borderId="41" xfId="0" applyFont="1" applyFill="1" applyBorder="1" applyAlignment="1">
      <alignment horizontal="left" vertical="center" wrapText="1"/>
    </xf>
    <xf numFmtId="0" fontId="3" fillId="16" borderId="43" xfId="0" applyFont="1" applyFill="1" applyBorder="1" applyAlignment="1">
      <alignment horizontal="left" vertical="center" wrapText="1"/>
    </xf>
    <xf numFmtId="0" fontId="0" fillId="16" borderId="0" xfId="0" applyFill="1"/>
    <xf numFmtId="0" fontId="9" fillId="16" borderId="0" xfId="0" applyFont="1" applyFill="1" applyAlignment="1">
      <alignment horizontal="left" vertical="center"/>
    </xf>
    <xf numFmtId="0" fontId="3" fillId="16" borderId="42" xfId="0" applyFont="1" applyFill="1" applyBorder="1" applyAlignment="1">
      <alignment horizontal="left" vertical="center" wrapText="1"/>
    </xf>
    <xf numFmtId="49" fontId="3" fillId="16" borderId="0" xfId="0" applyNumberFormat="1" applyFont="1" applyFill="1" applyAlignment="1">
      <alignment horizontal="left" vertical="center" wrapText="1"/>
    </xf>
    <xf numFmtId="0" fontId="3" fillId="16" borderId="1" xfId="0" applyFont="1" applyFill="1" applyBorder="1" applyAlignment="1">
      <alignment horizontal="left" vertical="center" wrapText="1"/>
    </xf>
    <xf numFmtId="0" fontId="9" fillId="16" borderId="44" xfId="0" applyFont="1" applyFill="1" applyBorder="1" applyAlignment="1">
      <alignment horizontal="left" vertical="center"/>
    </xf>
    <xf numFmtId="49" fontId="3" fillId="16" borderId="44" xfId="0" applyNumberFormat="1" applyFont="1" applyFill="1" applyBorder="1" applyAlignment="1">
      <alignment horizontal="left" vertical="center"/>
    </xf>
    <xf numFmtId="0" fontId="12" fillId="19" borderId="32" xfId="7" applyFont="1" applyFill="1" applyBorder="1" applyAlignment="1">
      <alignment horizontal="center" vertical="center"/>
    </xf>
    <xf numFmtId="167" fontId="12" fillId="0" borderId="6" xfId="0" applyNumberFormat="1" applyFont="1" applyBorder="1" applyAlignment="1">
      <alignment vertical="center"/>
    </xf>
    <xf numFmtId="167" fontId="12" fillId="0" borderId="5" xfId="0" applyNumberFormat="1" applyFont="1" applyBorder="1" applyAlignment="1">
      <alignment horizontal="center" vertical="center"/>
    </xf>
    <xf numFmtId="167" fontId="12" fillId="0" borderId="6" xfId="0" applyNumberFormat="1" applyFont="1" applyBorder="1" applyAlignment="1">
      <alignment horizontal="center" vertical="center"/>
    </xf>
    <xf numFmtId="167" fontId="12" fillId="0" borderId="49" xfId="0" applyNumberFormat="1" applyFont="1" applyBorder="1" applyAlignment="1">
      <alignment vertical="center"/>
    </xf>
    <xf numFmtId="0" fontId="12" fillId="0" borderId="48" xfId="0" applyFont="1" applyBorder="1" applyAlignment="1">
      <alignment vertical="center"/>
    </xf>
    <xf numFmtId="167" fontId="12" fillId="0" borderId="51" xfId="0" applyNumberFormat="1" applyFont="1" applyBorder="1" applyAlignment="1">
      <alignment vertical="center"/>
    </xf>
    <xf numFmtId="167" fontId="12" fillId="0" borderId="52" xfId="0" applyNumberFormat="1" applyFont="1" applyBorder="1" applyAlignment="1">
      <alignment vertical="center"/>
    </xf>
    <xf numFmtId="0" fontId="12" fillId="0" borderId="37" xfId="0" applyFont="1" applyBorder="1" applyAlignment="1">
      <alignment vertical="center"/>
    </xf>
    <xf numFmtId="167" fontId="12" fillId="18" borderId="6" xfId="0" applyNumberFormat="1" applyFont="1" applyFill="1" applyBorder="1" applyAlignment="1">
      <alignment vertical="center"/>
    </xf>
    <xf numFmtId="167" fontId="12" fillId="18" borderId="51" xfId="0" applyNumberFormat="1" applyFont="1" applyFill="1" applyBorder="1" applyAlignment="1">
      <alignment vertical="center"/>
    </xf>
    <xf numFmtId="0" fontId="33" fillId="18" borderId="45" xfId="0" applyFont="1" applyFill="1" applyBorder="1" applyAlignment="1">
      <alignment horizontal="right" vertical="center"/>
    </xf>
    <xf numFmtId="0" fontId="34" fillId="18" borderId="46" xfId="0" applyFont="1" applyFill="1" applyBorder="1" applyAlignment="1">
      <alignment horizontal="right" vertical="center"/>
    </xf>
    <xf numFmtId="0" fontId="12" fillId="0" borderId="32" xfId="0" applyFont="1" applyBorder="1" applyAlignment="1">
      <alignment horizontal="center" vertical="center"/>
    </xf>
    <xf numFmtId="0" fontId="26" fillId="0" borderId="4" xfId="0" applyFont="1" applyBorder="1" applyAlignment="1">
      <alignment horizontal="left" vertical="center"/>
    </xf>
    <xf numFmtId="0" fontId="12" fillId="15" borderId="46" xfId="0" applyFont="1" applyFill="1" applyBorder="1" applyAlignment="1">
      <alignment horizontal="center" vertical="center" wrapText="1"/>
    </xf>
    <xf numFmtId="0" fontId="12" fillId="10" borderId="46" xfId="0" applyFont="1" applyFill="1" applyBorder="1" applyAlignment="1">
      <alignment horizontal="center" vertical="center" wrapText="1"/>
    </xf>
    <xf numFmtId="0" fontId="12" fillId="0" borderId="47" xfId="0" applyFont="1" applyBorder="1" applyAlignment="1">
      <alignment horizontal="center" vertical="center" wrapText="1"/>
    </xf>
    <xf numFmtId="49" fontId="12" fillId="16" borderId="44" xfId="0" applyNumberFormat="1" applyFont="1" applyFill="1" applyBorder="1" applyAlignment="1">
      <alignment horizontal="left" vertical="center"/>
    </xf>
    <xf numFmtId="2" fontId="12" fillId="14" borderId="6" xfId="11" applyNumberFormat="1" applyFont="1" applyFill="1" applyBorder="1" applyAlignment="1">
      <alignment vertical="center" wrapText="1"/>
    </xf>
    <xf numFmtId="2" fontId="12" fillId="0" borderId="6" xfId="11" applyNumberFormat="1" applyFont="1" applyBorder="1" applyAlignment="1">
      <alignment vertical="center" wrapText="1"/>
    </xf>
    <xf numFmtId="0" fontId="21" fillId="16" borderId="29" xfId="4" applyFont="1" applyFill="1" applyBorder="1" applyAlignment="1">
      <alignment horizontal="center" vertical="center"/>
    </xf>
    <xf numFmtId="0" fontId="12" fillId="0" borderId="29" xfId="0" applyFont="1" applyBorder="1" applyAlignment="1">
      <alignment horizontal="center" vertical="center" wrapText="1"/>
    </xf>
    <xf numFmtId="0" fontId="12" fillId="0" borderId="29" xfId="0" applyFont="1" applyBorder="1" applyAlignment="1">
      <alignment horizontal="left" vertical="center" wrapText="1"/>
    </xf>
    <xf numFmtId="0" fontId="12" fillId="0" borderId="29" xfId="5" applyFont="1" applyFill="1" applyBorder="1" applyAlignment="1">
      <alignment horizontal="center" vertical="center"/>
    </xf>
    <xf numFmtId="0" fontId="26" fillId="0" borderId="34" xfId="0" applyFont="1" applyBorder="1" applyAlignment="1">
      <alignment horizontal="left" vertical="center"/>
    </xf>
    <xf numFmtId="2" fontId="12" fillId="0" borderId="34" xfId="11" applyNumberFormat="1" applyFont="1" applyBorder="1" applyAlignment="1">
      <alignment vertical="center" wrapText="1"/>
    </xf>
    <xf numFmtId="0" fontId="12" fillId="16" borderId="39" xfId="0" applyFont="1" applyFill="1" applyBorder="1" applyAlignment="1">
      <alignment horizontal="left" vertical="center" wrapText="1"/>
    </xf>
    <xf numFmtId="49" fontId="12" fillId="16" borderId="40" xfId="0" applyNumberFormat="1" applyFont="1" applyFill="1" applyBorder="1" applyAlignment="1">
      <alignment horizontal="left" vertical="center" wrapText="1"/>
    </xf>
    <xf numFmtId="0" fontId="26" fillId="16" borderId="40" xfId="0" applyFont="1" applyFill="1" applyBorder="1" applyAlignment="1">
      <alignment horizontal="left" vertical="center"/>
    </xf>
    <xf numFmtId="0" fontId="12" fillId="16" borderId="41" xfId="0" applyFont="1" applyFill="1" applyBorder="1" applyAlignment="1">
      <alignment horizontal="left" vertical="center" wrapText="1"/>
    </xf>
    <xf numFmtId="0" fontId="12" fillId="16" borderId="43" xfId="0" applyFont="1" applyFill="1" applyBorder="1" applyAlignment="1">
      <alignment horizontal="left" vertical="center" wrapText="1"/>
    </xf>
    <xf numFmtId="49" fontId="10" fillId="16" borderId="0" xfId="0" applyNumberFormat="1" applyFont="1" applyFill="1"/>
    <xf numFmtId="0" fontId="26" fillId="16" borderId="0" xfId="0" applyFont="1" applyFill="1" applyAlignment="1">
      <alignment horizontal="left" vertical="center"/>
    </xf>
    <xf numFmtId="0" fontId="12" fillId="16" borderId="42" xfId="0" applyFont="1" applyFill="1" applyBorder="1" applyAlignment="1">
      <alignment horizontal="left" vertical="center" wrapText="1"/>
    </xf>
    <xf numFmtId="0" fontId="12" fillId="0" borderId="34" xfId="0" applyFont="1" applyBorder="1" applyAlignment="1">
      <alignment horizontal="left" vertical="center" wrapText="1"/>
    </xf>
    <xf numFmtId="49" fontId="12" fillId="16" borderId="0" xfId="0" applyNumberFormat="1" applyFont="1" applyFill="1" applyAlignment="1">
      <alignment horizontal="left" vertical="center" wrapText="1"/>
    </xf>
    <xf numFmtId="0" fontId="12" fillId="16" borderId="1" xfId="0" applyFont="1" applyFill="1" applyBorder="1" applyAlignment="1">
      <alignment horizontal="left" vertical="center" wrapText="1"/>
    </xf>
    <xf numFmtId="0" fontId="26" fillId="16" borderId="44" xfId="0" applyFont="1" applyFill="1" applyBorder="1" applyAlignment="1">
      <alignment horizontal="left" vertical="center"/>
    </xf>
    <xf numFmtId="0" fontId="12" fillId="0" borderId="6" xfId="0" applyFont="1" applyBorder="1"/>
    <xf numFmtId="49" fontId="26" fillId="0" borderId="30" xfId="0" applyNumberFormat="1" applyFont="1" applyBorder="1" applyAlignment="1">
      <alignment horizontal="left" vertical="center" wrapText="1"/>
    </xf>
    <xf numFmtId="0" fontId="21" fillId="0" borderId="30" xfId="0" applyFont="1" applyBorder="1" applyAlignment="1">
      <alignment horizontal="left" vertical="center"/>
    </xf>
    <xf numFmtId="49" fontId="26" fillId="0" borderId="6" xfId="0" applyNumberFormat="1" applyFont="1" applyBorder="1" applyAlignment="1">
      <alignment horizontal="left" vertical="center" wrapText="1"/>
    </xf>
    <xf numFmtId="9" fontId="12" fillId="10" borderId="5" xfId="9" applyFont="1" applyFill="1" applyBorder="1" applyAlignment="1">
      <alignment horizontal="center" vertical="center" wrapText="1"/>
    </xf>
    <xf numFmtId="9" fontId="12" fillId="0" borderId="6" xfId="0" applyNumberFormat="1" applyFont="1" applyBorder="1"/>
    <xf numFmtId="49" fontId="13" fillId="0" borderId="6" xfId="0" applyNumberFormat="1" applyFont="1" applyBorder="1"/>
    <xf numFmtId="0" fontId="10" fillId="0" borderId="34" xfId="0" applyFont="1" applyBorder="1"/>
    <xf numFmtId="0" fontId="10" fillId="0" borderId="5" xfId="0" applyFont="1" applyBorder="1"/>
    <xf numFmtId="49" fontId="12" fillId="0" borderId="29" xfId="0" applyNumberFormat="1" applyFont="1" applyBorder="1" applyAlignment="1">
      <alignment horizontal="left" vertical="center" wrapText="1"/>
    </xf>
    <xf numFmtId="0" fontId="26" fillId="0" borderId="29" xfId="0" applyFont="1" applyBorder="1" applyAlignment="1">
      <alignment horizontal="left" vertical="center"/>
    </xf>
    <xf numFmtId="0" fontId="12" fillId="0" borderId="35" xfId="0" applyFont="1" applyBorder="1" applyAlignment="1">
      <alignment horizontal="left" vertical="center" wrapText="1"/>
    </xf>
    <xf numFmtId="2" fontId="21" fillId="0" borderId="6" xfId="11" applyNumberFormat="1" applyFont="1" applyBorder="1" applyAlignment="1">
      <alignment vertical="center" wrapText="1"/>
    </xf>
    <xf numFmtId="49" fontId="33" fillId="0" borderId="6" xfId="0" applyNumberFormat="1" applyFont="1" applyBorder="1" applyAlignment="1">
      <alignment horizontal="left" vertical="center" wrapText="1"/>
    </xf>
    <xf numFmtId="0" fontId="12" fillId="10" borderId="5" xfId="0" applyFont="1" applyFill="1" applyBorder="1" applyAlignment="1">
      <alignment horizontal="center" vertical="center"/>
    </xf>
    <xf numFmtId="0" fontId="12" fillId="10" borderId="6" xfId="0" applyFont="1" applyFill="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2" fontId="21" fillId="0" borderId="6" xfId="11" applyNumberFormat="1" applyFont="1" applyBorder="1" applyAlignment="1">
      <alignment vertical="center"/>
    </xf>
    <xf numFmtId="0" fontId="21" fillId="0" borderId="6" xfId="0" applyFont="1" applyBorder="1" applyAlignment="1">
      <alignment horizontal="center" vertical="center" wrapText="1"/>
    </xf>
    <xf numFmtId="0" fontId="12" fillId="0" borderId="30" xfId="0" applyFont="1" applyBorder="1"/>
    <xf numFmtId="2" fontId="12" fillId="0" borderId="30" xfId="11" applyNumberFormat="1" applyFont="1" applyBorder="1" applyAlignment="1">
      <alignment vertical="center" wrapText="1"/>
    </xf>
    <xf numFmtId="2" fontId="12" fillId="0" borderId="36" xfId="11" applyNumberFormat="1" applyFont="1" applyBorder="1" applyAlignment="1">
      <alignment vertical="center" wrapText="1"/>
    </xf>
    <xf numFmtId="0" fontId="33" fillId="0" borderId="29" xfId="0" applyFont="1" applyBorder="1" applyAlignment="1">
      <alignment horizontal="center" vertical="center" wrapText="1"/>
    </xf>
    <xf numFmtId="170" fontId="12" fillId="13" borderId="6" xfId="0" applyNumberFormat="1" applyFont="1" applyFill="1" applyBorder="1" applyAlignment="1">
      <alignment horizontal="center" vertical="center"/>
    </xf>
    <xf numFmtId="170" fontId="12" fillId="10" borderId="6" xfId="0" applyNumberFormat="1" applyFont="1" applyFill="1" applyBorder="1" applyAlignment="1">
      <alignment horizontal="center" vertical="center"/>
    </xf>
    <xf numFmtId="170" fontId="12" fillId="18" borderId="6" xfId="0" applyNumberFormat="1" applyFont="1" applyFill="1" applyBorder="1" applyAlignment="1">
      <alignment horizontal="center" vertical="center"/>
    </xf>
    <xf numFmtId="9" fontId="12" fillId="18" borderId="6" xfId="9" applyFont="1" applyFill="1" applyBorder="1" applyAlignment="1">
      <alignment horizontal="center" vertical="center"/>
    </xf>
    <xf numFmtId="166" fontId="12" fillId="13" borderId="6" xfId="0" applyNumberFormat="1" applyFont="1" applyFill="1" applyBorder="1" applyAlignment="1">
      <alignment horizontal="center" vertical="center"/>
    </xf>
    <xf numFmtId="170" fontId="12" fillId="0" borderId="34" xfId="11" applyNumberFormat="1" applyFont="1" applyBorder="1" applyAlignment="1">
      <alignment vertical="center" wrapText="1"/>
    </xf>
    <xf numFmtId="0" fontId="21" fillId="16" borderId="6" xfId="4" applyFont="1" applyFill="1" applyBorder="1" applyAlignment="1">
      <alignment horizontal="center" vertical="center"/>
    </xf>
    <xf numFmtId="0" fontId="26" fillId="0" borderId="30" xfId="0" applyFont="1" applyBorder="1" applyAlignment="1">
      <alignment horizontal="left" vertical="center"/>
    </xf>
    <xf numFmtId="0" fontId="21" fillId="16" borderId="30" xfId="4" applyFont="1" applyFill="1" applyBorder="1" applyAlignment="1">
      <alignment horizontal="center" vertical="center"/>
    </xf>
    <xf numFmtId="0" fontId="12" fillId="0" borderId="30" xfId="0" applyFont="1" applyBorder="1" applyAlignment="1">
      <alignment horizontal="center" vertical="center" wrapText="1"/>
    </xf>
    <xf numFmtId="0" fontId="33" fillId="0" borderId="30" xfId="0" applyFont="1" applyBorder="1" applyAlignment="1">
      <alignment horizontal="center" vertical="center" wrapText="1"/>
    </xf>
    <xf numFmtId="0" fontId="12" fillId="0" borderId="30" xfId="5" applyFont="1" applyFill="1" applyBorder="1" applyAlignment="1">
      <alignment horizontal="center" vertical="center"/>
    </xf>
    <xf numFmtId="2" fontId="21" fillId="0" borderId="30" xfId="11" applyNumberFormat="1" applyFont="1" applyBorder="1" applyAlignment="1">
      <alignment vertical="center" wrapText="1"/>
    </xf>
    <xf numFmtId="49" fontId="33" fillId="0" borderId="29" xfId="0" applyNumberFormat="1" applyFont="1" applyBorder="1" applyAlignment="1">
      <alignment horizontal="left" vertical="center" wrapText="1"/>
    </xf>
    <xf numFmtId="2" fontId="12" fillId="0" borderId="35" xfId="11" applyNumberFormat="1" applyFont="1" applyBorder="1" applyAlignment="1">
      <alignment vertical="center" wrapText="1"/>
    </xf>
    <xf numFmtId="0" fontId="12" fillId="0" borderId="2" xfId="0" applyFont="1" applyBorder="1"/>
    <xf numFmtId="165" fontId="12" fillId="14" borderId="2" xfId="6" applyNumberFormat="1" applyFont="1" applyFill="1" applyBorder="1" applyAlignment="1">
      <alignment horizontal="center" vertical="center"/>
    </xf>
    <xf numFmtId="165" fontId="12" fillId="14" borderId="30" xfId="6" applyNumberFormat="1" applyFont="1" applyFill="1" applyBorder="1" applyAlignment="1">
      <alignment horizontal="center" vertical="center"/>
    </xf>
    <xf numFmtId="2" fontId="12" fillId="14" borderId="30" xfId="11" applyNumberFormat="1" applyFont="1" applyFill="1" applyBorder="1" applyAlignment="1">
      <alignment vertical="center" wrapText="1"/>
    </xf>
    <xf numFmtId="0" fontId="21" fillId="16" borderId="2" xfId="4" applyFont="1" applyFill="1" applyBorder="1" applyAlignment="1">
      <alignment horizontal="center" vertical="center"/>
    </xf>
    <xf numFmtId="0" fontId="12" fillId="0" borderId="5" xfId="0" applyFont="1" applyBorder="1"/>
    <xf numFmtId="166" fontId="12" fillId="13" borderId="5" xfId="0" applyNumberFormat="1" applyFont="1" applyFill="1" applyBorder="1" applyAlignment="1">
      <alignment horizontal="center" vertical="center"/>
    </xf>
    <xf numFmtId="0" fontId="12" fillId="0" borderId="36" xfId="0" applyFont="1" applyBorder="1" applyAlignment="1">
      <alignment horizontal="left" vertical="center" wrapText="1"/>
    </xf>
    <xf numFmtId="0" fontId="12" fillId="0" borderId="36" xfId="0" applyFont="1" applyBorder="1"/>
    <xf numFmtId="0" fontId="12" fillId="0" borderId="34" xfId="0" applyFont="1" applyBorder="1"/>
    <xf numFmtId="165" fontId="12" fillId="18" borderId="2" xfId="6" applyNumberFormat="1" applyFont="1" applyFill="1" applyBorder="1" applyAlignment="1">
      <alignment horizontal="center" vertical="center"/>
    </xf>
    <xf numFmtId="0" fontId="0" fillId="0" borderId="6" xfId="0" applyBorder="1" applyAlignment="1">
      <alignment horizontal="left"/>
    </xf>
    <xf numFmtId="49" fontId="10" fillId="16" borderId="0" xfId="0" applyNumberFormat="1" applyFont="1" applyFill="1" applyAlignment="1">
      <alignment horizontal="left" vertical="center"/>
    </xf>
    <xf numFmtId="0" fontId="0" fillId="0" borderId="6" xfId="0" applyBorder="1" applyAlignment="1">
      <alignment horizontal="left" vertical="center"/>
    </xf>
    <xf numFmtId="0" fontId="0" fillId="0" borderId="6" xfId="0" applyBorder="1" applyAlignment="1">
      <alignment vertical="center"/>
    </xf>
    <xf numFmtId="0" fontId="24" fillId="0" borderId="6" xfId="0" applyFont="1" applyBorder="1" applyAlignment="1">
      <alignment vertical="center"/>
    </xf>
    <xf numFmtId="0" fontId="3" fillId="16" borderId="39" xfId="0" applyFont="1" applyFill="1" applyBorder="1" applyAlignment="1">
      <alignment vertical="center" wrapText="1"/>
    </xf>
    <xf numFmtId="49" fontId="3" fillId="16" borderId="40" xfId="0" applyNumberFormat="1" applyFont="1" applyFill="1" applyBorder="1" applyAlignment="1">
      <alignment vertical="center" wrapText="1"/>
    </xf>
    <xf numFmtId="0" fontId="9" fillId="16" borderId="40" xfId="0" applyFont="1" applyFill="1" applyBorder="1" applyAlignment="1">
      <alignment vertical="center"/>
    </xf>
    <xf numFmtId="0" fontId="3" fillId="16" borderId="41" xfId="0" applyFont="1" applyFill="1" applyBorder="1" applyAlignment="1">
      <alignment vertical="center" wrapText="1"/>
    </xf>
    <xf numFmtId="0" fontId="3" fillId="16" borderId="43" xfId="0" applyFont="1" applyFill="1" applyBorder="1" applyAlignment="1">
      <alignment vertical="center" wrapText="1"/>
    </xf>
    <xf numFmtId="0" fontId="9" fillId="16" borderId="0" xfId="0" applyFont="1" applyFill="1" applyAlignment="1">
      <alignment vertical="center"/>
    </xf>
    <xf numFmtId="0" fontId="3" fillId="16" borderId="42" xfId="0" applyFont="1" applyFill="1" applyBorder="1" applyAlignment="1">
      <alignment vertical="center" wrapText="1"/>
    </xf>
    <xf numFmtId="0" fontId="3" fillId="0" borderId="34" xfId="0" applyFont="1" applyBorder="1" applyAlignment="1">
      <alignment vertical="center" wrapText="1"/>
    </xf>
    <xf numFmtId="49" fontId="3" fillId="16" borderId="0" xfId="0" applyNumberFormat="1" applyFont="1" applyFill="1" applyAlignment="1">
      <alignment vertical="center" wrapText="1"/>
    </xf>
    <xf numFmtId="0" fontId="3" fillId="16" borderId="1" xfId="0" applyFont="1" applyFill="1" applyBorder="1" applyAlignment="1">
      <alignment vertical="center" wrapText="1"/>
    </xf>
    <xf numFmtId="0" fontId="3" fillId="0" borderId="29" xfId="0" applyFont="1" applyBorder="1" applyAlignment="1">
      <alignment vertical="center" wrapText="1"/>
    </xf>
    <xf numFmtId="49" fontId="3" fillId="0" borderId="29" xfId="0" applyNumberFormat="1" applyFont="1" applyBorder="1" applyAlignment="1">
      <alignment vertical="center" wrapText="1"/>
    </xf>
    <xf numFmtId="0" fontId="9" fillId="0" borderId="29" xfId="0" applyFont="1" applyBorder="1" applyAlignment="1">
      <alignment vertical="center"/>
    </xf>
    <xf numFmtId="0" fontId="26" fillId="0" borderId="34" xfId="0" applyFont="1" applyBorder="1" applyAlignment="1">
      <alignment vertical="center"/>
    </xf>
    <xf numFmtId="0" fontId="0" fillId="0" borderId="5" xfId="0" applyBorder="1" applyAlignment="1">
      <alignment vertical="center"/>
    </xf>
    <xf numFmtId="0" fontId="0" fillId="0" borderId="34" xfId="0" applyBorder="1" applyAlignment="1">
      <alignment horizontal="left" vertical="center"/>
    </xf>
    <xf numFmtId="0" fontId="0" fillId="0" borderId="34" xfId="0" applyBorder="1" applyAlignment="1">
      <alignment vertical="center"/>
    </xf>
    <xf numFmtId="0" fontId="25" fillId="0" borderId="6" xfId="9" applyNumberFormat="1" applyFont="1" applyFill="1" applyBorder="1" applyAlignment="1">
      <alignment horizontal="center" vertical="center"/>
    </xf>
    <xf numFmtId="0" fontId="0" fillId="0" borderId="6" xfId="0" applyBorder="1" applyAlignment="1">
      <alignment horizontal="center" vertical="center"/>
    </xf>
    <xf numFmtId="0" fontId="0" fillId="0" borderId="30" xfId="0" applyBorder="1" applyAlignment="1">
      <alignment vertical="center"/>
    </xf>
    <xf numFmtId="0" fontId="3" fillId="0" borderId="30" xfId="0" applyFont="1" applyBorder="1" applyAlignment="1">
      <alignment vertical="center" wrapText="1"/>
    </xf>
    <xf numFmtId="0" fontId="12" fillId="17" borderId="29" xfId="4" applyFont="1" applyFill="1" applyBorder="1" applyAlignment="1">
      <alignment horizontal="center" vertical="center"/>
    </xf>
    <xf numFmtId="0" fontId="12" fillId="11" borderId="29" xfId="10" applyFont="1" applyBorder="1" applyAlignment="1">
      <alignment horizontal="center" vertical="center"/>
    </xf>
    <xf numFmtId="0" fontId="12" fillId="19" borderId="29" xfId="7" applyFont="1" applyFill="1" applyBorder="1" applyAlignment="1">
      <alignment horizontal="center" vertical="center" wrapText="1"/>
    </xf>
    <xf numFmtId="0" fontId="12" fillId="19" borderId="29" xfId="7" applyFont="1" applyFill="1" applyBorder="1" applyAlignment="1">
      <alignment horizontal="center" vertical="center"/>
    </xf>
    <xf numFmtId="0" fontId="12" fillId="6" borderId="29" xfId="5" applyFont="1" applyBorder="1" applyAlignment="1">
      <alignment horizontal="center" vertical="center"/>
    </xf>
    <xf numFmtId="0" fontId="0" fillId="0" borderId="5" xfId="0" applyBorder="1"/>
    <xf numFmtId="0" fontId="0" fillId="0" borderId="34" xfId="0" applyBorder="1" applyAlignment="1">
      <alignment horizontal="left"/>
    </xf>
    <xf numFmtId="0" fontId="0" fillId="0" borderId="4" xfId="0" applyBorder="1" applyAlignment="1">
      <alignment vertical="center"/>
    </xf>
    <xf numFmtId="0" fontId="3" fillId="0" borderId="4" xfId="0" applyFont="1" applyBorder="1" applyAlignment="1">
      <alignment vertical="center"/>
    </xf>
    <xf numFmtId="9" fontId="3" fillId="10" borderId="6" xfId="0" applyNumberFormat="1" applyFont="1" applyFill="1" applyBorder="1" applyAlignment="1">
      <alignment horizontal="center" vertical="center" wrapText="1"/>
    </xf>
    <xf numFmtId="0" fontId="3" fillId="0" borderId="6" xfId="0" applyFont="1" applyBorder="1" applyAlignment="1">
      <alignment horizontal="center" vertical="center"/>
    </xf>
    <xf numFmtId="49" fontId="3" fillId="0" borderId="6" xfId="0" applyNumberFormat="1" applyFont="1" applyBorder="1" applyAlignment="1">
      <alignment vertical="center"/>
    </xf>
    <xf numFmtId="0" fontId="3" fillId="14" borderId="6" xfId="0" applyFont="1" applyFill="1" applyBorder="1" applyAlignment="1">
      <alignment vertical="center"/>
    </xf>
    <xf numFmtId="0" fontId="3" fillId="14" borderId="6" xfId="0" applyFont="1" applyFill="1" applyBorder="1" applyAlignment="1">
      <alignment vertical="center" wrapText="1"/>
    </xf>
    <xf numFmtId="168" fontId="3" fillId="0" borderId="6" xfId="9" applyNumberFormat="1" applyFont="1" applyFill="1" applyBorder="1" applyAlignment="1">
      <alignment horizontal="center" vertical="center"/>
    </xf>
    <xf numFmtId="0" fontId="3" fillId="0" borderId="5" xfId="0" applyFont="1" applyBorder="1" applyAlignment="1">
      <alignment horizontal="center" vertical="center"/>
    </xf>
    <xf numFmtId="168" fontId="3" fillId="18" borderId="6" xfId="9" applyNumberFormat="1" applyFont="1" applyFill="1" applyBorder="1" applyAlignment="1">
      <alignment horizontal="center" vertical="center"/>
    </xf>
    <xf numFmtId="49" fontId="3" fillId="0" borderId="6" xfId="0" applyNumberFormat="1" applyFont="1" applyBorder="1" applyAlignment="1">
      <alignment horizontal="left" vertical="center"/>
    </xf>
    <xf numFmtId="0" fontId="3" fillId="14" borderId="6" xfId="0" applyFont="1" applyFill="1" applyBorder="1" applyAlignment="1">
      <alignment horizontal="left" vertical="center"/>
    </xf>
    <xf numFmtId="170" fontId="3" fillId="10" borderId="5" xfId="0" applyNumberFormat="1" applyFont="1" applyFill="1" applyBorder="1" applyAlignment="1">
      <alignment horizontal="center" vertical="center"/>
    </xf>
    <xf numFmtId="0" fontId="12" fillId="16" borderId="28" xfId="0" applyFont="1" applyFill="1" applyBorder="1" applyAlignment="1">
      <alignment horizontal="left" vertical="center" indent="1"/>
    </xf>
    <xf numFmtId="0" fontId="12" fillId="16" borderId="5" xfId="0" applyFont="1" applyFill="1" applyBorder="1" applyAlignment="1">
      <alignment horizontal="center" vertical="center"/>
    </xf>
    <xf numFmtId="0" fontId="12" fillId="16" borderId="28" xfId="0" applyFont="1" applyFill="1" applyBorder="1" applyAlignment="1">
      <alignment horizontal="left" vertical="center"/>
    </xf>
    <xf numFmtId="0" fontId="12" fillId="16" borderId="5" xfId="0" applyFont="1" applyFill="1" applyBorder="1" applyAlignment="1">
      <alignment horizontal="left" vertical="center" indent="1"/>
    </xf>
    <xf numFmtId="0" fontId="23" fillId="0" borderId="6" xfId="0" applyFont="1" applyBorder="1" applyAlignment="1">
      <alignment vertical="center" wrapText="1"/>
    </xf>
    <xf numFmtId="0" fontId="3" fillId="0" borderId="29" xfId="0" applyFont="1" applyBorder="1" applyAlignment="1">
      <alignment horizontal="center" vertical="center"/>
    </xf>
    <xf numFmtId="0" fontId="3" fillId="0" borderId="34" xfId="0" applyFont="1" applyBorder="1" applyAlignment="1">
      <alignment horizontal="center" vertical="center"/>
    </xf>
    <xf numFmtId="0" fontId="23" fillId="0" borderId="34" xfId="0" applyFont="1" applyBorder="1" applyAlignment="1">
      <alignment horizontal="center" vertical="center" wrapText="1"/>
    </xf>
    <xf numFmtId="0" fontId="23" fillId="0" borderId="6" xfId="0" applyFont="1" applyBorder="1" applyAlignment="1">
      <alignment vertical="center"/>
    </xf>
    <xf numFmtId="0" fontId="0" fillId="16" borderId="0" xfId="0" applyFill="1" applyAlignment="1">
      <alignment vertical="center"/>
    </xf>
    <xf numFmtId="0" fontId="3" fillId="0" borderId="2" xfId="0" applyFont="1" applyBorder="1" applyAlignment="1">
      <alignment horizontal="center" vertical="center"/>
    </xf>
    <xf numFmtId="0" fontId="3" fillId="0" borderId="30" xfId="0" applyFont="1" applyBorder="1" applyAlignment="1">
      <alignment horizontal="center" vertical="center"/>
    </xf>
    <xf numFmtId="0" fontId="17" fillId="0" borderId="6" xfId="0" applyFont="1" applyBorder="1" applyAlignment="1">
      <alignment vertical="center"/>
    </xf>
    <xf numFmtId="0" fontId="17" fillId="0" borderId="6" xfId="0" applyFont="1" applyBorder="1" applyAlignment="1">
      <alignment horizontal="center" vertical="center"/>
    </xf>
    <xf numFmtId="0" fontId="39" fillId="0" borderId="6" xfId="0" applyFont="1" applyBorder="1" applyAlignment="1">
      <alignment vertical="center" wrapText="1"/>
    </xf>
    <xf numFmtId="0" fontId="14" fillId="0" borderId="6" xfId="0" applyFont="1" applyBorder="1" applyAlignment="1">
      <alignment vertical="center" wrapText="1"/>
    </xf>
    <xf numFmtId="49" fontId="14" fillId="0" borderId="6" xfId="0" applyNumberFormat="1" applyFont="1" applyBorder="1" applyAlignment="1">
      <alignment vertical="center"/>
    </xf>
    <xf numFmtId="0" fontId="14" fillId="0" borderId="6" xfId="0" applyFont="1" applyBorder="1" applyAlignment="1">
      <alignment vertical="center"/>
    </xf>
    <xf numFmtId="0" fontId="39" fillId="0" borderId="6" xfId="0" applyFont="1" applyBorder="1" applyAlignment="1">
      <alignment vertical="center"/>
    </xf>
    <xf numFmtId="49" fontId="40" fillId="22" borderId="6" xfId="0" applyNumberFormat="1" applyFont="1" applyFill="1" applyBorder="1" applyAlignment="1">
      <alignment horizontal="center" vertical="center" wrapText="1"/>
    </xf>
    <xf numFmtId="0" fontId="3" fillId="0" borderId="4" xfId="0" applyFont="1" applyBorder="1" applyAlignment="1">
      <alignment horizontal="center" vertical="center"/>
    </xf>
    <xf numFmtId="0" fontId="41" fillId="0" borderId="30" xfId="6" applyFont="1" applyFill="1" applyBorder="1" applyAlignment="1">
      <alignment vertical="center"/>
    </xf>
    <xf numFmtId="49" fontId="14" fillId="0" borderId="6" xfId="0" applyNumberFormat="1" applyFont="1" applyBorder="1" applyAlignment="1">
      <alignment vertical="center" wrapText="1"/>
    </xf>
    <xf numFmtId="0" fontId="41" fillId="0" borderId="30" xfId="0" applyFont="1" applyBorder="1" applyAlignment="1">
      <alignment vertical="center"/>
    </xf>
    <xf numFmtId="49" fontId="14" fillId="0" borderId="34" xfId="0" applyNumberFormat="1" applyFont="1" applyBorder="1" applyAlignment="1">
      <alignment vertical="center" wrapText="1"/>
    </xf>
    <xf numFmtId="0" fontId="12" fillId="0" borderId="4" xfId="0" applyFont="1" applyBorder="1" applyAlignment="1">
      <alignment horizontal="left" vertical="center" wrapText="1"/>
    </xf>
    <xf numFmtId="0" fontId="41" fillId="0" borderId="1" xfId="0" applyFont="1" applyBorder="1" applyAlignment="1">
      <alignment horizontal="center" vertical="center"/>
    </xf>
    <xf numFmtId="0" fontId="17" fillId="0" borderId="4" xfId="0" applyFont="1" applyBorder="1" applyAlignment="1">
      <alignment horizontal="center" vertical="center"/>
    </xf>
    <xf numFmtId="0" fontId="12" fillId="0" borderId="53" xfId="0" applyFont="1" applyBorder="1" applyAlignment="1">
      <alignment horizontal="left" vertical="center"/>
    </xf>
    <xf numFmtId="9" fontId="3" fillId="10" borderId="53" xfId="0" applyNumberFormat="1" applyFont="1" applyFill="1" applyBorder="1" applyAlignment="1">
      <alignment horizontal="center" vertical="center" wrapText="1"/>
    </xf>
    <xf numFmtId="0" fontId="3" fillId="0" borderId="53" xfId="0" applyFont="1" applyBorder="1" applyAlignment="1">
      <alignment horizontal="center" vertical="center"/>
    </xf>
    <xf numFmtId="0" fontId="17" fillId="0" borderId="53" xfId="0" applyFont="1" applyBorder="1" applyAlignment="1">
      <alignment horizontal="center" vertical="center"/>
    </xf>
    <xf numFmtId="0" fontId="3" fillId="0" borderId="53" xfId="0" applyFont="1" applyBorder="1" applyAlignment="1">
      <alignment vertical="center"/>
    </xf>
    <xf numFmtId="0" fontId="0" fillId="0" borderId="53" xfId="0" applyBorder="1" applyAlignment="1">
      <alignment vertical="center"/>
    </xf>
    <xf numFmtId="9" fontId="3" fillId="13" borderId="4" xfId="0" applyNumberFormat="1" applyFont="1" applyFill="1" applyBorder="1" applyAlignment="1">
      <alignment horizontal="center" vertical="center" wrapText="1"/>
    </xf>
    <xf numFmtId="0" fontId="12" fillId="0" borderId="5" xfId="5" applyFont="1" applyFill="1" applyBorder="1" applyAlignment="1">
      <alignment horizontal="center" vertical="center"/>
    </xf>
    <xf numFmtId="0" fontId="12" fillId="0" borderId="34" xfId="0" applyFont="1" applyBorder="1" applyAlignment="1">
      <alignment vertical="center"/>
    </xf>
    <xf numFmtId="0" fontId="12" fillId="16" borderId="28"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xf>
    <xf numFmtId="0" fontId="23" fillId="0" borderId="29" xfId="0" applyFont="1" applyBorder="1" applyAlignment="1">
      <alignment vertical="center" wrapText="1"/>
    </xf>
    <xf numFmtId="0" fontId="3" fillId="0" borderId="31" xfId="0" applyFont="1" applyBorder="1" applyAlignment="1">
      <alignment horizontal="center" vertical="center"/>
    </xf>
    <xf numFmtId="0" fontId="14" fillId="0" borderId="30" xfId="0" applyFont="1" applyBorder="1" applyAlignment="1">
      <alignment vertical="center"/>
    </xf>
    <xf numFmtId="49" fontId="14" fillId="0" borderId="30" xfId="0" applyNumberFormat="1" applyFont="1" applyBorder="1" applyAlignment="1">
      <alignment vertical="center"/>
    </xf>
    <xf numFmtId="0" fontId="26" fillId="0" borderId="54"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35" xfId="0" applyFont="1" applyBorder="1" applyAlignment="1">
      <alignment horizontal="center" vertical="center" wrapText="1"/>
    </xf>
    <xf numFmtId="0" fontId="41" fillId="0" borderId="6" xfId="0" applyFont="1" applyBorder="1" applyAlignment="1">
      <alignment horizontal="center" vertical="center"/>
    </xf>
    <xf numFmtId="0" fontId="17" fillId="0" borderId="5" xfId="0" applyFont="1" applyBorder="1" applyAlignment="1">
      <alignment horizontal="center" vertical="center"/>
    </xf>
    <xf numFmtId="0" fontId="12" fillId="16" borderId="35" xfId="4" applyFont="1" applyFill="1" applyBorder="1" applyAlignment="1">
      <alignment horizontal="center" vertical="center" wrapText="1"/>
    </xf>
    <xf numFmtId="0" fontId="38" fillId="10" borderId="34" xfId="0" applyFont="1" applyFill="1" applyBorder="1" applyAlignment="1">
      <alignment horizontal="center" vertical="center" wrapText="1"/>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26" fillId="0" borderId="5" xfId="0" applyFont="1" applyBorder="1" applyAlignment="1">
      <alignment horizontal="center" vertical="center"/>
    </xf>
    <xf numFmtId="0" fontId="3" fillId="0" borderId="33" xfId="0" applyFont="1" applyBorder="1" applyAlignment="1">
      <alignment vertical="center"/>
    </xf>
    <xf numFmtId="0" fontId="41" fillId="0" borderId="34" xfId="6" applyFont="1" applyFill="1" applyBorder="1" applyAlignment="1">
      <alignment vertical="center" wrapText="1"/>
    </xf>
    <xf numFmtId="49" fontId="40" fillId="21" borderId="4" xfId="0" applyNumberFormat="1" applyFont="1" applyFill="1" applyBorder="1" applyAlignment="1">
      <alignment horizontal="center" vertical="center" wrapText="1"/>
    </xf>
    <xf numFmtId="49" fontId="40" fillId="21" borderId="34" xfId="0" applyNumberFormat="1" applyFont="1" applyFill="1" applyBorder="1" applyAlignment="1">
      <alignment horizontal="center" vertical="center" wrapText="1"/>
    </xf>
    <xf numFmtId="0" fontId="26" fillId="16" borderId="56" xfId="0" applyFont="1" applyFill="1" applyBorder="1" applyAlignment="1">
      <alignment horizontal="left" vertical="center"/>
    </xf>
    <xf numFmtId="0" fontId="12" fillId="16" borderId="56" xfId="0" applyFont="1" applyFill="1" applyBorder="1" applyAlignment="1">
      <alignment horizontal="left" vertical="center"/>
    </xf>
    <xf numFmtId="0" fontId="12" fillId="16" borderId="57" xfId="0" applyFont="1" applyFill="1" applyBorder="1" applyAlignment="1">
      <alignment horizontal="left" vertical="center"/>
    </xf>
    <xf numFmtId="49" fontId="42" fillId="16" borderId="55" xfId="0" applyNumberFormat="1" applyFont="1" applyFill="1" applyBorder="1" applyAlignment="1">
      <alignment horizontal="left" vertical="center"/>
    </xf>
    <xf numFmtId="49" fontId="43" fillId="0" borderId="30" xfId="0" applyNumberFormat="1" applyFont="1" applyBorder="1" applyAlignment="1">
      <alignment horizontal="left" vertical="center" wrapText="1"/>
    </xf>
    <xf numFmtId="0" fontId="42" fillId="0" borderId="30" xfId="0" applyFont="1" applyBorder="1" applyAlignment="1">
      <alignment horizontal="left" vertical="center" wrapText="1"/>
    </xf>
    <xf numFmtId="0" fontId="42" fillId="0" borderId="36" xfId="0" applyFont="1" applyBorder="1" applyAlignment="1">
      <alignment horizontal="left" vertical="center" wrapText="1"/>
    </xf>
    <xf numFmtId="0" fontId="42" fillId="16" borderId="58" xfId="4" applyFont="1" applyFill="1" applyBorder="1" applyAlignment="1">
      <alignment horizontal="left" vertical="center"/>
    </xf>
    <xf numFmtId="0" fontId="42" fillId="16" borderId="56" xfId="4" applyFont="1" applyFill="1" applyBorder="1" applyAlignment="1">
      <alignment horizontal="center" vertical="center"/>
    </xf>
    <xf numFmtId="0" fontId="42" fillId="16" borderId="59" xfId="4" applyFont="1" applyFill="1" applyBorder="1" applyAlignment="1">
      <alignment horizontal="center" vertical="center"/>
    </xf>
    <xf numFmtId="0" fontId="43" fillId="0" borderId="30" xfId="0" applyFont="1" applyBorder="1" applyAlignment="1">
      <alignment horizontal="left" vertical="center" wrapText="1"/>
    </xf>
    <xf numFmtId="49" fontId="26" fillId="14" borderId="30" xfId="0" applyNumberFormat="1" applyFont="1" applyFill="1" applyBorder="1" applyAlignment="1">
      <alignment horizontal="left" vertical="center" wrapText="1"/>
    </xf>
    <xf numFmtId="0" fontId="26" fillId="14" borderId="30" xfId="0" applyFont="1" applyFill="1" applyBorder="1" applyAlignment="1">
      <alignment horizontal="left" vertical="center" wrapText="1"/>
    </xf>
    <xf numFmtId="0" fontId="12" fillId="14" borderId="30" xfId="0" applyFont="1" applyFill="1" applyBorder="1" applyAlignment="1">
      <alignment horizontal="left" vertical="center" wrapText="1"/>
    </xf>
    <xf numFmtId="0" fontId="12" fillId="14" borderId="36" xfId="0" applyFont="1" applyFill="1" applyBorder="1" applyAlignment="1">
      <alignment horizontal="left" vertical="center" wrapText="1"/>
    </xf>
    <xf numFmtId="0" fontId="12" fillId="0" borderId="1" xfId="5" applyFont="1" applyFill="1" applyBorder="1" applyAlignment="1">
      <alignment horizontal="right" vertical="center"/>
    </xf>
    <xf numFmtId="0" fontId="12" fillId="0" borderId="2" xfId="5" applyFont="1" applyFill="1" applyBorder="1" applyAlignment="1">
      <alignment horizontal="center" vertical="center"/>
    </xf>
    <xf numFmtId="0" fontId="21" fillId="0" borderId="30" xfId="0" applyFont="1" applyBorder="1" applyAlignment="1">
      <alignment vertical="center"/>
    </xf>
    <xf numFmtId="0" fontId="14" fillId="0" borderId="6" xfId="0" applyFont="1" applyBorder="1" applyAlignment="1">
      <alignment horizontal="left" vertical="center"/>
    </xf>
    <xf numFmtId="168" fontId="12" fillId="16" borderId="6" xfId="9" applyNumberFormat="1" applyFont="1" applyFill="1" applyBorder="1" applyAlignment="1">
      <alignment horizontal="center" vertical="center" wrapText="1"/>
    </xf>
    <xf numFmtId="168" fontId="12" fillId="10" borderId="34" xfId="9" applyNumberFormat="1" applyFont="1" applyFill="1" applyBorder="1" applyAlignment="1">
      <alignment horizontal="center" vertical="center"/>
    </xf>
    <xf numFmtId="0" fontId="41" fillId="0" borderId="6" xfId="0" applyFont="1" applyBorder="1" applyAlignment="1">
      <alignment horizontal="left" vertical="center"/>
    </xf>
    <xf numFmtId="0" fontId="42" fillId="0" borderId="6" xfId="0" applyFont="1" applyBorder="1" applyAlignment="1">
      <alignment vertical="center"/>
    </xf>
    <xf numFmtId="0" fontId="47" fillId="0" borderId="6" xfId="0" applyFont="1" applyBorder="1" applyAlignment="1">
      <alignment vertical="center"/>
    </xf>
    <xf numFmtId="0" fontId="43" fillId="0" borderId="6" xfId="0" applyFont="1" applyBorder="1" applyAlignment="1">
      <alignment horizontal="left" vertical="center"/>
    </xf>
    <xf numFmtId="0" fontId="41" fillId="0" borderId="6" xfId="0" applyFont="1" applyBorder="1" applyAlignment="1">
      <alignment vertical="center"/>
    </xf>
    <xf numFmtId="0" fontId="43" fillId="0" borderId="5" xfId="0" applyFont="1" applyBorder="1" applyAlignment="1">
      <alignment vertical="center" textRotation="90" wrapText="1"/>
    </xf>
    <xf numFmtId="0" fontId="42" fillId="0" borderId="5" xfId="0" applyFont="1" applyBorder="1" applyAlignment="1">
      <alignment vertical="center"/>
    </xf>
    <xf numFmtId="0" fontId="42" fillId="0" borderId="5" xfId="5" applyFont="1" applyFill="1" applyBorder="1" applyAlignment="1">
      <alignment horizontal="center" vertical="center"/>
    </xf>
    <xf numFmtId="0" fontId="41" fillId="0" borderId="6" xfId="0" applyFont="1" applyBorder="1" applyAlignment="1">
      <alignment horizontal="center" vertical="center" wrapText="1"/>
    </xf>
    <xf numFmtId="0" fontId="42" fillId="0" borderId="2" xfId="5" applyFont="1" applyFill="1" applyBorder="1" applyAlignment="1">
      <alignment horizontal="center" vertical="center"/>
    </xf>
    <xf numFmtId="0" fontId="41" fillId="0" borderId="2" xfId="0" applyFont="1" applyBorder="1" applyAlignment="1">
      <alignment horizontal="center" vertical="center" wrapText="1"/>
    </xf>
    <xf numFmtId="0" fontId="41" fillId="0" borderId="30" xfId="0" applyFont="1" applyBorder="1" applyAlignment="1">
      <alignment horizontal="center" vertical="center"/>
    </xf>
    <xf numFmtId="0" fontId="41" fillId="0" borderId="2" xfId="6" applyFont="1" applyFill="1" applyBorder="1" applyAlignment="1">
      <alignment vertical="center"/>
    </xf>
    <xf numFmtId="0" fontId="41" fillId="0" borderId="33" xfId="0" applyFont="1" applyBorder="1" applyAlignment="1">
      <alignment horizontal="center" vertical="center"/>
    </xf>
    <xf numFmtId="0" fontId="41" fillId="0" borderId="5" xfId="0" applyFont="1" applyBorder="1" applyAlignment="1">
      <alignment horizontal="center" vertical="center"/>
    </xf>
    <xf numFmtId="0" fontId="41" fillId="0" borderId="5" xfId="6" applyFont="1" applyFill="1" applyBorder="1" applyAlignment="1">
      <alignment vertical="center"/>
    </xf>
    <xf numFmtId="0" fontId="45" fillId="0" borderId="6" xfId="0" applyFont="1" applyBorder="1" applyAlignment="1">
      <alignment horizontal="left" vertical="center" wrapText="1"/>
    </xf>
    <xf numFmtId="49" fontId="41" fillId="0" borderId="5" xfId="0" applyNumberFormat="1" applyFont="1" applyBorder="1" applyAlignment="1">
      <alignment horizontal="left" vertical="center" wrapText="1"/>
    </xf>
    <xf numFmtId="49" fontId="41" fillId="0" borderId="6" xfId="0" applyNumberFormat="1" applyFont="1" applyBorder="1" applyAlignment="1">
      <alignment horizontal="left" vertical="center" wrapText="1"/>
    </xf>
    <xf numFmtId="0" fontId="41" fillId="0" borderId="5" xfId="0" applyFont="1" applyBorder="1" applyAlignment="1">
      <alignment horizontal="left" vertical="center" wrapText="1"/>
    </xf>
    <xf numFmtId="0" fontId="41" fillId="0" borderId="6" xfId="0" applyFont="1" applyBorder="1" applyAlignment="1">
      <alignment horizontal="left" vertical="center" wrapText="1"/>
    </xf>
    <xf numFmtId="0" fontId="42" fillId="0" borderId="5" xfId="0" applyFont="1" applyBorder="1" applyAlignment="1">
      <alignment horizontal="left" vertical="center" wrapText="1"/>
    </xf>
    <xf numFmtId="0" fontId="46" fillId="0" borderId="6" xfId="0" applyFont="1" applyBorder="1" applyAlignment="1">
      <alignment horizontal="left" vertical="center" wrapText="1"/>
    </xf>
    <xf numFmtId="0" fontId="46" fillId="0" borderId="5" xfId="0" applyFont="1" applyBorder="1" applyAlignment="1">
      <alignment horizontal="center" vertical="center"/>
    </xf>
    <xf numFmtId="0" fontId="48" fillId="0" borderId="5" xfId="0" applyFont="1" applyBorder="1" applyAlignment="1">
      <alignment horizontal="left" vertical="center" wrapText="1"/>
    </xf>
    <xf numFmtId="0" fontId="49" fillId="0" borderId="6" xfId="0" applyFont="1" applyBorder="1" applyAlignment="1">
      <alignment horizontal="left" vertical="center" wrapText="1"/>
    </xf>
    <xf numFmtId="0" fontId="50" fillId="0" borderId="6" xfId="0" applyFont="1" applyBorder="1" applyAlignment="1">
      <alignment horizontal="left" vertical="center" wrapText="1"/>
    </xf>
    <xf numFmtId="0" fontId="50" fillId="0" borderId="5" xfId="0" applyFont="1" applyBorder="1" applyAlignment="1">
      <alignment horizontal="left" vertical="center" wrapText="1"/>
    </xf>
    <xf numFmtId="0" fontId="42" fillId="0" borderId="33" xfId="0" applyFont="1" applyBorder="1" applyAlignment="1">
      <alignment horizontal="center" vertical="center" wrapText="1"/>
    </xf>
    <xf numFmtId="0" fontId="46" fillId="0" borderId="29" xfId="0" applyFont="1" applyBorder="1" applyAlignment="1">
      <alignment horizontal="center" vertical="center" wrapText="1"/>
    </xf>
    <xf numFmtId="0" fontId="41" fillId="0" borderId="30" xfId="0" applyFont="1" applyBorder="1" applyAlignment="1">
      <alignment horizontal="center" vertical="center" wrapText="1"/>
    </xf>
    <xf numFmtId="0" fontId="51" fillId="0" borderId="5" xfId="0" applyFont="1" applyBorder="1" applyAlignment="1">
      <alignment vertical="center"/>
    </xf>
    <xf numFmtId="0" fontId="51" fillId="0" borderId="6" xfId="0" applyFont="1" applyBorder="1" applyAlignment="1">
      <alignment vertical="center"/>
    </xf>
    <xf numFmtId="0" fontId="51" fillId="0" borderId="30" xfId="0" applyFont="1" applyBorder="1" applyAlignment="1">
      <alignment vertical="center"/>
    </xf>
    <xf numFmtId="0" fontId="51" fillId="0" borderId="6" xfId="0" applyFont="1" applyBorder="1"/>
    <xf numFmtId="0" fontId="42" fillId="0" borderId="29" xfId="0" applyFont="1" applyBorder="1" applyAlignment="1">
      <alignment vertical="center"/>
    </xf>
    <xf numFmtId="0" fontId="52" fillId="0" borderId="6" xfId="0" applyFont="1" applyBorder="1" applyAlignment="1">
      <alignment vertical="center"/>
    </xf>
    <xf numFmtId="0" fontId="53" fillId="0" borderId="6" xfId="0" applyFont="1" applyBorder="1" applyAlignment="1">
      <alignment vertical="center"/>
    </xf>
    <xf numFmtId="0" fontId="42" fillId="0" borderId="30" xfId="0" applyFont="1" applyBorder="1" applyAlignment="1">
      <alignment vertical="center"/>
    </xf>
    <xf numFmtId="0" fontId="42" fillId="0" borderId="30" xfId="0" applyFont="1" applyBorder="1"/>
    <xf numFmtId="0" fontId="42" fillId="0" borderId="30" xfId="0" applyFont="1" applyBorder="1" applyAlignment="1">
      <alignment horizontal="left" vertical="center"/>
    </xf>
    <xf numFmtId="165" fontId="42" fillId="16" borderId="2" xfId="6" applyNumberFormat="1" applyFont="1" applyFill="1" applyBorder="1" applyAlignment="1">
      <alignment horizontal="left" vertical="center"/>
    </xf>
    <xf numFmtId="165" fontId="42" fillId="16" borderId="30" xfId="6" applyNumberFormat="1" applyFont="1" applyFill="1" applyBorder="1" applyAlignment="1">
      <alignment horizontal="center" vertical="center"/>
    </xf>
    <xf numFmtId="0" fontId="42" fillId="0" borderId="6" xfId="0" applyFont="1" applyBorder="1"/>
    <xf numFmtId="0" fontId="42" fillId="0" borderId="2" xfId="0" applyFont="1" applyBorder="1"/>
    <xf numFmtId="0" fontId="56" fillId="0" borderId="6" xfId="0" applyFont="1" applyBorder="1"/>
    <xf numFmtId="0" fontId="41" fillId="0" borderId="6" xfId="0" applyFont="1" applyBorder="1" applyAlignment="1">
      <alignment vertical="center" wrapText="1"/>
    </xf>
    <xf numFmtId="0" fontId="14" fillId="0" borderId="29" xfId="0" applyFont="1" applyBorder="1" applyAlignment="1">
      <alignment vertical="center"/>
    </xf>
    <xf numFmtId="49" fontId="14" fillId="0" borderId="6" xfId="0" applyNumberFormat="1" applyFont="1" applyBorder="1" applyAlignment="1">
      <alignment horizontal="left" vertical="center" wrapText="1"/>
    </xf>
    <xf numFmtId="0" fontId="14" fillId="0" borderId="34" xfId="0" applyFont="1" applyBorder="1" applyAlignment="1">
      <alignment horizontal="left" vertical="center"/>
    </xf>
    <xf numFmtId="49" fontId="14" fillId="0" borderId="6" xfId="0" applyNumberFormat="1" applyFont="1" applyBorder="1" applyAlignment="1">
      <alignment horizontal="left" vertical="center"/>
    </xf>
    <xf numFmtId="0" fontId="3" fillId="0" borderId="34" xfId="0" applyFont="1" applyBorder="1" applyAlignment="1">
      <alignment horizontal="left" vertical="center"/>
    </xf>
    <xf numFmtId="0" fontId="3" fillId="0" borderId="30" xfId="0" applyFont="1" applyBorder="1" applyAlignment="1">
      <alignment horizontal="left" vertical="center"/>
    </xf>
    <xf numFmtId="0" fontId="41" fillId="0" borderId="30" xfId="0" applyFont="1" applyBorder="1" applyAlignment="1">
      <alignment horizontal="left" vertical="center"/>
    </xf>
    <xf numFmtId="0" fontId="3" fillId="0" borderId="36" xfId="0" applyFont="1" applyBorder="1" applyAlignment="1">
      <alignment horizontal="left" vertical="center"/>
    </xf>
    <xf numFmtId="0" fontId="46" fillId="0" borderId="30" xfId="0" applyFont="1" applyBorder="1" applyAlignment="1">
      <alignment vertical="center"/>
    </xf>
    <xf numFmtId="0" fontId="46" fillId="0" borderId="1" xfId="6" applyFont="1" applyFill="1" applyBorder="1" applyAlignment="1">
      <alignment vertical="center" wrapText="1"/>
    </xf>
    <xf numFmtId="0" fontId="52" fillId="0" borderId="30" xfId="0" applyFont="1" applyBorder="1" applyAlignment="1">
      <alignment vertical="center"/>
    </xf>
    <xf numFmtId="0" fontId="53" fillId="0" borderId="30" xfId="0" applyFont="1" applyBorder="1" applyAlignment="1">
      <alignment vertical="center"/>
    </xf>
    <xf numFmtId="0" fontId="24" fillId="0" borderId="30" xfId="0" applyFont="1" applyBorder="1" applyAlignment="1">
      <alignment vertical="center"/>
    </xf>
    <xf numFmtId="167" fontId="11" fillId="0" borderId="6" xfId="13" applyNumberFormat="1" applyFont="1" applyBorder="1" applyAlignment="1">
      <alignment horizontal="center"/>
    </xf>
    <xf numFmtId="0" fontId="11" fillId="0" borderId="6" xfId="13" applyFont="1" applyBorder="1" applyAlignment="1">
      <alignment horizontal="center"/>
    </xf>
    <xf numFmtId="3" fontId="11" fillId="0" borderId="6" xfId="13" applyNumberFormat="1" applyFont="1" applyBorder="1" applyAlignment="1">
      <alignment horizontal="center"/>
    </xf>
    <xf numFmtId="0" fontId="11" fillId="0" borderId="6" xfId="13" applyFont="1" applyBorder="1" applyAlignment="1">
      <alignment vertical="center"/>
    </xf>
    <xf numFmtId="0" fontId="55" fillId="16" borderId="6" xfId="15" applyFont="1" applyFill="1" applyBorder="1"/>
    <xf numFmtId="0" fontId="12" fillId="16" borderId="6" xfId="0" applyFont="1" applyFill="1" applyBorder="1"/>
    <xf numFmtId="0" fontId="44" fillId="0" borderId="6" xfId="0" applyFont="1" applyBorder="1"/>
    <xf numFmtId="0" fontId="32" fillId="0" borderId="0" xfId="0" applyFont="1" applyAlignment="1">
      <alignment horizontal="left" vertical="center"/>
    </xf>
    <xf numFmtId="0" fontId="41" fillId="0" borderId="0" xfId="0" applyFont="1" applyAlignment="1">
      <alignment horizontal="left" vertical="center"/>
    </xf>
    <xf numFmtId="0" fontId="3" fillId="0" borderId="0" xfId="0" applyFont="1" applyAlignment="1">
      <alignment horizontal="center" vertical="center"/>
    </xf>
    <xf numFmtId="0" fontId="11" fillId="0" borderId="30" xfId="13" applyFont="1" applyBorder="1" applyAlignment="1">
      <alignment vertical="center"/>
    </xf>
    <xf numFmtId="0" fontId="11" fillId="0" borderId="30" xfId="13" applyFont="1" applyBorder="1" applyAlignment="1">
      <alignment horizontal="center"/>
    </xf>
    <xf numFmtId="0" fontId="9" fillId="0" borderId="37" xfId="0" applyFont="1" applyBorder="1"/>
    <xf numFmtId="0" fontId="55" fillId="16" borderId="30" xfId="15" applyFont="1" applyFill="1" applyBorder="1"/>
    <xf numFmtId="0" fontId="12" fillId="16" borderId="30" xfId="0" applyFont="1" applyFill="1" applyBorder="1"/>
    <xf numFmtId="0" fontId="57" fillId="0" borderId="60" xfId="13" applyFont="1" applyBorder="1" applyAlignment="1">
      <alignment horizontal="left" vertical="center"/>
    </xf>
    <xf numFmtId="0" fontId="57" fillId="0" borderId="61" xfId="13" applyFont="1" applyBorder="1" applyAlignment="1">
      <alignment horizontal="center"/>
    </xf>
    <xf numFmtId="0" fontId="57" fillId="0" borderId="61" xfId="13" applyFont="1" applyBorder="1" applyAlignment="1">
      <alignment horizontal="center" wrapText="1"/>
    </xf>
    <xf numFmtId="0" fontId="57" fillId="0" borderId="62" xfId="13" applyFont="1" applyBorder="1" applyAlignment="1">
      <alignment horizontal="center" wrapText="1"/>
    </xf>
    <xf numFmtId="0" fontId="57" fillId="0" borderId="63" xfId="13" applyFont="1" applyBorder="1" applyAlignment="1">
      <alignment vertical="center"/>
    </xf>
    <xf numFmtId="0" fontId="11" fillId="0" borderId="64" xfId="13" applyFont="1" applyBorder="1" applyAlignment="1">
      <alignment horizontal="center"/>
    </xf>
    <xf numFmtId="0" fontId="11" fillId="0" borderId="65" xfId="13" quotePrefix="1" applyFont="1" applyBorder="1" applyAlignment="1">
      <alignment horizontal="right" vertical="center"/>
    </xf>
    <xf numFmtId="168" fontId="11" fillId="0" borderId="66" xfId="13" applyNumberFormat="1" applyFont="1" applyBorder="1" applyAlignment="1">
      <alignment horizontal="center"/>
    </xf>
    <xf numFmtId="0" fontId="11" fillId="0" borderId="65" xfId="13" applyFont="1" applyBorder="1" applyAlignment="1">
      <alignment horizontal="right" vertical="center"/>
    </xf>
    <xf numFmtId="0" fontId="11" fillId="0" borderId="65" xfId="13" applyFont="1" applyBorder="1" applyAlignment="1">
      <alignment vertical="center"/>
    </xf>
    <xf numFmtId="0" fontId="0" fillId="0" borderId="67" xfId="0" applyBorder="1"/>
    <xf numFmtId="0" fontId="0" fillId="0" borderId="68" xfId="0" applyBorder="1"/>
    <xf numFmtId="0" fontId="0" fillId="0" borderId="69" xfId="0" applyBorder="1"/>
    <xf numFmtId="0" fontId="11" fillId="0" borderId="70" xfId="13" applyFont="1" applyBorder="1" applyAlignment="1">
      <alignment horizontal="left" vertical="center"/>
    </xf>
    <xf numFmtId="0" fontId="11" fillId="0" borderId="37" xfId="13" applyFont="1" applyBorder="1" applyAlignment="1">
      <alignment horizontal="center" vertical="center"/>
    </xf>
    <xf numFmtId="0" fontId="11" fillId="0" borderId="37" xfId="13" applyFont="1" applyBorder="1" applyAlignment="1">
      <alignment horizontal="center" vertical="center" wrapText="1"/>
    </xf>
    <xf numFmtId="0" fontId="11" fillId="0" borderId="71" xfId="13" applyFont="1" applyBorder="1" applyAlignment="1">
      <alignment horizontal="center" vertical="center" wrapText="1"/>
    </xf>
    <xf numFmtId="0" fontId="57" fillId="0" borderId="60" xfId="13" applyFont="1" applyBorder="1" applyAlignment="1">
      <alignment vertical="center"/>
    </xf>
    <xf numFmtId="0" fontId="11" fillId="0" borderId="61" xfId="13" applyFont="1" applyBorder="1" applyAlignment="1">
      <alignment vertical="center"/>
    </xf>
    <xf numFmtId="167" fontId="11" fillId="0" borderId="61" xfId="13" applyNumberFormat="1" applyFont="1" applyBorder="1" applyAlignment="1">
      <alignment horizontal="center"/>
    </xf>
    <xf numFmtId="0" fontId="11" fillId="0" borderId="61" xfId="13" applyFont="1" applyBorder="1" applyAlignment="1">
      <alignment horizontal="center"/>
    </xf>
    <xf numFmtId="0" fontId="11" fillId="0" borderId="62" xfId="13" applyFont="1" applyBorder="1" applyAlignment="1">
      <alignment horizontal="center"/>
    </xf>
    <xf numFmtId="0" fontId="11" fillId="0" borderId="67" xfId="13" applyFont="1" applyBorder="1" applyAlignment="1">
      <alignment horizontal="right" vertical="center"/>
    </xf>
    <xf numFmtId="0" fontId="11" fillId="0" borderId="68" xfId="13" applyFont="1" applyBorder="1" applyAlignment="1">
      <alignment vertical="center"/>
    </xf>
    <xf numFmtId="0" fontId="11" fillId="0" borderId="68" xfId="13" applyFont="1" applyBorder="1" applyAlignment="1">
      <alignment horizontal="center"/>
    </xf>
    <xf numFmtId="168" fontId="11" fillId="0" borderId="69" xfId="13" applyNumberFormat="1" applyFont="1" applyBorder="1" applyAlignment="1">
      <alignment horizontal="center"/>
    </xf>
    <xf numFmtId="0" fontId="11" fillId="0" borderId="67" xfId="13" quotePrefix="1" applyFont="1" applyBorder="1" applyAlignment="1">
      <alignment horizontal="right" vertical="center"/>
    </xf>
    <xf numFmtId="0" fontId="41" fillId="0" borderId="30" xfId="0" applyFont="1" applyBorder="1" applyAlignment="1">
      <alignment horizontal="left" vertical="center" wrapText="1"/>
    </xf>
    <xf numFmtId="0" fontId="41" fillId="0" borderId="5" xfId="0" applyFont="1" applyBorder="1" applyAlignment="1">
      <alignment horizontal="left" vertical="center"/>
    </xf>
    <xf numFmtId="0" fontId="41" fillId="0" borderId="6" xfId="6" applyFont="1" applyFill="1" applyBorder="1" applyAlignment="1">
      <alignment vertical="center"/>
    </xf>
    <xf numFmtId="0" fontId="41" fillId="0" borderId="29" xfId="6" applyFont="1" applyFill="1" applyBorder="1" applyAlignment="1">
      <alignment vertical="center"/>
    </xf>
    <xf numFmtId="0" fontId="41" fillId="0" borderId="2" xfId="0" applyFont="1" applyBorder="1" applyAlignment="1">
      <alignment horizontal="left" vertical="center"/>
    </xf>
    <xf numFmtId="0" fontId="45" fillId="0" borderId="6" xfId="0" applyFont="1" applyBorder="1" applyAlignment="1">
      <alignment vertical="center"/>
    </xf>
    <xf numFmtId="0" fontId="61" fillId="0" borderId="6" xfId="0" applyFont="1" applyBorder="1" applyAlignment="1">
      <alignment vertical="center"/>
    </xf>
    <xf numFmtId="0" fontId="3" fillId="0" borderId="37" xfId="0" applyFont="1" applyBorder="1" applyAlignment="1">
      <alignment vertical="center"/>
    </xf>
    <xf numFmtId="0" fontId="14" fillId="0" borderId="37" xfId="0" applyFont="1" applyBorder="1" applyAlignment="1">
      <alignment vertical="center"/>
    </xf>
    <xf numFmtId="0" fontId="41" fillId="0" borderId="37" xfId="0" applyFont="1" applyBorder="1" applyAlignment="1">
      <alignment vertical="center"/>
    </xf>
    <xf numFmtId="0" fontId="23" fillId="0" borderId="0" xfId="0" applyFont="1" applyAlignment="1">
      <alignment vertical="center"/>
    </xf>
    <xf numFmtId="0" fontId="3" fillId="0" borderId="0" xfId="0" applyFont="1" applyAlignment="1">
      <alignment horizontal="left" vertical="center"/>
    </xf>
    <xf numFmtId="0" fontId="62" fillId="0" borderId="0" xfId="15" applyFont="1" applyAlignment="1">
      <alignment vertical="center"/>
    </xf>
    <xf numFmtId="0" fontId="62" fillId="0" borderId="0" xfId="15" applyFont="1"/>
    <xf numFmtId="0" fontId="26" fillId="0" borderId="53" xfId="0" applyFont="1" applyBorder="1" applyAlignment="1">
      <alignment horizontal="center" vertical="center" wrapText="1"/>
    </xf>
    <xf numFmtId="0" fontId="3" fillId="0" borderId="4" xfId="0" applyFont="1" applyBorder="1" applyAlignment="1">
      <alignment horizontal="right" vertical="center"/>
    </xf>
    <xf numFmtId="0" fontId="12" fillId="0" borderId="4" xfId="5" applyFont="1" applyFill="1" applyBorder="1" applyAlignment="1">
      <alignment horizontal="right" vertical="center"/>
    </xf>
    <xf numFmtId="0" fontId="3" fillId="0" borderId="31" xfId="0" applyFont="1" applyBorder="1" applyAlignment="1">
      <alignment horizontal="right" vertical="center"/>
    </xf>
    <xf numFmtId="0" fontId="26" fillId="0" borderId="5" xfId="0" applyFont="1" applyBorder="1" applyAlignment="1">
      <alignment horizontal="left" vertical="center"/>
    </xf>
    <xf numFmtId="168" fontId="41" fillId="0" borderId="5" xfId="9" applyNumberFormat="1" applyFont="1" applyFill="1" applyBorder="1" applyAlignment="1">
      <alignment horizontal="left" vertical="center"/>
    </xf>
    <xf numFmtId="168" fontId="3" fillId="18" borderId="5" xfId="9" applyNumberFormat="1" applyFont="1" applyFill="1" applyBorder="1" applyAlignment="1">
      <alignment horizontal="center" vertical="center"/>
    </xf>
    <xf numFmtId="0" fontId="25" fillId="0" borderId="5" xfId="9" applyNumberFormat="1" applyFont="1" applyFill="1" applyBorder="1" applyAlignment="1">
      <alignment horizontal="center" vertical="center"/>
    </xf>
    <xf numFmtId="0" fontId="0" fillId="0" borderId="5" xfId="0" applyBorder="1" applyAlignment="1">
      <alignment horizontal="center" vertical="center"/>
    </xf>
    <xf numFmtId="0" fontId="3" fillId="0" borderId="72" xfId="0" applyFont="1" applyBorder="1" applyAlignment="1">
      <alignment horizontal="center" vertical="center"/>
    </xf>
    <xf numFmtId="0" fontId="55" fillId="0" borderId="6" xfId="15" applyFont="1" applyFill="1" applyBorder="1" applyAlignment="1">
      <alignment vertical="center"/>
    </xf>
    <xf numFmtId="0" fontId="42" fillId="0" borderId="6" xfId="0" applyFont="1" applyBorder="1" applyAlignment="1">
      <alignment horizontal="left" vertical="center"/>
    </xf>
    <xf numFmtId="0" fontId="43" fillId="0" borderId="33" xfId="5" applyFont="1" applyFill="1" applyBorder="1" applyAlignment="1">
      <alignment horizontal="left" vertical="center"/>
    </xf>
    <xf numFmtId="0" fontId="63" fillId="0" borderId="29" xfId="0" applyFont="1" applyBorder="1" applyAlignment="1">
      <alignment horizontal="left" vertical="center" wrapText="1"/>
    </xf>
    <xf numFmtId="0" fontId="22" fillId="0" borderId="34" xfId="0" applyFont="1" applyBorder="1" applyAlignment="1">
      <alignment horizontal="left" vertical="center" wrapText="1"/>
    </xf>
    <xf numFmtId="0" fontId="26" fillId="0" borderId="29" xfId="0" applyFont="1" applyBorder="1" applyAlignment="1">
      <alignment horizontal="left" vertical="center" wrapText="1"/>
    </xf>
    <xf numFmtId="0" fontId="41" fillId="0" borderId="6" xfId="0" applyFont="1" applyBorder="1" applyAlignment="1">
      <alignment vertical="top" wrapText="1"/>
    </xf>
    <xf numFmtId="0" fontId="41" fillId="0" borderId="6" xfId="0" applyFont="1" applyBorder="1" applyAlignment="1">
      <alignment horizontal="left" vertical="top" wrapText="1"/>
    </xf>
    <xf numFmtId="0" fontId="41" fillId="0" borderId="29" xfId="0" applyFont="1" applyBorder="1" applyAlignment="1">
      <alignment horizontal="left" vertical="top" wrapText="1"/>
    </xf>
    <xf numFmtId="0" fontId="41" fillId="0" borderId="30" xfId="0" applyFont="1" applyBorder="1" applyAlignment="1">
      <alignment vertical="top" wrapText="1"/>
    </xf>
    <xf numFmtId="0" fontId="41" fillId="0" borderId="29" xfId="0" applyFont="1" applyBorder="1" applyAlignment="1">
      <alignment vertical="top" wrapText="1"/>
    </xf>
    <xf numFmtId="0" fontId="3" fillId="0" borderId="38" xfId="0" applyFont="1" applyBorder="1" applyAlignment="1">
      <alignment vertical="center" wrapText="1"/>
    </xf>
    <xf numFmtId="0" fontId="12" fillId="16" borderId="72" xfId="4" applyFont="1" applyFill="1" applyBorder="1" applyAlignment="1">
      <alignment horizontal="center" vertical="center" wrapText="1"/>
    </xf>
    <xf numFmtId="0" fontId="3" fillId="0" borderId="38" xfId="0" applyFont="1" applyBorder="1" applyAlignment="1">
      <alignment vertical="center"/>
    </xf>
    <xf numFmtId="0" fontId="3" fillId="0" borderId="28" xfId="0" applyFont="1" applyBorder="1" applyAlignment="1">
      <alignment horizontal="center" vertical="center"/>
    </xf>
    <xf numFmtId="0" fontId="17" fillId="0" borderId="28" xfId="0" applyFont="1" applyBorder="1" applyAlignment="1">
      <alignment horizontal="center" vertical="center"/>
    </xf>
    <xf numFmtId="0" fontId="0" fillId="0" borderId="28" xfId="0" applyBorder="1" applyAlignment="1">
      <alignment vertical="center"/>
    </xf>
    <xf numFmtId="49" fontId="40" fillId="17" borderId="6" xfId="0" applyNumberFormat="1" applyFont="1" applyFill="1" applyBorder="1" applyAlignment="1">
      <alignment horizontal="center" vertical="center" wrapText="1"/>
    </xf>
    <xf numFmtId="49" fontId="40" fillId="24" borderId="6" xfId="0" applyNumberFormat="1" applyFont="1" applyFill="1" applyBorder="1" applyAlignment="1">
      <alignment horizontal="center" vertical="center" wrapText="1"/>
    </xf>
    <xf numFmtId="49" fontId="40" fillId="25" borderId="53" xfId="0" applyNumberFormat="1" applyFont="1" applyFill="1" applyBorder="1" applyAlignment="1">
      <alignment horizontal="center" vertical="center" wrapText="1"/>
    </xf>
    <xf numFmtId="49" fontId="40" fillId="26" borderId="6" xfId="0" applyNumberFormat="1" applyFont="1" applyFill="1" applyBorder="1" applyAlignment="1">
      <alignment horizontal="center" vertical="center" wrapText="1"/>
    </xf>
    <xf numFmtId="49" fontId="40" fillId="27" borderId="6" xfId="0" applyNumberFormat="1" applyFont="1" applyFill="1" applyBorder="1" applyAlignment="1">
      <alignment horizontal="center" vertical="center" wrapText="1"/>
    </xf>
    <xf numFmtId="49" fontId="40" fillId="18" borderId="6" xfId="0" applyNumberFormat="1" applyFont="1" applyFill="1" applyBorder="1" applyAlignment="1">
      <alignment horizontal="center" vertical="center" wrapText="1"/>
    </xf>
    <xf numFmtId="49" fontId="40" fillId="19" borderId="6" xfId="0" applyNumberFormat="1" applyFont="1" applyFill="1" applyBorder="1" applyAlignment="1">
      <alignment horizontal="center" vertical="center" wrapText="1"/>
    </xf>
    <xf numFmtId="0" fontId="12" fillId="17" borderId="6" xfId="4" applyFont="1" applyFill="1" applyBorder="1" applyAlignment="1">
      <alignment horizontal="center" vertical="center"/>
    </xf>
    <xf numFmtId="0" fontId="12" fillId="11" borderId="6" xfId="10" applyFont="1" applyBorder="1" applyAlignment="1">
      <alignment horizontal="center" vertical="center"/>
    </xf>
    <xf numFmtId="0" fontId="12" fillId="19" borderId="6" xfId="7" applyFont="1" applyFill="1" applyBorder="1" applyAlignment="1">
      <alignment horizontal="center" vertical="center" wrapText="1"/>
    </xf>
    <xf numFmtId="0" fontId="12" fillId="19" borderId="6" xfId="7" applyFont="1" applyFill="1" applyBorder="1" applyAlignment="1">
      <alignment horizontal="center" vertical="center"/>
    </xf>
    <xf numFmtId="0" fontId="12" fillId="6" borderId="6" xfId="5" applyFont="1" applyBorder="1" applyAlignment="1">
      <alignment horizontal="center" vertical="center"/>
    </xf>
    <xf numFmtId="49" fontId="40" fillId="20" borderId="6" xfId="0" applyNumberFormat="1" applyFont="1" applyFill="1" applyBorder="1" applyAlignment="1">
      <alignment horizontal="center" vertical="center" wrapText="1"/>
    </xf>
    <xf numFmtId="49" fontId="40" fillId="0" borderId="6" xfId="0" applyNumberFormat="1" applyFont="1" applyBorder="1" applyAlignment="1">
      <alignment horizontal="center" vertical="center" wrapText="1"/>
    </xf>
    <xf numFmtId="9" fontId="3" fillId="13" borderId="6" xfId="0" applyNumberFormat="1" applyFont="1" applyFill="1" applyBorder="1" applyAlignment="1">
      <alignment horizontal="center" vertical="center" wrapText="1"/>
    </xf>
    <xf numFmtId="0" fontId="3" fillId="16" borderId="6" xfId="0" applyFont="1" applyFill="1" applyBorder="1" applyAlignment="1">
      <alignment horizontal="center" vertical="center"/>
    </xf>
    <xf numFmtId="0" fontId="12" fillId="16" borderId="28" xfId="0" applyFont="1" applyFill="1" applyBorder="1" applyAlignment="1">
      <alignment horizontal="left" vertical="center" wrapText="1"/>
    </xf>
    <xf numFmtId="0" fontId="26" fillId="0" borderId="73" xfId="0" applyFont="1" applyBorder="1" applyAlignment="1">
      <alignment horizontal="left" vertical="center"/>
    </xf>
    <xf numFmtId="0" fontId="12" fillId="0" borderId="74" xfId="0" applyFont="1" applyBorder="1" applyAlignment="1">
      <alignment vertical="center"/>
    </xf>
    <xf numFmtId="0" fontId="12" fillId="0" borderId="75" xfId="0" applyFont="1" applyBorder="1" applyAlignment="1">
      <alignment vertical="center"/>
    </xf>
    <xf numFmtId="0" fontId="12" fillId="17" borderId="53" xfId="4" applyFont="1" applyFill="1" applyBorder="1" applyAlignment="1">
      <alignment horizontal="center" vertical="center"/>
    </xf>
    <xf numFmtId="0" fontId="12" fillId="6" borderId="34" xfId="5" applyFont="1" applyBorder="1" applyAlignment="1">
      <alignment horizontal="center" vertical="center"/>
    </xf>
    <xf numFmtId="0" fontId="26" fillId="0" borderId="5" xfId="0" applyFont="1" applyBorder="1" applyAlignment="1">
      <alignment vertical="center" textRotation="90" wrapText="1"/>
    </xf>
    <xf numFmtId="0" fontId="3" fillId="0" borderId="33" xfId="0" applyFont="1" applyBorder="1" applyAlignment="1">
      <alignment horizontal="center" vertical="center"/>
    </xf>
    <xf numFmtId="0" fontId="12" fillId="0" borderId="73" xfId="0" applyFont="1" applyBorder="1" applyAlignment="1">
      <alignment vertical="center"/>
    </xf>
    <xf numFmtId="0" fontId="26" fillId="0" borderId="74" xfId="0" applyFont="1" applyBorder="1" applyAlignment="1">
      <alignment horizontal="left" vertical="center"/>
    </xf>
    <xf numFmtId="0" fontId="12" fillId="0" borderId="53" xfId="0" applyFont="1" applyBorder="1" applyAlignment="1">
      <alignment vertical="center"/>
    </xf>
    <xf numFmtId="49" fontId="40" fillId="0" borderId="53" xfId="0" applyNumberFormat="1" applyFont="1" applyBorder="1" applyAlignment="1">
      <alignment horizontal="center" vertical="center" wrapText="1"/>
    </xf>
    <xf numFmtId="49" fontId="40" fillId="0" borderId="34" xfId="0" applyNumberFormat="1" applyFont="1" applyBorder="1" applyAlignment="1">
      <alignment horizontal="center" vertical="center" wrapText="1"/>
    </xf>
    <xf numFmtId="0" fontId="3" fillId="16" borderId="34" xfId="0" applyFont="1" applyFill="1" applyBorder="1" applyAlignment="1">
      <alignment horizontal="center" vertical="center"/>
    </xf>
    <xf numFmtId="0" fontId="12" fillId="0" borderId="76" xfId="0" applyFont="1" applyBorder="1" applyAlignment="1">
      <alignment vertical="center"/>
    </xf>
    <xf numFmtId="0" fontId="12" fillId="0" borderId="4" xfId="0" applyFont="1" applyBorder="1" applyAlignment="1">
      <alignment vertical="center"/>
    </xf>
    <xf numFmtId="0" fontId="12" fillId="6" borderId="4" xfId="5" applyFont="1" applyBorder="1" applyAlignment="1">
      <alignment horizontal="center" vertical="center"/>
    </xf>
    <xf numFmtId="0" fontId="3" fillId="0" borderId="32" xfId="0" applyFont="1" applyBorder="1" applyAlignment="1">
      <alignment horizontal="center" vertical="center"/>
    </xf>
    <xf numFmtId="9" fontId="3" fillId="0" borderId="30" xfId="0" applyNumberFormat="1" applyFont="1" applyBorder="1" applyAlignment="1">
      <alignment horizontal="center" vertical="center"/>
    </xf>
    <xf numFmtId="0" fontId="16" fillId="0" borderId="30" xfId="0" applyFont="1" applyBorder="1" applyAlignment="1">
      <alignment horizontal="center" vertical="center"/>
    </xf>
    <xf numFmtId="9" fontId="3" fillId="10" borderId="73" xfId="0" applyNumberFormat="1" applyFont="1" applyFill="1" applyBorder="1" applyAlignment="1">
      <alignment horizontal="center" vertical="center" wrapText="1"/>
    </xf>
    <xf numFmtId="9" fontId="3" fillId="10" borderId="74" xfId="0" applyNumberFormat="1" applyFont="1" applyFill="1" applyBorder="1" applyAlignment="1">
      <alignment horizontal="center" vertical="center" wrapText="1"/>
    </xf>
    <xf numFmtId="9" fontId="3" fillId="13" borderId="74" xfId="0" applyNumberFormat="1" applyFont="1" applyFill="1" applyBorder="1" applyAlignment="1">
      <alignment horizontal="center" vertical="center" wrapText="1"/>
    </xf>
    <xf numFmtId="9" fontId="3" fillId="13" borderId="75" xfId="0" applyNumberFormat="1" applyFont="1" applyFill="1" applyBorder="1" applyAlignment="1">
      <alignment horizontal="center" vertical="center" wrapText="1"/>
    </xf>
    <xf numFmtId="0" fontId="41" fillId="0" borderId="34" xfId="0" applyFont="1" applyBorder="1" applyAlignment="1">
      <alignment horizontal="center" vertical="center"/>
    </xf>
    <xf numFmtId="0" fontId="3" fillId="0" borderId="73" xfId="0" applyFont="1" applyBorder="1" applyAlignment="1">
      <alignment horizontal="center" vertical="center"/>
    </xf>
    <xf numFmtId="0" fontId="3" fillId="0" borderId="74" xfId="0" applyFont="1" applyBorder="1" applyAlignment="1">
      <alignment horizontal="center" vertical="center"/>
    </xf>
    <xf numFmtId="0" fontId="3" fillId="0" borderId="76" xfId="0" applyFont="1" applyBorder="1" applyAlignment="1">
      <alignment horizontal="center" vertical="center"/>
    </xf>
    <xf numFmtId="49" fontId="14" fillId="0" borderId="53" xfId="0" applyNumberFormat="1" applyFont="1" applyBorder="1" applyAlignment="1">
      <alignment horizontal="center" vertical="center"/>
    </xf>
    <xf numFmtId="0" fontId="3" fillId="0" borderId="73" xfId="0" applyFont="1" applyBorder="1" applyAlignment="1">
      <alignment vertical="center"/>
    </xf>
    <xf numFmtId="0" fontId="14" fillId="0" borderId="74" xfId="0" applyFont="1" applyBorder="1" applyAlignment="1">
      <alignment vertical="center"/>
    </xf>
    <xf numFmtId="0" fontId="3" fillId="0" borderId="74" xfId="0" applyFont="1" applyBorder="1" applyAlignment="1">
      <alignment vertical="center" wrapText="1"/>
    </xf>
    <xf numFmtId="0" fontId="3" fillId="0" borderId="75" xfId="0" applyFont="1" applyBorder="1" applyAlignment="1">
      <alignment horizontal="center" vertical="center"/>
    </xf>
    <xf numFmtId="0" fontId="3" fillId="0" borderId="54" xfId="0" applyFont="1" applyBorder="1" applyAlignment="1">
      <alignment vertical="center"/>
    </xf>
    <xf numFmtId="49" fontId="14" fillId="0" borderId="29" xfId="0" applyNumberFormat="1" applyFont="1" applyBorder="1" applyAlignment="1">
      <alignment vertical="center"/>
    </xf>
    <xf numFmtId="0" fontId="12" fillId="0" borderId="37" xfId="5" applyFont="1" applyFill="1" applyBorder="1" applyAlignment="1">
      <alignment horizontal="center" vertical="center"/>
    </xf>
    <xf numFmtId="0" fontId="41" fillId="0" borderId="37" xfId="0" applyFont="1" applyBorder="1" applyAlignment="1">
      <alignment horizontal="left" vertical="center" wrapText="1"/>
    </xf>
    <xf numFmtId="0" fontId="12" fillId="0" borderId="6" xfId="5" applyFont="1" applyFill="1" applyBorder="1" applyAlignment="1">
      <alignment horizontal="center" vertical="center"/>
    </xf>
    <xf numFmtId="49" fontId="14" fillId="0" borderId="38" xfId="0" applyNumberFormat="1" applyFont="1" applyBorder="1" applyAlignment="1">
      <alignment vertical="center" wrapText="1"/>
    </xf>
    <xf numFmtId="168" fontId="3" fillId="23" borderId="6" xfId="9" applyNumberFormat="1" applyFont="1" applyFill="1" applyBorder="1" applyAlignment="1">
      <alignment horizontal="center" vertical="center"/>
    </xf>
    <xf numFmtId="0" fontId="65" fillId="0" borderId="0" xfId="0" applyFont="1" applyAlignment="1">
      <alignment horizontal="center" vertical="center"/>
    </xf>
    <xf numFmtId="0" fontId="3" fillId="0" borderId="0" xfId="0" applyFont="1" applyAlignment="1">
      <alignment horizontal="left" vertical="center" wrapText="1"/>
    </xf>
    <xf numFmtId="9" fontId="12" fillId="18" borderId="6" xfId="0" applyNumberFormat="1" applyFont="1" applyFill="1" applyBorder="1" applyAlignment="1">
      <alignment horizontal="center" vertical="center"/>
    </xf>
    <xf numFmtId="0" fontId="41" fillId="0" borderId="0" xfId="0" applyFont="1" applyAlignment="1">
      <alignment horizontal="left" vertical="center" wrapText="1"/>
    </xf>
    <xf numFmtId="0" fontId="3" fillId="0" borderId="6" xfId="0" applyFont="1" applyBorder="1" applyAlignment="1">
      <alignment horizontal="center" vertical="center" wrapText="1"/>
    </xf>
    <xf numFmtId="0" fontId="3" fillId="16" borderId="6" xfId="0" applyFont="1" applyFill="1" applyBorder="1" applyAlignment="1">
      <alignment horizontal="center" vertical="center" wrapText="1"/>
    </xf>
    <xf numFmtId="9" fontId="3" fillId="16" borderId="6" xfId="0" applyNumberFormat="1" applyFont="1" applyFill="1" applyBorder="1" applyAlignment="1">
      <alignment horizontal="center" vertical="center"/>
    </xf>
    <xf numFmtId="9" fontId="3" fillId="0" borderId="6" xfId="0" applyNumberFormat="1" applyFont="1" applyBorder="1" applyAlignment="1">
      <alignment horizontal="center" vertical="center"/>
    </xf>
    <xf numFmtId="168" fontId="3" fillId="16" borderId="6" xfId="0" applyNumberFormat="1" applyFont="1" applyFill="1" applyBorder="1" applyAlignment="1">
      <alignment horizontal="center" vertical="center"/>
    </xf>
    <xf numFmtId="168" fontId="3" fillId="10" borderId="6" xfId="0" applyNumberFormat="1" applyFont="1" applyFill="1" applyBorder="1" applyAlignment="1">
      <alignment horizontal="center" vertical="center" wrapText="1"/>
    </xf>
    <xf numFmtId="168" fontId="3" fillId="13" borderId="6" xfId="0" applyNumberFormat="1" applyFont="1" applyFill="1" applyBorder="1" applyAlignment="1">
      <alignment horizontal="center" vertical="center"/>
    </xf>
    <xf numFmtId="168" fontId="3" fillId="13" borderId="34" xfId="0" applyNumberFormat="1" applyFont="1" applyFill="1" applyBorder="1" applyAlignment="1">
      <alignment horizontal="center" vertical="center"/>
    </xf>
    <xf numFmtId="168" fontId="3" fillId="13" borderId="53" xfId="0" applyNumberFormat="1" applyFont="1" applyFill="1" applyBorder="1" applyAlignment="1">
      <alignment horizontal="center" vertical="center"/>
    </xf>
    <xf numFmtId="168" fontId="3" fillId="0" borderId="6" xfId="0" applyNumberFormat="1" applyFont="1" applyBorder="1" applyAlignment="1">
      <alignment horizontal="center" vertical="center"/>
    </xf>
    <xf numFmtId="168" fontId="3" fillId="0" borderId="34" xfId="0" applyNumberFormat="1" applyFont="1" applyBorder="1" applyAlignment="1">
      <alignment horizontal="center" vertical="center"/>
    </xf>
    <xf numFmtId="168" fontId="3" fillId="0" borderId="29" xfId="0" applyNumberFormat="1" applyFont="1" applyBorder="1" applyAlignment="1">
      <alignment horizontal="center" vertical="center"/>
    </xf>
    <xf numFmtId="168" fontId="3" fillId="23" borderId="29" xfId="0" applyNumberFormat="1" applyFont="1" applyFill="1" applyBorder="1" applyAlignment="1">
      <alignment horizontal="center" vertical="center"/>
    </xf>
    <xf numFmtId="168" fontId="3" fillId="0" borderId="35" xfId="0" applyNumberFormat="1" applyFont="1" applyBorder="1" applyAlignment="1">
      <alignment horizontal="center" vertical="center"/>
    </xf>
    <xf numFmtId="9" fontId="3" fillId="23" borderId="41" xfId="9" applyFont="1" applyFill="1" applyBorder="1" applyAlignment="1">
      <alignment horizontal="center" vertical="center"/>
    </xf>
    <xf numFmtId="9" fontId="3" fillId="10" borderId="41" xfId="9" applyFont="1" applyFill="1" applyBorder="1" applyAlignment="1">
      <alignment horizontal="center" vertical="center"/>
    </xf>
    <xf numFmtId="9" fontId="3" fillId="10" borderId="37" xfId="9" applyFont="1" applyFill="1" applyBorder="1" applyAlignment="1">
      <alignment horizontal="center" vertical="center"/>
    </xf>
    <xf numFmtId="0" fontId="46" fillId="0" borderId="1" xfId="0" applyFont="1" applyBorder="1" applyAlignment="1">
      <alignment vertical="center"/>
    </xf>
    <xf numFmtId="0" fontId="3" fillId="0" borderId="37" xfId="0" applyFont="1" applyBorder="1" applyAlignment="1">
      <alignment vertical="center" wrapText="1"/>
    </xf>
    <xf numFmtId="9" fontId="3" fillId="0" borderId="37" xfId="9" applyFont="1" applyFill="1" applyBorder="1" applyAlignment="1">
      <alignment horizontal="center" vertical="center"/>
    </xf>
    <xf numFmtId="49" fontId="3" fillId="0" borderId="6" xfId="0" applyNumberFormat="1" applyFont="1" applyBorder="1" applyAlignment="1">
      <alignment vertical="center" wrapText="1"/>
    </xf>
    <xf numFmtId="168" fontId="12" fillId="0" borderId="72" xfId="9" applyNumberFormat="1" applyFont="1" applyFill="1" applyBorder="1" applyAlignment="1">
      <alignment horizontal="center" vertical="center"/>
    </xf>
    <xf numFmtId="9" fontId="3" fillId="0" borderId="41" xfId="9" applyFont="1" applyFill="1" applyBorder="1" applyAlignment="1">
      <alignment horizontal="center" vertical="center"/>
    </xf>
    <xf numFmtId="49" fontId="3" fillId="0" borderId="30" xfId="0" applyNumberFormat="1" applyFont="1" applyBorder="1" applyAlignment="1">
      <alignment horizontal="left" vertical="center"/>
    </xf>
    <xf numFmtId="170" fontId="3" fillId="0" borderId="2" xfId="0" applyNumberFormat="1" applyFont="1" applyBorder="1" applyAlignment="1">
      <alignment horizontal="center" vertical="center"/>
    </xf>
    <xf numFmtId="0" fontId="41" fillId="0" borderId="29" xfId="0" applyFont="1" applyBorder="1" applyAlignment="1">
      <alignment horizontal="left" vertical="center"/>
    </xf>
    <xf numFmtId="0" fontId="52" fillId="0" borderId="29" xfId="0" applyFont="1" applyBorder="1" applyAlignment="1">
      <alignment vertical="center"/>
    </xf>
    <xf numFmtId="0" fontId="53" fillId="0" borderId="29" xfId="0" applyFont="1" applyBorder="1" applyAlignment="1">
      <alignment vertical="center"/>
    </xf>
    <xf numFmtId="0" fontId="24" fillId="0" borderId="29" xfId="0" applyFont="1" applyBorder="1" applyAlignment="1">
      <alignment vertical="center"/>
    </xf>
    <xf numFmtId="0" fontId="0" fillId="0" borderId="29" xfId="0" applyBorder="1" applyAlignment="1">
      <alignment vertical="center"/>
    </xf>
    <xf numFmtId="0" fontId="12" fillId="16" borderId="0" xfId="0" applyFont="1" applyFill="1" applyAlignment="1">
      <alignment horizontal="left" vertical="center" wrapText="1"/>
    </xf>
    <xf numFmtId="0" fontId="26"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horizontal="left" vertical="center" wrapText="1"/>
    </xf>
    <xf numFmtId="49" fontId="12" fillId="16" borderId="0" xfId="0" applyNumberFormat="1" applyFont="1" applyFill="1" applyAlignment="1">
      <alignment horizontal="left" vertical="center"/>
    </xf>
    <xf numFmtId="0" fontId="26" fillId="0" borderId="0" xfId="0" applyFont="1" applyAlignment="1">
      <alignment horizontal="center" vertical="center" wrapText="1"/>
    </xf>
    <xf numFmtId="0" fontId="10" fillId="0" borderId="0" xfId="0" applyFont="1"/>
    <xf numFmtId="49" fontId="13" fillId="0" borderId="0" xfId="0" applyNumberFormat="1" applyFont="1"/>
    <xf numFmtId="0" fontId="10" fillId="0" borderId="0" xfId="0" applyFont="1" applyAlignment="1">
      <alignment horizontal="center" vertical="center"/>
    </xf>
    <xf numFmtId="0" fontId="12" fillId="16" borderId="77" xfId="0" applyFont="1" applyFill="1" applyBorder="1" applyAlignment="1">
      <alignment horizontal="left" vertical="center" wrapText="1"/>
    </xf>
    <xf numFmtId="0" fontId="12" fillId="0" borderId="77" xfId="0" applyFont="1" applyBorder="1" applyAlignment="1">
      <alignment vertical="center"/>
    </xf>
    <xf numFmtId="0" fontId="26" fillId="16" borderId="77" xfId="0" applyFont="1" applyFill="1" applyBorder="1" applyAlignment="1">
      <alignment horizontal="left" vertical="center"/>
    </xf>
    <xf numFmtId="0" fontId="12" fillId="0" borderId="77" xfId="0" applyFont="1" applyBorder="1" applyAlignment="1">
      <alignment horizontal="left" vertical="center" wrapText="1"/>
    </xf>
    <xf numFmtId="0" fontId="26" fillId="0" borderId="77" xfId="0" applyFont="1" applyBorder="1" applyAlignment="1">
      <alignment horizontal="center" vertical="center" wrapText="1"/>
    </xf>
    <xf numFmtId="0" fontId="42" fillId="0" borderId="77" xfId="0" applyFont="1" applyBorder="1" applyAlignment="1">
      <alignment vertical="center"/>
    </xf>
    <xf numFmtId="0" fontId="12" fillId="0" borderId="4" xfId="0" applyFont="1" applyBorder="1" applyAlignment="1">
      <alignment horizontal="left" vertical="center"/>
    </xf>
    <xf numFmtId="0" fontId="23" fillId="0" borderId="4" xfId="0" applyFont="1" applyBorder="1" applyAlignment="1">
      <alignment horizontal="left" vertical="center"/>
    </xf>
    <xf numFmtId="0" fontId="12" fillId="16" borderId="4" xfId="0" applyFont="1" applyFill="1" applyBorder="1" applyAlignment="1">
      <alignment horizontal="left" vertical="center" indent="1"/>
    </xf>
    <xf numFmtId="168" fontId="12" fillId="16" borderId="78" xfId="9" applyNumberFormat="1" applyFont="1" applyFill="1" applyBorder="1" applyAlignment="1">
      <alignment horizontal="center" vertical="center" wrapText="1"/>
    </xf>
    <xf numFmtId="168" fontId="12" fillId="16" borderId="0" xfId="9" applyNumberFormat="1" applyFont="1" applyFill="1" applyBorder="1" applyAlignment="1">
      <alignment horizontal="center" vertical="center" wrapText="1"/>
    </xf>
    <xf numFmtId="168" fontId="12" fillId="16" borderId="42" xfId="9" applyNumberFormat="1" applyFont="1" applyFill="1" applyBorder="1" applyAlignment="1">
      <alignment horizontal="center" vertical="center" wrapText="1"/>
    </xf>
    <xf numFmtId="168" fontId="12" fillId="16" borderId="79" xfId="9" applyNumberFormat="1" applyFont="1" applyFill="1" applyBorder="1" applyAlignment="1">
      <alignment horizontal="center" vertical="center" wrapText="1"/>
    </xf>
    <xf numFmtId="168" fontId="12" fillId="16" borderId="44" xfId="9" applyNumberFormat="1" applyFont="1" applyFill="1" applyBorder="1" applyAlignment="1">
      <alignment horizontal="center" vertical="center" wrapText="1"/>
    </xf>
    <xf numFmtId="168" fontId="12" fillId="16" borderId="2" xfId="9" applyNumberFormat="1" applyFont="1" applyFill="1" applyBorder="1" applyAlignment="1">
      <alignment horizontal="center" vertical="center" wrapText="1"/>
    </xf>
    <xf numFmtId="168" fontId="42" fillId="16" borderId="0" xfId="9" applyNumberFormat="1" applyFont="1" applyFill="1" applyBorder="1" applyAlignment="1">
      <alignment horizontal="center" vertical="center"/>
    </xf>
    <xf numFmtId="0" fontId="3" fillId="16" borderId="39" xfId="0" applyFont="1" applyFill="1" applyBorder="1" applyAlignment="1">
      <alignment horizontal="center" vertical="center"/>
    </xf>
    <xf numFmtId="0" fontId="3" fillId="16" borderId="40" xfId="0" applyFont="1" applyFill="1" applyBorder="1" applyAlignment="1">
      <alignment horizontal="center" vertical="center"/>
    </xf>
    <xf numFmtId="0" fontId="3" fillId="16" borderId="80" xfId="0" applyFont="1" applyFill="1" applyBorder="1" applyAlignment="1">
      <alignment horizontal="center" vertical="center"/>
    </xf>
    <xf numFmtId="0" fontId="3" fillId="16" borderId="43" xfId="0" applyFont="1" applyFill="1" applyBorder="1" applyAlignment="1">
      <alignment horizontal="center" vertical="center"/>
    </xf>
    <xf numFmtId="0" fontId="3" fillId="16" borderId="0" xfId="0" applyFont="1" applyFill="1" applyAlignment="1">
      <alignment horizontal="center" vertical="center"/>
    </xf>
    <xf numFmtId="0" fontId="3" fillId="16" borderId="81" xfId="0" applyFont="1" applyFill="1" applyBorder="1" applyAlignment="1">
      <alignment horizontal="center" vertical="center"/>
    </xf>
    <xf numFmtId="0" fontId="3" fillId="16" borderId="1" xfId="0" applyFont="1" applyFill="1" applyBorder="1" applyAlignment="1">
      <alignment horizontal="center" vertical="center"/>
    </xf>
    <xf numFmtId="0" fontId="3" fillId="16" borderId="44" xfId="0" applyFont="1" applyFill="1" applyBorder="1" applyAlignment="1">
      <alignment horizontal="center" vertical="center"/>
    </xf>
    <xf numFmtId="0" fontId="3" fillId="16" borderId="82" xfId="0" applyFont="1" applyFill="1" applyBorder="1" applyAlignment="1">
      <alignment horizontal="center" vertical="center"/>
    </xf>
    <xf numFmtId="0" fontId="17" fillId="16" borderId="39" xfId="0" applyFont="1" applyFill="1" applyBorder="1" applyAlignment="1">
      <alignment horizontal="center" vertical="center"/>
    </xf>
    <xf numFmtId="0" fontId="17" fillId="16" borderId="40" xfId="0" applyFont="1" applyFill="1" applyBorder="1" applyAlignment="1">
      <alignment horizontal="center" vertical="center"/>
    </xf>
    <xf numFmtId="0" fontId="17" fillId="16" borderId="80" xfId="0" applyFont="1" applyFill="1" applyBorder="1" applyAlignment="1">
      <alignment horizontal="center" vertical="center"/>
    </xf>
    <xf numFmtId="0" fontId="14" fillId="16" borderId="39" xfId="10" applyFont="1" applyFill="1" applyBorder="1" applyAlignment="1">
      <alignment horizontal="left" vertical="center"/>
    </xf>
    <xf numFmtId="0" fontId="14" fillId="16" borderId="40" xfId="10" applyFont="1" applyFill="1" applyBorder="1" applyAlignment="1">
      <alignment horizontal="center" vertical="center"/>
    </xf>
    <xf numFmtId="0" fontId="14" fillId="16" borderId="80" xfId="10" applyFont="1" applyFill="1" applyBorder="1" applyAlignment="1">
      <alignment horizontal="center" vertical="center"/>
    </xf>
    <xf numFmtId="0" fontId="17" fillId="16" borderId="83" xfId="4" applyFont="1" applyFill="1" applyBorder="1" applyAlignment="1">
      <alignment horizontal="left" vertical="center" wrapText="1"/>
    </xf>
    <xf numFmtId="0" fontId="17" fillId="16" borderId="84" xfId="4" applyFont="1" applyFill="1" applyBorder="1" applyAlignment="1">
      <alignment horizontal="left" vertical="center" wrapText="1"/>
    </xf>
    <xf numFmtId="0" fontId="17" fillId="16" borderId="85" xfId="4" applyFont="1" applyFill="1" applyBorder="1" applyAlignment="1">
      <alignment horizontal="left" vertical="center" wrapText="1"/>
    </xf>
    <xf numFmtId="9" fontId="3" fillId="16" borderId="83" xfId="9" applyFont="1" applyFill="1" applyBorder="1" applyAlignment="1">
      <alignment horizontal="center" vertical="center"/>
    </xf>
    <xf numFmtId="9" fontId="3" fillId="16" borderId="84" xfId="9" applyFont="1" applyFill="1" applyBorder="1" applyAlignment="1">
      <alignment horizontal="center" vertical="center"/>
    </xf>
    <xf numFmtId="9" fontId="3" fillId="16" borderId="85" xfId="9" applyFont="1" applyFill="1" applyBorder="1" applyAlignment="1">
      <alignment horizontal="center" vertical="center"/>
    </xf>
    <xf numFmtId="0" fontId="12" fillId="16" borderId="78" xfId="0" applyFont="1" applyFill="1" applyBorder="1" applyAlignment="1">
      <alignment horizontal="center" vertical="center"/>
    </xf>
    <xf numFmtId="0" fontId="12" fillId="16" borderId="0" xfId="0" applyFont="1" applyFill="1" applyAlignment="1">
      <alignment vertical="center"/>
    </xf>
    <xf numFmtId="0" fontId="12" fillId="16" borderId="42" xfId="0" applyFont="1" applyFill="1" applyBorder="1" applyAlignment="1">
      <alignment vertical="center"/>
    </xf>
    <xf numFmtId="0" fontId="12" fillId="0" borderId="2" xfId="0" applyFont="1" applyBorder="1" applyAlignment="1">
      <alignment vertical="center"/>
    </xf>
    <xf numFmtId="170" fontId="27" fillId="0" borderId="86" xfId="9" applyNumberFormat="1" applyFont="1" applyFill="1" applyBorder="1" applyAlignment="1">
      <alignment horizontal="left" vertical="center"/>
    </xf>
    <xf numFmtId="170" fontId="27" fillId="0" borderId="87" xfId="9" applyNumberFormat="1" applyFont="1" applyFill="1" applyBorder="1" applyAlignment="1">
      <alignment horizontal="center" vertical="center" wrapText="1"/>
    </xf>
    <xf numFmtId="170" fontId="27" fillId="0" borderId="88" xfId="9" applyNumberFormat="1" applyFont="1" applyFill="1" applyBorder="1" applyAlignment="1">
      <alignment horizontal="center" vertical="center" wrapText="1"/>
    </xf>
    <xf numFmtId="9" fontId="27" fillId="0" borderId="89" xfId="9" applyFont="1" applyFill="1" applyBorder="1" applyAlignment="1">
      <alignment horizontal="center" vertical="center" wrapText="1"/>
    </xf>
    <xf numFmtId="9" fontId="27" fillId="0" borderId="90" xfId="9" applyFont="1" applyFill="1" applyBorder="1" applyAlignment="1">
      <alignment horizontal="center" vertical="center" wrapText="1"/>
    </xf>
    <xf numFmtId="9" fontId="27" fillId="0" borderId="91" xfId="9" applyFont="1" applyFill="1" applyBorder="1" applyAlignment="1">
      <alignment horizontal="center" vertical="center" wrapText="1"/>
    </xf>
    <xf numFmtId="9" fontId="27" fillId="0" borderId="92" xfId="9" applyFont="1" applyFill="1" applyBorder="1" applyAlignment="1">
      <alignment horizontal="center" vertical="center" wrapText="1"/>
    </xf>
    <xf numFmtId="9" fontId="27" fillId="0" borderId="93" xfId="9" applyFont="1" applyFill="1" applyBorder="1" applyAlignment="1">
      <alignment horizontal="center" vertical="center" wrapText="1"/>
    </xf>
    <xf numFmtId="9" fontId="27" fillId="0" borderId="94" xfId="9" applyFont="1" applyFill="1" applyBorder="1" applyAlignment="1">
      <alignment horizontal="center" vertical="center" wrapText="1"/>
    </xf>
    <xf numFmtId="0" fontId="21" fillId="16" borderId="28" xfId="0" applyFont="1" applyFill="1" applyBorder="1" applyAlignment="1">
      <alignment horizontal="left" vertical="center" indent="1"/>
    </xf>
    <xf numFmtId="0" fontId="21" fillId="16" borderId="4" xfId="0" applyFont="1" applyFill="1" applyBorder="1" applyAlignment="1">
      <alignment horizontal="left" vertical="center" indent="1"/>
    </xf>
    <xf numFmtId="168" fontId="3" fillId="10" borderId="30" xfId="9" applyNumberFormat="1" applyFont="1" applyFill="1" applyBorder="1" applyAlignment="1">
      <alignment horizontal="center" vertical="center"/>
    </xf>
    <xf numFmtId="168" fontId="3" fillId="18" borderId="2" xfId="9" applyNumberFormat="1" applyFont="1" applyFill="1" applyBorder="1" applyAlignment="1">
      <alignment horizontal="center" vertical="center"/>
    </xf>
    <xf numFmtId="168" fontId="3" fillId="18" borderId="30" xfId="9" applyNumberFormat="1" applyFont="1" applyFill="1" applyBorder="1" applyAlignment="1">
      <alignment horizontal="center" vertical="center"/>
    </xf>
    <xf numFmtId="49" fontId="22" fillId="0" borderId="6" xfId="0" applyNumberFormat="1" applyFont="1" applyBorder="1" applyAlignment="1">
      <alignment vertical="center"/>
    </xf>
    <xf numFmtId="49" fontId="40" fillId="0" borderId="6" xfId="0" applyNumberFormat="1" applyFont="1" applyBorder="1" applyAlignment="1">
      <alignment vertical="center"/>
    </xf>
    <xf numFmtId="49" fontId="22" fillId="0" borderId="29" xfId="0" applyNumberFormat="1" applyFont="1" applyBorder="1" applyAlignment="1">
      <alignment vertical="center"/>
    </xf>
    <xf numFmtId="49" fontId="14" fillId="0" borderId="74" xfId="0" applyNumberFormat="1" applyFont="1" applyBorder="1" applyAlignment="1">
      <alignment vertical="center"/>
    </xf>
    <xf numFmtId="0" fontId="66" fillId="0" borderId="6" xfId="0" applyFont="1" applyBorder="1" applyAlignment="1">
      <alignment horizontal="left" vertical="center" wrapText="1"/>
    </xf>
    <xf numFmtId="0" fontId="28" fillId="0" borderId="29" xfId="0" applyFont="1" applyBorder="1" applyAlignment="1">
      <alignment horizontal="left" vertical="center"/>
    </xf>
    <xf numFmtId="49" fontId="67" fillId="0" borderId="30" xfId="0" applyNumberFormat="1" applyFont="1" applyBorder="1" applyAlignment="1">
      <alignment horizontal="left" vertical="center" wrapText="1"/>
    </xf>
    <xf numFmtId="49" fontId="10" fillId="0" borderId="6" xfId="0" applyNumberFormat="1" applyFont="1" applyBorder="1"/>
    <xf numFmtId="14" fontId="67" fillId="0" borderId="30" xfId="0" applyNumberFormat="1" applyFont="1" applyBorder="1" applyAlignment="1">
      <alignment horizontal="left" vertical="center" wrapText="1"/>
    </xf>
    <xf numFmtId="0" fontId="12" fillId="0" borderId="30" xfId="0" applyFont="1" applyBorder="1" applyAlignment="1">
      <alignment horizontal="right" vertical="center" wrapText="1"/>
    </xf>
    <xf numFmtId="0" fontId="12" fillId="0" borderId="30" xfId="0" applyFont="1" applyBorder="1" applyAlignment="1">
      <alignment horizontal="right" vertical="center"/>
    </xf>
    <xf numFmtId="4" fontId="26" fillId="0" borderId="2" xfId="0" applyNumberFormat="1" applyFont="1" applyBorder="1" applyAlignment="1">
      <alignment horizontal="center" vertical="center"/>
    </xf>
    <xf numFmtId="0" fontId="44" fillId="28" borderId="0" xfId="0" applyFont="1" applyFill="1"/>
    <xf numFmtId="0" fontId="21" fillId="0" borderId="5" xfId="0" applyFont="1" applyBorder="1" applyAlignment="1">
      <alignment horizontal="left" vertical="center"/>
    </xf>
    <xf numFmtId="0" fontId="0" fillId="0" borderId="32" xfId="0" applyBorder="1"/>
    <xf numFmtId="0" fontId="44" fillId="28" borderId="32" xfId="0" applyFont="1" applyFill="1" applyBorder="1"/>
    <xf numFmtId="165" fontId="12" fillId="18" borderId="33" xfId="6" applyNumberFormat="1" applyFont="1" applyFill="1" applyBorder="1" applyAlignment="1">
      <alignment horizontal="center" vertical="center"/>
    </xf>
    <xf numFmtId="165" fontId="12" fillId="10" borderId="33" xfId="6" applyNumberFormat="1" applyFont="1" applyFill="1" applyBorder="1" applyAlignment="1">
      <alignment horizontal="center" vertical="center"/>
    </xf>
    <xf numFmtId="2" fontId="12" fillId="0" borderId="1" xfId="11" applyNumberFormat="1" applyFont="1" applyBorder="1" applyAlignment="1">
      <alignment vertical="center" wrapText="1"/>
    </xf>
    <xf numFmtId="166" fontId="12" fillId="13" borderId="2" xfId="0" applyNumberFormat="1" applyFont="1" applyFill="1" applyBorder="1" applyAlignment="1">
      <alignment horizontal="center" vertical="center"/>
    </xf>
    <xf numFmtId="9" fontId="12" fillId="10" borderId="2" xfId="9" applyFont="1" applyFill="1" applyBorder="1" applyAlignment="1">
      <alignment horizontal="center" vertical="center"/>
    </xf>
    <xf numFmtId="2" fontId="12" fillId="0" borderId="31" xfId="11" applyNumberFormat="1" applyFont="1" applyBorder="1" applyAlignment="1">
      <alignment vertical="center" wrapText="1"/>
    </xf>
    <xf numFmtId="1" fontId="44" fillId="0" borderId="67" xfId="0" applyNumberFormat="1" applyFont="1" applyBorder="1" applyAlignment="1">
      <alignment horizontal="center" vertical="center" wrapText="1"/>
    </xf>
    <xf numFmtId="1" fontId="44" fillId="0" borderId="68" xfId="0" applyNumberFormat="1" applyFont="1" applyBorder="1" applyAlignment="1">
      <alignment horizontal="center" vertical="center" wrapText="1"/>
    </xf>
    <xf numFmtId="1" fontId="44" fillId="0" borderId="69" xfId="0" applyNumberFormat="1" applyFont="1" applyBorder="1" applyAlignment="1">
      <alignment horizontal="center" vertical="center" wrapText="1"/>
    </xf>
    <xf numFmtId="1" fontId="44" fillId="0" borderId="104" xfId="0" applyNumberFormat="1" applyFont="1" applyBorder="1" applyAlignment="1">
      <alignment horizontal="center" vertical="center" wrapText="1"/>
    </xf>
    <xf numFmtId="0" fontId="44" fillId="0" borderId="105" xfId="0" applyFont="1" applyBorder="1" applyAlignment="1">
      <alignment horizontal="center" vertical="center" wrapText="1"/>
    </xf>
    <xf numFmtId="1" fontId="44" fillId="0" borderId="106" xfId="0" applyNumberFormat="1" applyFont="1" applyBorder="1" applyAlignment="1">
      <alignment horizontal="center" vertical="center" wrapText="1"/>
    </xf>
    <xf numFmtId="1" fontId="44" fillId="0" borderId="105" xfId="0" applyNumberFormat="1" applyFont="1" applyBorder="1" applyAlignment="1">
      <alignment horizontal="center" vertical="center" wrapText="1"/>
    </xf>
    <xf numFmtId="0" fontId="44" fillId="0" borderId="0" xfId="0" applyFont="1"/>
    <xf numFmtId="1" fontId="0" fillId="0" borderId="0" xfId="0" applyNumberFormat="1"/>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96" xfId="0" applyBorder="1" applyAlignment="1">
      <alignment vertical="center" wrapText="1"/>
    </xf>
    <xf numFmtId="1" fontId="0" fillId="0" borderId="2" xfId="0" applyNumberFormat="1" applyBorder="1" applyAlignment="1">
      <alignment horizontal="center" vertical="center" wrapText="1"/>
    </xf>
    <xf numFmtId="1" fontId="0" fillId="0" borderId="30" xfId="0" applyNumberFormat="1" applyBorder="1" applyAlignment="1">
      <alignment horizontal="center" vertical="center" wrapText="1"/>
    </xf>
    <xf numFmtId="1" fontId="0" fillId="0" borderId="64" xfId="0" applyNumberFormat="1" applyBorder="1" applyAlignment="1">
      <alignment horizontal="center" vertical="center" wrapText="1"/>
    </xf>
    <xf numFmtId="1" fontId="0" fillId="0" borderId="5" xfId="0" applyNumberFormat="1" applyBorder="1" applyAlignment="1">
      <alignment horizontal="center" vertical="center" wrapText="1"/>
    </xf>
    <xf numFmtId="1" fontId="0" fillId="0" borderId="6" xfId="0" applyNumberFormat="1" applyBorder="1" applyAlignment="1">
      <alignment horizontal="center" vertical="center" wrapText="1"/>
    </xf>
    <xf numFmtId="1" fontId="0" fillId="0" borderId="66" xfId="0" applyNumberFormat="1" applyBorder="1" applyAlignment="1">
      <alignment horizontal="center" vertical="center" wrapText="1"/>
    </xf>
    <xf numFmtId="1" fontId="0" fillId="0" borderId="65" xfId="0" applyNumberFormat="1" applyBorder="1" applyAlignment="1">
      <alignment horizontal="center" vertical="center" wrapText="1"/>
    </xf>
    <xf numFmtId="0" fontId="0" fillId="0" borderId="97" xfId="0" applyBorder="1" applyAlignment="1">
      <alignment vertical="center" wrapText="1"/>
    </xf>
    <xf numFmtId="1" fontId="0" fillId="0" borderId="98" xfId="0" applyNumberFormat="1" applyBorder="1" applyAlignment="1">
      <alignment horizontal="center" vertical="center" wrapText="1"/>
    </xf>
    <xf numFmtId="1" fontId="0" fillId="0" borderId="68" xfId="0" applyNumberFormat="1" applyBorder="1" applyAlignment="1">
      <alignment horizontal="center" vertical="center" wrapText="1"/>
    </xf>
    <xf numFmtId="1" fontId="0" fillId="0" borderId="69" xfId="0" applyNumberForma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69" fillId="0" borderId="0" xfId="15" applyFont="1" applyBorder="1" applyAlignment="1"/>
    <xf numFmtId="0" fontId="18" fillId="0" borderId="0" xfId="15" applyBorder="1" applyAlignment="1">
      <alignment horizontal="left" vertical="center"/>
    </xf>
    <xf numFmtId="0" fontId="18" fillId="0" borderId="0" xfId="15"/>
    <xf numFmtId="0" fontId="44" fillId="0" borderId="15" xfId="0" applyFont="1" applyBorder="1" applyAlignment="1">
      <alignment horizontal="center" vertical="center"/>
    </xf>
    <xf numFmtId="0" fontId="69" fillId="0" borderId="21" xfId="0" applyFont="1" applyBorder="1" applyAlignment="1">
      <alignment horizontal="center" vertical="center"/>
    </xf>
    <xf numFmtId="0" fontId="69" fillId="0" borderId="19" xfId="0" applyFont="1" applyBorder="1" applyAlignment="1">
      <alignment horizontal="center" vertical="center"/>
    </xf>
    <xf numFmtId="0" fontId="0" fillId="0" borderId="3" xfId="0" applyBorder="1" applyAlignment="1">
      <alignment horizontal="center" vertical="center"/>
    </xf>
    <xf numFmtId="0" fontId="44" fillId="0" borderId="21" xfId="0" applyFont="1" applyBorder="1" applyAlignment="1">
      <alignment horizontal="center" vertical="center"/>
    </xf>
    <xf numFmtId="0" fontId="0" fillId="0" borderId="7"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66" xfId="0" applyBorder="1" applyAlignment="1">
      <alignment horizontal="center" vertical="center" wrapText="1"/>
    </xf>
    <xf numFmtId="0" fontId="0" fillId="0" borderId="16" xfId="0" applyBorder="1" applyAlignment="1">
      <alignment horizontal="center" vertical="center" wrapText="1"/>
    </xf>
    <xf numFmtId="0" fontId="0" fillId="0" borderId="26" xfId="0" applyBorder="1" applyAlignment="1">
      <alignment horizontal="center" vertical="center" wrapText="1"/>
    </xf>
    <xf numFmtId="0" fontId="0" fillId="0" borderId="12" xfId="0" applyBorder="1" applyAlignment="1">
      <alignment horizontal="center" vertical="center" wrapText="1"/>
    </xf>
    <xf numFmtId="9" fontId="0" fillId="0" borderId="14" xfId="0" applyNumberFormat="1" applyBorder="1" applyAlignment="1">
      <alignment horizontal="center" vertical="center" wrapText="1"/>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20" xfId="0"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8" xfId="0" applyBorder="1" applyAlignment="1">
      <alignment horizontal="center" vertical="center"/>
    </xf>
    <xf numFmtId="9" fontId="0" fillId="0" borderId="25" xfId="0" applyNumberFormat="1" applyBorder="1" applyAlignment="1">
      <alignment horizontal="center" vertical="center"/>
    </xf>
    <xf numFmtId="9" fontId="0" fillId="0" borderId="11" xfId="0" applyNumberFormat="1" applyBorder="1" applyAlignment="1">
      <alignment horizontal="center" vertical="center"/>
    </xf>
    <xf numFmtId="9" fontId="0" fillId="0" borderId="9" xfId="0" applyNumberFormat="1" applyBorder="1" applyAlignment="1">
      <alignment horizontal="center" vertical="center"/>
    </xf>
    <xf numFmtId="1" fontId="0" fillId="0" borderId="107" xfId="0" applyNumberFormat="1" applyBorder="1" applyAlignment="1">
      <alignment horizontal="center" vertical="center" wrapText="1"/>
    </xf>
    <xf numFmtId="0" fontId="0" fillId="0" borderId="108" xfId="0" applyBorder="1" applyAlignment="1">
      <alignment horizontal="center" vertical="center" wrapText="1"/>
    </xf>
    <xf numFmtId="0" fontId="0" fillId="0" borderId="109" xfId="0" applyBorder="1" applyAlignment="1">
      <alignment horizontal="center" vertical="center" wrapText="1"/>
    </xf>
    <xf numFmtId="1" fontId="0" fillId="0" borderId="110" xfId="0" applyNumberFormat="1" applyBorder="1" applyAlignment="1">
      <alignment horizontal="center" vertical="center" wrapText="1"/>
    </xf>
    <xf numFmtId="1" fontId="0" fillId="0" borderId="109" xfId="0" applyNumberFormat="1" applyBorder="1" applyAlignment="1">
      <alignment horizontal="center" vertical="center" wrapText="1"/>
    </xf>
    <xf numFmtId="1" fontId="0" fillId="0" borderId="0" xfId="0" applyNumberFormat="1" applyAlignment="1">
      <alignment vertical="center" wrapText="1"/>
    </xf>
    <xf numFmtId="0" fontId="69"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center" wrapText="1"/>
    </xf>
    <xf numFmtId="2" fontId="17" fillId="14" borderId="6" xfId="11" applyNumberFormat="1" applyFont="1" applyFill="1" applyBorder="1" applyAlignment="1">
      <alignment vertical="center" wrapText="1"/>
    </xf>
    <xf numFmtId="9" fontId="12" fillId="0" borderId="6" xfId="9" applyFont="1" applyBorder="1"/>
    <xf numFmtId="0" fontId="72" fillId="0" borderId="6" xfId="0" applyFont="1" applyBorder="1" applyAlignment="1">
      <alignment vertical="center"/>
    </xf>
    <xf numFmtId="167" fontId="72" fillId="0" borderId="6" xfId="0" applyNumberFormat="1" applyFont="1" applyBorder="1" applyAlignment="1">
      <alignment vertical="center"/>
    </xf>
    <xf numFmtId="0" fontId="12" fillId="16" borderId="32" xfId="4" applyFont="1" applyFill="1" applyBorder="1" applyAlignment="1">
      <alignment horizontal="center" vertical="center"/>
    </xf>
    <xf numFmtId="1" fontId="3" fillId="0" borderId="6" xfId="0" applyNumberFormat="1" applyFont="1" applyBorder="1" applyAlignment="1">
      <alignment vertical="center"/>
    </xf>
    <xf numFmtId="170" fontId="27" fillId="0" borderId="111" xfId="9" applyNumberFormat="1" applyFont="1" applyFill="1" applyBorder="1" applyAlignment="1">
      <alignment horizontal="center" vertical="center" wrapText="1"/>
    </xf>
    <xf numFmtId="9" fontId="12" fillId="13" borderId="4" xfId="9" applyFont="1" applyFill="1" applyBorder="1" applyAlignment="1">
      <alignment horizontal="center" vertical="center"/>
    </xf>
    <xf numFmtId="9" fontId="27" fillId="0" borderId="112" xfId="9" applyFont="1" applyFill="1" applyBorder="1" applyAlignment="1">
      <alignment horizontal="center" vertical="center" wrapText="1"/>
    </xf>
    <xf numFmtId="9" fontId="12" fillId="13" borderId="28" xfId="9" applyFont="1" applyFill="1" applyBorder="1" applyAlignment="1">
      <alignment horizontal="center" vertical="center"/>
    </xf>
    <xf numFmtId="9" fontId="27" fillId="0" borderId="113" xfId="9" applyFont="1" applyFill="1" applyBorder="1" applyAlignment="1">
      <alignment horizontal="center" vertical="center" wrapText="1"/>
    </xf>
    <xf numFmtId="167" fontId="12" fillId="0" borderId="5" xfId="0" applyNumberFormat="1" applyFont="1" applyBorder="1" applyAlignment="1">
      <alignment horizontal="left" vertical="center" wrapText="1"/>
    </xf>
    <xf numFmtId="9" fontId="3" fillId="0" borderId="6" xfId="9" applyFont="1" applyBorder="1" applyAlignment="1">
      <alignment vertical="center"/>
    </xf>
    <xf numFmtId="170" fontId="12" fillId="0" borderId="6" xfId="0" applyNumberFormat="1" applyFont="1" applyBorder="1" applyAlignment="1">
      <alignment vertical="center"/>
    </xf>
    <xf numFmtId="168" fontId="12" fillId="0" borderId="6" xfId="9" applyNumberFormat="1" applyFont="1" applyBorder="1" applyAlignment="1">
      <alignment vertical="center"/>
    </xf>
    <xf numFmtId="1" fontId="3" fillId="0" borderId="6" xfId="9" applyNumberFormat="1" applyFont="1" applyBorder="1" applyAlignment="1">
      <alignment vertical="center"/>
    </xf>
    <xf numFmtId="167" fontId="3" fillId="0" borderId="6" xfId="0" applyNumberFormat="1" applyFont="1" applyBorder="1" applyAlignment="1">
      <alignment vertical="center"/>
    </xf>
    <xf numFmtId="170" fontId="3" fillId="0" borderId="6" xfId="0" applyNumberFormat="1" applyFont="1" applyBorder="1" applyAlignment="1">
      <alignment vertical="center"/>
    </xf>
    <xf numFmtId="4" fontId="3" fillId="23" borderId="5" xfId="6" applyNumberFormat="1" applyFont="1" applyFill="1" applyBorder="1" applyAlignment="1">
      <alignment horizontal="center" vertical="center"/>
    </xf>
    <xf numFmtId="9" fontId="3" fillId="18" borderId="5" xfId="9" applyFont="1" applyFill="1" applyBorder="1" applyAlignment="1">
      <alignment horizontal="center" vertical="center"/>
    </xf>
    <xf numFmtId="9" fontId="3" fillId="10" borderId="6" xfId="9" applyFont="1" applyFill="1" applyBorder="1" applyAlignment="1">
      <alignment horizontal="center" vertical="center"/>
    </xf>
    <xf numFmtId="167" fontId="3" fillId="13" borderId="6" xfId="8" applyNumberFormat="1" applyFont="1" applyFill="1" applyBorder="1" applyAlignment="1">
      <alignment horizontal="center" vertical="center" wrapText="1"/>
    </xf>
    <xf numFmtId="167" fontId="3" fillId="10" borderId="6" xfId="8" applyNumberFormat="1" applyFont="1" applyFill="1" applyBorder="1" applyAlignment="1">
      <alignment horizontal="center" vertical="center" wrapText="1"/>
    </xf>
    <xf numFmtId="0" fontId="63" fillId="0" borderId="6" xfId="0" applyFont="1" applyBorder="1" applyAlignment="1">
      <alignment horizontal="left" vertical="top" wrapText="1"/>
    </xf>
    <xf numFmtId="0" fontId="14" fillId="14" borderId="28" xfId="0" applyFont="1" applyFill="1" applyBorder="1" applyAlignment="1">
      <alignment horizontal="left" vertical="center" indent="1"/>
    </xf>
    <xf numFmtId="0" fontId="3" fillId="14" borderId="28" xfId="0" applyFont="1" applyFill="1" applyBorder="1" applyAlignment="1">
      <alignment horizontal="left" vertical="center" indent="1"/>
    </xf>
    <xf numFmtId="0" fontId="3" fillId="14" borderId="5" xfId="0" applyFont="1" applyFill="1" applyBorder="1" applyAlignment="1">
      <alignment horizontal="center" vertical="center"/>
    </xf>
    <xf numFmtId="0" fontId="3" fillId="18" borderId="6" xfId="0" applyFont="1" applyFill="1" applyBorder="1" applyAlignment="1">
      <alignment horizontal="left" vertical="center"/>
    </xf>
    <xf numFmtId="0" fontId="3" fillId="18" borderId="6" xfId="0" applyFont="1" applyFill="1" applyBorder="1" applyAlignment="1">
      <alignment vertical="center"/>
    </xf>
    <xf numFmtId="0" fontId="3" fillId="15" borderId="6" xfId="8" applyFont="1" applyFill="1" applyBorder="1" applyAlignment="1">
      <alignment horizontal="left" vertical="center"/>
    </xf>
    <xf numFmtId="0" fontId="3" fillId="15" borderId="6" xfId="8" applyFont="1" applyFill="1" applyBorder="1" applyAlignment="1">
      <alignment vertical="center"/>
    </xf>
    <xf numFmtId="0" fontId="3" fillId="12" borderId="6" xfId="0" applyFont="1" applyFill="1" applyBorder="1" applyAlignment="1">
      <alignment horizontal="left" vertical="center"/>
    </xf>
    <xf numFmtId="0" fontId="3" fillId="12" borderId="6" xfId="0" applyFont="1" applyFill="1" applyBorder="1" applyAlignment="1">
      <alignment vertical="center"/>
    </xf>
    <xf numFmtId="0" fontId="3" fillId="10" borderId="6" xfId="6" applyFont="1" applyFill="1" applyBorder="1" applyAlignment="1">
      <alignment horizontal="left" vertical="center"/>
    </xf>
    <xf numFmtId="0" fontId="3" fillId="10" borderId="6" xfId="6" applyFont="1" applyFill="1" applyBorder="1" applyAlignment="1">
      <alignment vertical="center"/>
    </xf>
    <xf numFmtId="0" fontId="3" fillId="13" borderId="6" xfId="0" applyFont="1" applyFill="1" applyBorder="1" applyAlignment="1">
      <alignment horizontal="left" vertical="center"/>
    </xf>
    <xf numFmtId="0" fontId="3" fillId="13" borderId="6" xfId="0" applyFont="1" applyFill="1" applyBorder="1" applyAlignment="1">
      <alignment vertical="center"/>
    </xf>
    <xf numFmtId="0" fontId="73" fillId="0" borderId="6" xfId="0" applyFont="1" applyBorder="1" applyAlignment="1">
      <alignment vertical="center"/>
    </xf>
    <xf numFmtId="49" fontId="3" fillId="16" borderId="2" xfId="0" applyNumberFormat="1" applyFont="1" applyFill="1" applyBorder="1" applyAlignment="1">
      <alignment horizontal="left"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14" fillId="16" borderId="32" xfId="4" applyFont="1" applyFill="1" applyBorder="1" applyAlignment="1">
      <alignment horizontal="center" vertical="center"/>
    </xf>
    <xf numFmtId="0" fontId="3" fillId="0" borderId="32" xfId="0" applyFont="1" applyBorder="1" applyAlignment="1">
      <alignment horizontal="center" vertical="center" wrapText="1"/>
    </xf>
    <xf numFmtId="0" fontId="14" fillId="16" borderId="33" xfId="4" applyFont="1" applyFill="1" applyBorder="1" applyAlignment="1">
      <alignment horizontal="center" vertical="center"/>
    </xf>
    <xf numFmtId="0" fontId="3" fillId="17" borderId="31" xfId="4" applyFont="1" applyFill="1" applyBorder="1" applyAlignment="1">
      <alignment horizontal="center" vertical="center"/>
    </xf>
    <xf numFmtId="0" fontId="3" fillId="17" borderId="32" xfId="4" applyFont="1" applyFill="1" applyBorder="1" applyAlignment="1">
      <alignment horizontal="center" vertical="center"/>
    </xf>
    <xf numFmtId="0" fontId="3" fillId="17" borderId="33" xfId="4" applyFont="1" applyFill="1" applyBorder="1" applyAlignment="1">
      <alignment horizontal="center" vertical="center"/>
    </xf>
    <xf numFmtId="0" fontId="3" fillId="11" borderId="31" xfId="10" applyFont="1" applyBorder="1" applyAlignment="1">
      <alignment horizontal="center" vertical="center"/>
    </xf>
    <xf numFmtId="0" fontId="3" fillId="11" borderId="32" xfId="10" applyFont="1" applyBorder="1" applyAlignment="1">
      <alignment horizontal="center" vertical="center"/>
    </xf>
    <xf numFmtId="0" fontId="3" fillId="11" borderId="33" xfId="10" applyFont="1" applyBorder="1" applyAlignment="1">
      <alignment horizontal="center" vertical="center"/>
    </xf>
    <xf numFmtId="0" fontId="3" fillId="19" borderId="31" xfId="7" applyFont="1" applyFill="1" applyBorder="1" applyAlignment="1">
      <alignment horizontal="center" vertical="center" wrapText="1"/>
    </xf>
    <xf numFmtId="0" fontId="3" fillId="19" borderId="32" xfId="7" applyFont="1" applyFill="1" applyBorder="1" applyAlignment="1">
      <alignment horizontal="center" vertical="center"/>
    </xf>
    <xf numFmtId="0" fontId="3" fillId="19" borderId="33" xfId="7" applyFont="1" applyFill="1" applyBorder="1" applyAlignment="1">
      <alignment horizontal="center" vertical="center" wrapText="1"/>
    </xf>
    <xf numFmtId="0" fontId="3" fillId="6" borderId="31" xfId="5" applyFont="1" applyBorder="1" applyAlignment="1">
      <alignment horizontal="center" vertical="center"/>
    </xf>
    <xf numFmtId="0" fontId="3" fillId="6" borderId="32" xfId="5" applyFont="1" applyBorder="1" applyAlignment="1">
      <alignment horizontal="center" vertical="center"/>
    </xf>
    <xf numFmtId="0" fontId="3" fillId="6" borderId="33" xfId="5" applyFont="1" applyBorder="1" applyAlignment="1">
      <alignment horizontal="center" vertical="center"/>
    </xf>
    <xf numFmtId="0" fontId="3" fillId="0" borderId="33" xfId="5" applyFont="1" applyFill="1" applyBorder="1" applyAlignment="1">
      <alignment horizontal="center" vertical="center"/>
    </xf>
    <xf numFmtId="0" fontId="3" fillId="0" borderId="2" xfId="2" applyFont="1" applyFill="1" applyBorder="1" applyAlignment="1">
      <alignment horizontal="center" vertical="center"/>
    </xf>
    <xf numFmtId="0" fontId="3" fillId="0" borderId="30" xfId="3" applyFont="1" applyFill="1" applyBorder="1" applyAlignment="1">
      <alignment horizontal="center" vertical="center" wrapText="1"/>
    </xf>
    <xf numFmtId="0" fontId="3" fillId="0" borderId="30" xfId="1" applyFont="1" applyFill="1" applyBorder="1" applyAlignment="1">
      <alignment horizontal="center" vertical="center" wrapText="1"/>
    </xf>
    <xf numFmtId="0" fontId="3" fillId="0" borderId="30" xfId="2" applyFont="1" applyFill="1" applyBorder="1" applyAlignment="1">
      <alignment horizontal="left" vertical="center"/>
    </xf>
    <xf numFmtId="0" fontId="3" fillId="0" borderId="30" xfId="2" applyFont="1" applyFill="1" applyBorder="1" applyAlignment="1">
      <alignment horizontal="center" vertical="center"/>
    </xf>
    <xf numFmtId="9" fontId="3" fillId="18" borderId="5" xfId="9" applyFont="1" applyFill="1" applyBorder="1" applyAlignment="1">
      <alignment horizontal="center" vertical="center" wrapText="1"/>
    </xf>
    <xf numFmtId="9" fontId="3" fillId="10" borderId="6" xfId="9" applyFont="1" applyFill="1" applyBorder="1" applyAlignment="1">
      <alignment horizontal="center" vertical="center" wrapText="1"/>
    </xf>
    <xf numFmtId="9" fontId="3" fillId="0" borderId="6" xfId="9" applyFont="1" applyBorder="1" applyAlignment="1">
      <alignment horizontal="left" vertical="center" wrapText="1"/>
    </xf>
    <xf numFmtId="9" fontId="3" fillId="0" borderId="6" xfId="9" applyFont="1" applyFill="1" applyBorder="1" applyAlignment="1">
      <alignment horizontal="center" vertical="center" wrapText="1"/>
    </xf>
    <xf numFmtId="9" fontId="3" fillId="13" borderId="5" xfId="9" applyFont="1" applyFill="1" applyBorder="1" applyAlignment="1">
      <alignment horizontal="center" vertical="center" wrapText="1"/>
    </xf>
    <xf numFmtId="9" fontId="3" fillId="13" borderId="6" xfId="9" applyFont="1" applyFill="1" applyBorder="1" applyAlignment="1">
      <alignment horizontal="center" vertical="center" wrapText="1"/>
    </xf>
    <xf numFmtId="9" fontId="3" fillId="23" borderId="6" xfId="9" applyFont="1" applyFill="1" applyBorder="1" applyAlignment="1">
      <alignment horizontal="center" vertical="center" wrapText="1"/>
    </xf>
    <xf numFmtId="9" fontId="3" fillId="0" borderId="5" xfId="9" applyFont="1" applyFill="1" applyBorder="1" applyAlignment="1">
      <alignment horizontal="center" vertical="center" wrapText="1"/>
    </xf>
    <xf numFmtId="9" fontId="3" fillId="0" borderId="6" xfId="9" applyFont="1" applyFill="1" applyBorder="1" applyAlignment="1">
      <alignment horizontal="left" vertical="center" wrapText="1"/>
    </xf>
    <xf numFmtId="9" fontId="3" fillId="18" borderId="6" xfId="9" applyFont="1" applyFill="1" applyBorder="1" applyAlignment="1">
      <alignment horizontal="center" vertical="center" wrapText="1"/>
    </xf>
    <xf numFmtId="9" fontId="3" fillId="0" borderId="5" xfId="9" applyFont="1" applyBorder="1" applyAlignment="1">
      <alignment horizontal="center" vertical="center" wrapText="1"/>
    </xf>
    <xf numFmtId="9" fontId="3" fillId="0" borderId="6" xfId="9" applyFont="1" applyBorder="1" applyAlignment="1">
      <alignment horizontal="center" vertical="center" wrapText="1"/>
    </xf>
    <xf numFmtId="170" fontId="3" fillId="0" borderId="6" xfId="9" applyNumberFormat="1" applyFont="1" applyBorder="1" applyAlignment="1">
      <alignment horizontal="left" vertical="center" wrapText="1"/>
    </xf>
    <xf numFmtId="167" fontId="3" fillId="13" borderId="5" xfId="0" applyNumberFormat="1" applyFont="1" applyFill="1" applyBorder="1" applyAlignment="1">
      <alignment horizontal="center" vertical="center" wrapText="1"/>
    </xf>
    <xf numFmtId="167" fontId="3" fillId="13" borderId="6" xfId="0" applyNumberFormat="1" applyFont="1" applyFill="1" applyBorder="1" applyAlignment="1">
      <alignment horizontal="center" vertical="center" wrapText="1"/>
    </xf>
    <xf numFmtId="167" fontId="3" fillId="0" borderId="6" xfId="0" applyNumberFormat="1" applyFont="1" applyBorder="1" applyAlignment="1">
      <alignment horizontal="left" vertical="center" wrapText="1"/>
    </xf>
    <xf numFmtId="167" fontId="3" fillId="13" borderId="6" xfId="6" applyNumberFormat="1" applyFont="1" applyFill="1" applyBorder="1" applyAlignment="1">
      <alignment horizontal="center" vertical="center" wrapText="1"/>
    </xf>
    <xf numFmtId="3" fontId="3" fillId="0" borderId="6" xfId="0" applyNumberFormat="1" applyFont="1" applyBorder="1" applyAlignment="1">
      <alignment horizontal="center" vertical="center" wrapText="1"/>
    </xf>
    <xf numFmtId="0" fontId="3" fillId="0" borderId="6" xfId="6" applyFont="1" applyFill="1" applyBorder="1" applyAlignment="1">
      <alignment horizontal="center" vertical="center" wrapText="1"/>
    </xf>
    <xf numFmtId="4" fontId="3" fillId="13" borderId="5" xfId="6" applyNumberFormat="1" applyFont="1" applyFill="1" applyBorder="1" applyAlignment="1">
      <alignment horizontal="center" vertical="center"/>
    </xf>
    <xf numFmtId="4" fontId="3" fillId="13" borderId="6" xfId="6" applyNumberFormat="1" applyFont="1" applyFill="1" applyBorder="1" applyAlignment="1">
      <alignment horizontal="center" vertical="center"/>
    </xf>
    <xf numFmtId="4" fontId="3" fillId="0" borderId="6" xfId="6" applyNumberFormat="1" applyFont="1" applyFill="1" applyBorder="1" applyAlignment="1">
      <alignment horizontal="center" vertical="center"/>
    </xf>
    <xf numFmtId="167" fontId="3" fillId="0" borderId="6" xfId="0" applyNumberFormat="1" applyFont="1" applyBorder="1" applyAlignment="1">
      <alignment horizontal="center" vertical="center" wrapText="1"/>
    </xf>
    <xf numFmtId="167" fontId="3" fillId="13" borderId="5" xfId="8" applyNumberFormat="1" applyFont="1" applyFill="1" applyBorder="1" applyAlignment="1">
      <alignment horizontal="center" vertical="center" wrapText="1"/>
    </xf>
    <xf numFmtId="3" fontId="3" fillId="0" borderId="6" xfId="8" applyNumberFormat="1" applyFont="1" applyFill="1" applyBorder="1" applyAlignment="1">
      <alignment horizontal="center" vertical="center" wrapText="1"/>
    </xf>
    <xf numFmtId="167" fontId="14" fillId="13" borderId="5" xfId="0" applyNumberFormat="1" applyFont="1" applyFill="1" applyBorder="1" applyAlignment="1">
      <alignment horizontal="center" vertical="center"/>
    </xf>
    <xf numFmtId="0" fontId="74" fillId="0" borderId="6" xfId="0" applyFont="1" applyBorder="1" applyAlignment="1">
      <alignment horizontal="left" vertical="center" wrapText="1"/>
    </xf>
    <xf numFmtId="4" fontId="3" fillId="16" borderId="5" xfId="6" applyNumberFormat="1" applyFont="1" applyFill="1" applyBorder="1" applyAlignment="1">
      <alignment horizontal="center" vertical="center"/>
    </xf>
    <xf numFmtId="165" fontId="3" fillId="13" borderId="5" xfId="0" applyNumberFormat="1" applyFont="1" applyFill="1" applyBorder="1" applyAlignment="1">
      <alignment horizontal="center" vertical="center"/>
    </xf>
    <xf numFmtId="2" fontId="3" fillId="0" borderId="6" xfId="0" applyNumberFormat="1" applyFont="1" applyBorder="1" applyAlignment="1">
      <alignment vertical="center"/>
    </xf>
    <xf numFmtId="3" fontId="3" fillId="0" borderId="5" xfId="0" applyNumberFormat="1" applyFont="1" applyBorder="1" applyAlignment="1">
      <alignment horizontal="center" vertical="center"/>
    </xf>
    <xf numFmtId="3" fontId="3" fillId="0" borderId="6" xfId="0" applyNumberFormat="1" applyFont="1" applyBorder="1" applyAlignment="1">
      <alignment horizontal="center" vertical="center"/>
    </xf>
    <xf numFmtId="9" fontId="3" fillId="18" borderId="6" xfId="0" applyNumberFormat="1" applyFont="1" applyFill="1" applyBorder="1" applyAlignment="1">
      <alignment horizontal="center" vertical="center"/>
    </xf>
    <xf numFmtId="170" fontId="3" fillId="13" borderId="5" xfId="0" applyNumberFormat="1" applyFont="1" applyFill="1" applyBorder="1" applyAlignment="1">
      <alignment horizontal="center" vertical="center"/>
    </xf>
    <xf numFmtId="1" fontId="3" fillId="0" borderId="5" xfId="0" applyNumberFormat="1" applyFont="1" applyBorder="1" applyAlignment="1">
      <alignment horizontal="center" vertical="center"/>
    </xf>
    <xf numFmtId="167" fontId="3" fillId="0" borderId="6" xfId="0" applyNumberFormat="1" applyFont="1" applyBorder="1" applyAlignment="1">
      <alignment horizontal="center" vertical="center"/>
    </xf>
    <xf numFmtId="167" fontId="3" fillId="13" borderId="6" xfId="9" applyNumberFormat="1" applyFont="1" applyFill="1" applyBorder="1" applyAlignment="1">
      <alignment horizontal="center" vertical="center" wrapText="1"/>
    </xf>
    <xf numFmtId="167" fontId="14" fillId="13" borderId="5" xfId="6" applyNumberFormat="1" applyFont="1" applyFill="1" applyBorder="1" applyAlignment="1">
      <alignment horizontal="center" vertical="center"/>
    </xf>
    <xf numFmtId="0" fontId="74" fillId="0" borderId="29" xfId="0" applyFont="1" applyBorder="1" applyAlignment="1">
      <alignment horizontal="left" vertical="center" wrapText="1"/>
    </xf>
    <xf numFmtId="167" fontId="9" fillId="13" borderId="6" xfId="6" applyNumberFormat="1" applyFont="1" applyFill="1" applyBorder="1" applyAlignment="1">
      <alignment horizontal="center" vertical="center"/>
    </xf>
    <xf numFmtId="171" fontId="3" fillId="0" borderId="6" xfId="17" applyNumberFormat="1" applyFont="1" applyBorder="1" applyAlignment="1">
      <alignment vertical="center"/>
    </xf>
    <xf numFmtId="167" fontId="3" fillId="13" borderId="5" xfId="6" applyNumberFormat="1" applyFont="1" applyFill="1" applyBorder="1" applyAlignment="1">
      <alignment horizontal="center" vertical="center"/>
    </xf>
    <xf numFmtId="171" fontId="3" fillId="0" borderId="6" xfId="17" applyNumberFormat="1" applyFont="1" applyFill="1" applyBorder="1" applyAlignment="1">
      <alignment vertical="center"/>
    </xf>
    <xf numFmtId="165" fontId="3" fillId="13" borderId="6" xfId="0" applyNumberFormat="1" applyFont="1" applyFill="1" applyBorder="1" applyAlignment="1">
      <alignment horizontal="center" vertical="center"/>
    </xf>
    <xf numFmtId="4" fontId="3" fillId="10" borderId="5" xfId="6" applyNumberFormat="1" applyFont="1" applyFill="1" applyBorder="1" applyAlignment="1">
      <alignment horizontal="center" vertical="center"/>
    </xf>
    <xf numFmtId="172" fontId="3" fillId="0" borderId="37" xfId="0" applyNumberFormat="1" applyFont="1" applyBorder="1" applyAlignment="1">
      <alignment vertical="center"/>
    </xf>
    <xf numFmtId="0" fontId="3" fillId="0" borderId="5" xfId="0" applyFont="1" applyBorder="1" applyAlignment="1">
      <alignment horizontal="center" vertical="center" wrapText="1"/>
    </xf>
    <xf numFmtId="4" fontId="3" fillId="10" borderId="6" xfId="6" applyNumberFormat="1" applyFont="1" applyFill="1" applyBorder="1" applyAlignment="1">
      <alignment horizontal="center" vertical="center"/>
    </xf>
    <xf numFmtId="9" fontId="12" fillId="12" borderId="6" xfId="9" applyFont="1" applyFill="1" applyBorder="1" applyAlignment="1">
      <alignment horizontal="center" vertical="center" wrapText="1"/>
    </xf>
    <xf numFmtId="165" fontId="12" fillId="10" borderId="2" xfId="6" applyNumberFormat="1" applyFont="1" applyFill="1" applyBorder="1" applyAlignment="1">
      <alignment horizontal="center" vertical="center"/>
    </xf>
    <xf numFmtId="1" fontId="12" fillId="10" borderId="5" xfId="9" applyNumberFormat="1" applyFont="1" applyFill="1" applyBorder="1" applyAlignment="1">
      <alignment horizontal="center" vertical="center" wrapText="1"/>
    </xf>
    <xf numFmtId="0" fontId="3" fillId="10" borderId="6" xfId="0" applyFont="1" applyFill="1" applyBorder="1" applyAlignment="1">
      <alignment vertical="center"/>
    </xf>
    <xf numFmtId="0" fontId="3" fillId="29" borderId="6" xfId="0" applyFont="1" applyFill="1" applyBorder="1" applyAlignment="1">
      <alignment vertical="center"/>
    </xf>
    <xf numFmtId="0" fontId="45" fillId="29" borderId="6" xfId="0" applyFont="1" applyFill="1" applyBorder="1" applyAlignment="1">
      <alignment vertical="center"/>
    </xf>
    <xf numFmtId="0" fontId="3" fillId="29" borderId="4" xfId="0" applyFont="1" applyFill="1" applyBorder="1" applyAlignment="1">
      <alignment vertical="center"/>
    </xf>
    <xf numFmtId="1" fontId="3" fillId="13" borderId="6" xfId="0" applyNumberFormat="1" applyFont="1" applyFill="1" applyBorder="1" applyAlignment="1">
      <alignment vertical="center"/>
    </xf>
    <xf numFmtId="0" fontId="71" fillId="29" borderId="6" xfId="0" applyFont="1" applyFill="1" applyBorder="1" applyAlignment="1">
      <alignment vertical="center"/>
    </xf>
    <xf numFmtId="9" fontId="3" fillId="29" borderId="6" xfId="9" applyFont="1" applyFill="1" applyBorder="1" applyAlignment="1">
      <alignment vertical="center"/>
    </xf>
    <xf numFmtId="9" fontId="3" fillId="10" borderId="6" xfId="9" applyFont="1" applyFill="1" applyBorder="1" applyAlignment="1">
      <alignment vertical="center"/>
    </xf>
    <xf numFmtId="170" fontId="3" fillId="13" borderId="6" xfId="0" applyNumberFormat="1" applyFont="1" applyFill="1" applyBorder="1" applyAlignment="1">
      <alignment vertical="center"/>
    </xf>
    <xf numFmtId="167" fontId="14" fillId="13" borderId="6" xfId="0" applyNumberFormat="1" applyFont="1" applyFill="1" applyBorder="1" applyAlignment="1">
      <alignment vertical="center"/>
    </xf>
    <xf numFmtId="0" fontId="14" fillId="29" borderId="6" xfId="0" applyFont="1" applyFill="1" applyBorder="1" applyAlignment="1">
      <alignment vertical="center"/>
    </xf>
    <xf numFmtId="2" fontId="3" fillId="13" borderId="6" xfId="0" applyNumberFormat="1" applyFont="1" applyFill="1" applyBorder="1" applyAlignment="1">
      <alignment vertical="center"/>
    </xf>
    <xf numFmtId="0" fontId="14" fillId="0" borderId="30" xfId="0" applyFont="1" applyBorder="1" applyAlignment="1">
      <alignment horizontal="left" vertical="center"/>
    </xf>
    <xf numFmtId="0" fontId="21" fillId="16" borderId="1" xfId="4" applyFont="1" applyFill="1" applyBorder="1" applyAlignment="1">
      <alignment horizontal="center" vertical="center"/>
    </xf>
    <xf numFmtId="0" fontId="12" fillId="16" borderId="1" xfId="4" applyFont="1" applyFill="1" applyBorder="1" applyAlignment="1">
      <alignment horizontal="center" vertical="center"/>
    </xf>
    <xf numFmtId="0" fontId="14" fillId="0" borderId="36" xfId="0" applyFont="1" applyBorder="1" applyAlignment="1">
      <alignment horizontal="center" vertical="center"/>
    </xf>
    <xf numFmtId="0" fontId="14" fillId="0" borderId="34" xfId="0" applyFont="1" applyBorder="1" applyAlignment="1">
      <alignment horizontal="center" vertical="center"/>
    </xf>
    <xf numFmtId="168" fontId="3" fillId="13" borderId="30" xfId="9" applyNumberFormat="1" applyFont="1" applyFill="1" applyBorder="1" applyAlignment="1">
      <alignment horizontal="center" vertical="center"/>
    </xf>
    <xf numFmtId="9" fontId="76" fillId="13" borderId="37" xfId="9" applyFont="1" applyFill="1" applyBorder="1" applyAlignment="1">
      <alignment horizontal="center" vertical="center"/>
    </xf>
    <xf numFmtId="9" fontId="77" fillId="30" borderId="37" xfId="5" applyNumberFormat="1" applyFont="1" applyFill="1" applyBorder="1" applyAlignment="1">
      <alignment horizontal="center" vertical="center"/>
    </xf>
    <xf numFmtId="9" fontId="77" fillId="30" borderId="37" xfId="0" applyNumberFormat="1" applyFont="1" applyFill="1" applyBorder="1" applyAlignment="1">
      <alignment vertical="center"/>
    </xf>
    <xf numFmtId="0" fontId="2" fillId="0" borderId="53" xfId="0" applyFont="1" applyBorder="1" applyAlignment="1">
      <alignment vertical="center"/>
    </xf>
    <xf numFmtId="0" fontId="12" fillId="18" borderId="48" xfId="0" applyFont="1" applyFill="1" applyBorder="1" applyAlignment="1">
      <alignment vertical="center"/>
    </xf>
    <xf numFmtId="0" fontId="12" fillId="18" borderId="50" xfId="0" applyFont="1" applyFill="1" applyBorder="1" applyAlignment="1">
      <alignment vertical="center"/>
    </xf>
    <xf numFmtId="9" fontId="0" fillId="0" borderId="6" xfId="0" applyNumberFormat="1" applyBorder="1" applyAlignment="1">
      <alignment vertical="center"/>
    </xf>
    <xf numFmtId="9" fontId="17" fillId="0" borderId="41" xfId="9" applyFont="1" applyFill="1" applyBorder="1" applyAlignment="1">
      <alignment horizontal="center" vertical="center"/>
    </xf>
    <xf numFmtId="9" fontId="3" fillId="13" borderId="41" xfId="9" applyFont="1" applyFill="1" applyBorder="1" applyAlignment="1">
      <alignment horizontal="center" vertical="center"/>
    </xf>
    <xf numFmtId="0" fontId="3" fillId="12" borderId="4" xfId="0" applyFont="1" applyFill="1" applyBorder="1" applyAlignment="1">
      <alignment vertical="center"/>
    </xf>
    <xf numFmtId="0" fontId="3" fillId="0" borderId="0" xfId="0" applyFont="1"/>
    <xf numFmtId="4" fontId="12" fillId="18" borderId="6" xfId="0" applyNumberFormat="1" applyFont="1" applyFill="1" applyBorder="1" applyAlignment="1">
      <alignment vertical="center"/>
    </xf>
    <xf numFmtId="4" fontId="12" fillId="18" borderId="48" xfId="0" applyNumberFormat="1" applyFont="1" applyFill="1" applyBorder="1" applyAlignment="1">
      <alignment vertical="center"/>
    </xf>
    <xf numFmtId="4" fontId="12" fillId="23" borderId="6" xfId="0" applyNumberFormat="1" applyFont="1" applyFill="1" applyBorder="1" applyAlignment="1">
      <alignment vertical="center"/>
    </xf>
    <xf numFmtId="4" fontId="12" fillId="13" borderId="6" xfId="0" applyNumberFormat="1" applyFont="1" applyFill="1" applyBorder="1" applyAlignment="1">
      <alignment vertical="center"/>
    </xf>
    <xf numFmtId="4" fontId="12" fillId="13" borderId="48" xfId="0" applyNumberFormat="1" applyFont="1" applyFill="1" applyBorder="1" applyAlignment="1">
      <alignment vertical="center"/>
    </xf>
    <xf numFmtId="4" fontId="12" fillId="23" borderId="48" xfId="0" applyNumberFormat="1" applyFont="1" applyFill="1" applyBorder="1" applyAlignment="1">
      <alignment vertical="center"/>
    </xf>
    <xf numFmtId="0" fontId="12" fillId="18" borderId="5" xfId="0" applyFont="1" applyFill="1" applyBorder="1" applyAlignment="1">
      <alignment vertical="center"/>
    </xf>
    <xf numFmtId="4" fontId="12" fillId="13" borderId="5" xfId="0" applyNumberFormat="1" applyFont="1" applyFill="1" applyBorder="1" applyAlignment="1">
      <alignment vertical="center"/>
    </xf>
    <xf numFmtId="4" fontId="12" fillId="18" borderId="5" xfId="0" applyNumberFormat="1" applyFont="1" applyFill="1" applyBorder="1" applyAlignment="1">
      <alignment vertical="center"/>
    </xf>
    <xf numFmtId="4" fontId="12" fillId="23" borderId="5" xfId="0" applyNumberFormat="1" applyFont="1" applyFill="1" applyBorder="1" applyAlignment="1">
      <alignment vertical="center"/>
    </xf>
    <xf numFmtId="4" fontId="3" fillId="23" borderId="0" xfId="0" applyNumberFormat="1" applyFont="1" applyFill="1"/>
    <xf numFmtId="0" fontId="78" fillId="0" borderId="0" xfId="0" applyFont="1"/>
    <xf numFmtId="168" fontId="78" fillId="0" borderId="0" xfId="9" applyNumberFormat="1" applyFont="1"/>
    <xf numFmtId="168" fontId="3" fillId="13" borderId="0" xfId="9" applyNumberFormat="1" applyFont="1" applyFill="1"/>
    <xf numFmtId="4" fontId="3" fillId="13" borderId="0" xfId="0" applyNumberFormat="1" applyFont="1" applyFill="1"/>
    <xf numFmtId="0" fontId="14" fillId="31" borderId="5" xfId="0" applyFont="1" applyFill="1" applyBorder="1" applyAlignment="1">
      <alignment horizontal="left" vertical="center"/>
    </xf>
    <xf numFmtId="0" fontId="3" fillId="31" borderId="6" xfId="0" applyFont="1" applyFill="1" applyBorder="1" applyAlignment="1">
      <alignment horizontal="center" vertical="center"/>
    </xf>
    <xf numFmtId="0" fontId="3" fillId="16" borderId="6" xfId="0" applyFont="1" applyFill="1" applyBorder="1" applyAlignment="1">
      <alignment vertical="center" wrapText="1"/>
    </xf>
    <xf numFmtId="0" fontId="3" fillId="16" borderId="6" xfId="0" applyFont="1" applyFill="1" applyBorder="1" applyAlignment="1">
      <alignment horizontal="left" vertical="center"/>
    </xf>
    <xf numFmtId="173" fontId="12" fillId="18" borderId="51" xfId="0" applyNumberFormat="1" applyFont="1" applyFill="1" applyBorder="1" applyAlignment="1">
      <alignment vertical="center"/>
    </xf>
    <xf numFmtId="174" fontId="12" fillId="18" borderId="51" xfId="0" applyNumberFormat="1" applyFont="1" applyFill="1" applyBorder="1" applyAlignment="1">
      <alignment vertical="center"/>
    </xf>
    <xf numFmtId="175" fontId="27" fillId="0" borderId="6" xfId="9" applyNumberFormat="1" applyFont="1" applyFill="1" applyBorder="1" applyAlignment="1">
      <alignment horizontal="center" vertical="center" wrapText="1"/>
    </xf>
    <xf numFmtId="0" fontId="12" fillId="14" borderId="28" xfId="0" applyFont="1" applyFill="1" applyBorder="1" applyAlignment="1">
      <alignment horizontal="left" vertical="center" indent="1"/>
    </xf>
    <xf numFmtId="0" fontId="18" fillId="14" borderId="28" xfId="18" applyFill="1" applyBorder="1" applyAlignment="1">
      <alignment horizontal="left" vertical="center" indent="1"/>
    </xf>
    <xf numFmtId="0" fontId="12" fillId="10" borderId="6" xfId="0" applyFont="1" applyFill="1" applyBorder="1" applyAlignment="1">
      <alignment vertical="center"/>
    </xf>
    <xf numFmtId="0" fontId="12" fillId="10" borderId="4" xfId="0" applyFont="1" applyFill="1" applyBorder="1" applyAlignment="1">
      <alignment vertical="center"/>
    </xf>
    <xf numFmtId="1" fontId="12" fillId="10" borderId="6" xfId="9" applyNumberFormat="1" applyFont="1" applyFill="1" applyBorder="1" applyAlignment="1">
      <alignment horizontal="right" vertical="center" wrapText="1"/>
    </xf>
    <xf numFmtId="168" fontId="12" fillId="10" borderId="5" xfId="9" applyNumberFormat="1" applyFont="1" applyFill="1" applyBorder="1" applyAlignment="1">
      <alignment horizontal="center" vertical="center" wrapText="1"/>
    </xf>
    <xf numFmtId="168" fontId="12" fillId="10" borderId="6" xfId="9" applyNumberFormat="1" applyFont="1" applyFill="1" applyBorder="1" applyAlignment="1">
      <alignment horizontal="center" vertical="center" wrapText="1"/>
    </xf>
    <xf numFmtId="4" fontId="3" fillId="13" borderId="5" xfId="0" applyNumberFormat="1" applyFont="1" applyFill="1" applyBorder="1" applyAlignment="1">
      <alignment horizontal="center" vertical="center"/>
    </xf>
    <xf numFmtId="167" fontId="79" fillId="0" borderId="6" xfId="0" applyNumberFormat="1" applyFont="1" applyBorder="1" applyAlignment="1">
      <alignment horizontal="left" vertical="center" wrapText="1"/>
    </xf>
    <xf numFmtId="0" fontId="80" fillId="0" borderId="0" xfId="0" applyFont="1"/>
    <xf numFmtId="0" fontId="80" fillId="0" borderId="0" xfId="0" applyFont="1" applyAlignment="1">
      <alignment vertical="center"/>
    </xf>
    <xf numFmtId="0" fontId="84" fillId="32" borderId="0" xfId="0" applyFont="1" applyFill="1"/>
    <xf numFmtId="166" fontId="3" fillId="29" borderId="6" xfId="0" applyNumberFormat="1" applyFont="1" applyFill="1" applyBorder="1" applyAlignment="1">
      <alignment vertical="center"/>
    </xf>
    <xf numFmtId="4" fontId="12" fillId="0" borderId="6" xfId="0" applyNumberFormat="1" applyFont="1" applyBorder="1" applyAlignment="1">
      <alignment vertical="center"/>
    </xf>
    <xf numFmtId="0" fontId="3" fillId="29" borderId="31" xfId="0" applyFont="1" applyFill="1" applyBorder="1" applyAlignment="1">
      <alignment vertical="center"/>
    </xf>
    <xf numFmtId="0" fontId="3" fillId="29" borderId="2" xfId="0" applyFont="1" applyFill="1" applyBorder="1" applyAlignment="1">
      <alignment vertical="center"/>
    </xf>
    <xf numFmtId="167" fontId="4" fillId="13" borderId="53" xfId="8" applyNumberFormat="1" applyFont="1" applyFill="1" applyBorder="1" applyAlignment="1">
      <alignment horizontal="center" vertical="center" wrapText="1"/>
    </xf>
    <xf numFmtId="4" fontId="4" fillId="23" borderId="53" xfId="6" applyNumberFormat="1" applyFont="1" applyFill="1" applyBorder="1" applyAlignment="1">
      <alignment horizontal="center" vertical="center"/>
    </xf>
    <xf numFmtId="2" fontId="80" fillId="0" borderId="0" xfId="0" applyNumberFormat="1" applyFont="1"/>
    <xf numFmtId="4" fontId="3" fillId="0" borderId="6" xfId="0" applyNumberFormat="1" applyFont="1" applyBorder="1" applyAlignment="1">
      <alignment horizontal="left" vertical="center" wrapText="1"/>
    </xf>
    <xf numFmtId="4" fontId="3" fillId="0" borderId="6" xfId="6" applyNumberFormat="1" applyFont="1" applyFill="1" applyBorder="1" applyAlignment="1">
      <alignment horizontal="center"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2" fontId="3" fillId="0" borderId="6" xfId="0" applyNumberFormat="1" applyFont="1" applyBorder="1" applyAlignment="1">
      <alignment horizontal="left" vertical="center" wrapText="1"/>
    </xf>
    <xf numFmtId="176" fontId="3" fillId="0" borderId="6" xfId="19" applyNumberFormat="1" applyFont="1" applyBorder="1" applyAlignment="1">
      <alignment horizontal="center" vertical="center" wrapText="1"/>
    </xf>
    <xf numFmtId="177" fontId="3" fillId="0" borderId="6" xfId="19" applyNumberFormat="1" applyFont="1" applyFill="1" applyBorder="1" applyAlignment="1">
      <alignment horizontal="center" vertical="center" wrapText="1"/>
    </xf>
    <xf numFmtId="4" fontId="3" fillId="0" borderId="6" xfId="0" applyNumberFormat="1" applyFont="1" applyBorder="1" applyAlignment="1">
      <alignment horizontal="center" vertical="center" wrapText="1"/>
    </xf>
    <xf numFmtId="176" fontId="3" fillId="0" borderId="6" xfId="19" applyNumberFormat="1" applyFont="1" applyFill="1" applyBorder="1" applyAlignment="1">
      <alignment horizontal="center" vertical="center" wrapText="1"/>
    </xf>
    <xf numFmtId="177" fontId="3" fillId="0" borderId="6" xfId="19" applyNumberFormat="1" applyFont="1" applyBorder="1" applyAlignment="1">
      <alignment horizontal="left" vertical="center" wrapText="1"/>
    </xf>
    <xf numFmtId="165" fontId="3" fillId="0" borderId="6" xfId="0" applyNumberFormat="1" applyFont="1" applyBorder="1" applyAlignment="1">
      <alignment horizontal="left" vertical="center" wrapText="1"/>
    </xf>
    <xf numFmtId="2" fontId="3" fillId="13" borderId="4" xfId="0" applyNumberFormat="1" applyFont="1" applyFill="1" applyBorder="1" applyAlignment="1">
      <alignment vertical="center"/>
    </xf>
    <xf numFmtId="2" fontId="3" fillId="13" borderId="37" xfId="0" applyNumberFormat="1" applyFont="1" applyFill="1" applyBorder="1" applyAlignment="1">
      <alignment vertical="center"/>
    </xf>
    <xf numFmtId="2" fontId="14" fillId="13" borderId="33" xfId="0" applyNumberFormat="1" applyFont="1" applyFill="1" applyBorder="1" applyAlignment="1">
      <alignment vertical="center"/>
    </xf>
    <xf numFmtId="4" fontId="14" fillId="13" borderId="6" xfId="0" applyNumberFormat="1" applyFont="1" applyFill="1" applyBorder="1" applyAlignment="1">
      <alignment horizontal="center" vertical="center"/>
    </xf>
    <xf numFmtId="4" fontId="3" fillId="29" borderId="6" xfId="0" applyNumberFormat="1" applyFont="1" applyFill="1" applyBorder="1" applyAlignment="1">
      <alignment vertical="center"/>
    </xf>
    <xf numFmtId="168" fontId="3" fillId="13" borderId="6" xfId="9" applyNumberFormat="1" applyFont="1" applyFill="1" applyBorder="1" applyAlignment="1">
      <alignment horizontal="center" vertical="center" wrapText="1"/>
    </xf>
    <xf numFmtId="165" fontId="3" fillId="0" borderId="6" xfId="0" applyNumberFormat="1" applyFont="1" applyBorder="1" applyAlignment="1">
      <alignment vertical="center"/>
    </xf>
    <xf numFmtId="165" fontId="3" fillId="0" borderId="6" xfId="6" applyNumberFormat="1" applyFont="1" applyFill="1" applyBorder="1" applyAlignment="1">
      <alignment horizontal="center" vertical="center" wrapText="1"/>
    </xf>
    <xf numFmtId="170" fontId="12" fillId="0" borderId="6" xfId="0" applyNumberFormat="1" applyFont="1" applyBorder="1"/>
    <xf numFmtId="170" fontId="12" fillId="0" borderId="30" xfId="0" applyNumberFormat="1" applyFont="1" applyBorder="1"/>
    <xf numFmtId="2" fontId="3" fillId="13" borderId="29" xfId="0" applyNumberFormat="1" applyFont="1" applyFill="1" applyBorder="1" applyAlignment="1">
      <alignment vertical="center"/>
    </xf>
    <xf numFmtId="179" fontId="3" fillId="13" borderId="6" xfId="0" applyNumberFormat="1" applyFont="1" applyFill="1" applyBorder="1" applyAlignment="1">
      <alignment vertical="center"/>
    </xf>
    <xf numFmtId="0" fontId="3" fillId="29" borderId="28" xfId="0" applyFont="1" applyFill="1" applyBorder="1" applyAlignment="1">
      <alignment vertical="center"/>
    </xf>
    <xf numFmtId="0" fontId="3" fillId="29" borderId="5" xfId="0" applyFont="1" applyFill="1" applyBorder="1" applyAlignment="1">
      <alignment vertical="center"/>
    </xf>
    <xf numFmtId="0" fontId="3" fillId="29" borderId="32" xfId="0" applyFont="1" applyFill="1" applyBorder="1" applyAlignment="1">
      <alignment vertical="center"/>
    </xf>
    <xf numFmtId="0" fontId="3" fillId="29" borderId="33" xfId="0" applyFont="1" applyFill="1" applyBorder="1" applyAlignment="1">
      <alignment vertical="center"/>
    </xf>
    <xf numFmtId="0" fontId="3" fillId="29" borderId="76" xfId="0" applyFont="1" applyFill="1" applyBorder="1" applyAlignment="1">
      <alignment vertical="center"/>
    </xf>
    <xf numFmtId="0" fontId="3" fillId="29" borderId="117" xfId="0" applyFont="1" applyFill="1" applyBorder="1" applyAlignment="1">
      <alignment vertical="center"/>
    </xf>
    <xf numFmtId="0" fontId="3" fillId="29" borderId="118" xfId="0" applyFont="1" applyFill="1" applyBorder="1" applyAlignment="1">
      <alignment vertical="center"/>
    </xf>
    <xf numFmtId="0" fontId="14" fillId="29" borderId="31" xfId="0" applyFont="1" applyFill="1" applyBorder="1" applyAlignment="1">
      <alignment vertical="center"/>
    </xf>
    <xf numFmtId="0" fontId="14" fillId="29" borderId="32" xfId="0" applyFont="1" applyFill="1" applyBorder="1" applyAlignment="1">
      <alignment vertical="center"/>
    </xf>
    <xf numFmtId="0" fontId="14" fillId="29" borderId="33" xfId="0" applyFont="1" applyFill="1" applyBorder="1" applyAlignment="1">
      <alignment vertical="center"/>
    </xf>
    <xf numFmtId="170" fontId="3" fillId="0" borderId="6" xfId="0" applyNumberFormat="1" applyFont="1" applyBorder="1" applyAlignment="1">
      <alignment horizontal="right" vertical="center"/>
    </xf>
    <xf numFmtId="49" fontId="3" fillId="0" borderId="6" xfId="17" applyNumberFormat="1" applyFont="1" applyFill="1" applyBorder="1" applyAlignment="1">
      <alignment horizontal="center" vertical="center"/>
    </xf>
    <xf numFmtId="172" fontId="3" fillId="0" borderId="6" xfId="17" applyNumberFormat="1" applyFont="1" applyFill="1" applyBorder="1" applyAlignment="1">
      <alignment horizontal="left" vertical="center"/>
    </xf>
    <xf numFmtId="176" fontId="12" fillId="0" borderId="6" xfId="19" applyNumberFormat="1" applyFont="1" applyBorder="1" applyAlignment="1">
      <alignment vertical="center"/>
    </xf>
    <xf numFmtId="2" fontId="12" fillId="0" borderId="6" xfId="0" applyNumberFormat="1" applyFont="1" applyBorder="1" applyAlignment="1">
      <alignment vertical="center"/>
    </xf>
    <xf numFmtId="2" fontId="44" fillId="13" borderId="29" xfId="0" applyNumberFormat="1" applyFont="1" applyFill="1" applyBorder="1" applyAlignment="1">
      <alignment vertical="center"/>
    </xf>
    <xf numFmtId="0" fontId="80" fillId="0" borderId="0" xfId="0" applyFont="1" applyAlignment="1">
      <alignment horizontal="center"/>
    </xf>
    <xf numFmtId="167" fontId="74" fillId="0" borderId="6" xfId="0" applyNumberFormat="1" applyFont="1" applyBorder="1" applyAlignment="1">
      <alignment horizontal="left" vertical="center" wrapText="1"/>
    </xf>
    <xf numFmtId="0" fontId="94" fillId="32" borderId="0" xfId="0" applyFont="1" applyFill="1"/>
    <xf numFmtId="0" fontId="101" fillId="32" borderId="0" xfId="0" applyFont="1" applyFill="1" applyAlignment="1">
      <alignment vertical="center"/>
    </xf>
    <xf numFmtId="0" fontId="80" fillId="0" borderId="0" xfId="0" applyFont="1" applyAlignment="1">
      <alignment wrapText="1"/>
    </xf>
    <xf numFmtId="0" fontId="101" fillId="32" borderId="0" xfId="0" applyFont="1" applyFill="1" applyAlignment="1">
      <alignment horizontal="center" vertical="center" wrapText="1"/>
    </xf>
    <xf numFmtId="0" fontId="82" fillId="32" borderId="0" xfId="0" applyFont="1" applyFill="1" applyAlignment="1">
      <alignment horizontal="center" vertical="center"/>
    </xf>
    <xf numFmtId="0" fontId="84" fillId="32" borderId="107" xfId="0" applyFont="1" applyFill="1" applyBorder="1"/>
    <xf numFmtId="0" fontId="84" fillId="32" borderId="110" xfId="0" applyFont="1" applyFill="1" applyBorder="1" applyAlignment="1">
      <alignment horizontal="center"/>
    </xf>
    <xf numFmtId="9" fontId="101" fillId="32" borderId="4" xfId="9" applyFont="1" applyFill="1" applyBorder="1" applyAlignment="1">
      <alignment horizontal="center" vertical="center"/>
    </xf>
    <xf numFmtId="170" fontId="98" fillId="32" borderId="126" xfId="0" applyNumberFormat="1" applyFont="1" applyFill="1" applyBorder="1" applyAlignment="1">
      <alignment horizontal="left" vertical="center" indent="1"/>
    </xf>
    <xf numFmtId="170" fontId="98" fillId="32" borderId="126" xfId="0" applyNumberFormat="1" applyFont="1" applyFill="1" applyBorder="1" applyAlignment="1">
      <alignment horizontal="center" vertical="center"/>
    </xf>
    <xf numFmtId="0" fontId="104" fillId="0" borderId="0" xfId="0" applyFont="1" applyAlignment="1">
      <alignment horizontal="center"/>
    </xf>
    <xf numFmtId="0" fontId="99" fillId="0" borderId="0" xfId="0" applyFont="1" applyAlignment="1">
      <alignment horizontal="center"/>
    </xf>
    <xf numFmtId="170" fontId="94" fillId="32" borderId="126" xfId="0" applyNumberFormat="1" applyFont="1" applyFill="1" applyBorder="1" applyAlignment="1">
      <alignment horizontal="center" vertical="center"/>
    </xf>
    <xf numFmtId="180" fontId="12" fillId="0" borderId="6" xfId="19" applyNumberFormat="1" applyFont="1" applyBorder="1" applyAlignment="1">
      <alignment vertical="center"/>
    </xf>
    <xf numFmtId="170" fontId="94" fillId="32" borderId="126" xfId="0" applyNumberFormat="1" applyFont="1" applyFill="1" applyBorder="1" applyAlignment="1">
      <alignment horizontal="left" vertical="center" indent="1"/>
    </xf>
    <xf numFmtId="0" fontId="97" fillId="0" borderId="0" xfId="0" applyFont="1" applyAlignment="1">
      <alignment vertical="center"/>
    </xf>
    <xf numFmtId="0" fontId="94" fillId="32" borderId="0" xfId="0" applyFont="1" applyFill="1" applyAlignment="1">
      <alignment horizontal="center" vertical="center"/>
    </xf>
    <xf numFmtId="0" fontId="84" fillId="32" borderId="0" xfId="0" applyFont="1" applyFill="1" applyAlignment="1">
      <alignment horizontal="left" vertical="center" indent="2"/>
    </xf>
    <xf numFmtId="166" fontId="12" fillId="0" borderId="6" xfId="0" applyNumberFormat="1" applyFont="1" applyBorder="1"/>
    <xf numFmtId="2" fontId="97" fillId="0" borderId="0" xfId="0" applyNumberFormat="1" applyFont="1" applyAlignment="1">
      <alignment vertical="center"/>
    </xf>
    <xf numFmtId="2" fontId="84" fillId="32" borderId="0" xfId="19" applyNumberFormat="1" applyFont="1" applyFill="1" applyBorder="1" applyAlignment="1">
      <alignment horizontal="center" vertical="center"/>
    </xf>
    <xf numFmtId="0" fontId="92" fillId="32" borderId="0" xfId="0" applyFont="1" applyFill="1"/>
    <xf numFmtId="0" fontId="96" fillId="32" borderId="0" xfId="0" applyFont="1" applyFill="1" applyAlignment="1">
      <alignment horizontal="center" vertical="center"/>
    </xf>
    <xf numFmtId="0" fontId="101" fillId="16" borderId="0" xfId="0" applyFont="1" applyFill="1" applyAlignment="1">
      <alignment horizontal="center" vertical="center" wrapText="1"/>
    </xf>
    <xf numFmtId="0" fontId="80" fillId="16" borderId="0" xfId="0" applyFont="1" applyFill="1"/>
    <xf numFmtId="0" fontId="84" fillId="32" borderId="0" xfId="0" applyFont="1" applyFill="1" applyAlignment="1">
      <alignment vertical="center"/>
    </xf>
    <xf numFmtId="2" fontId="94" fillId="32" borderId="0" xfId="19" applyNumberFormat="1" applyFont="1" applyFill="1" applyBorder="1" applyAlignment="1">
      <alignment horizontal="center" vertical="center"/>
    </xf>
    <xf numFmtId="0" fontId="84" fillId="16" borderId="0" xfId="0" applyFont="1" applyFill="1" applyAlignment="1">
      <alignment horizontal="left" vertical="center" indent="2"/>
    </xf>
    <xf numFmtId="0" fontId="94" fillId="16" borderId="0" xfId="0" applyFont="1" applyFill="1" applyAlignment="1">
      <alignment horizontal="center" vertical="center"/>
    </xf>
    <xf numFmtId="0" fontId="97" fillId="16" borderId="0" xfId="0" applyFont="1" applyFill="1" applyAlignment="1">
      <alignment vertical="center"/>
    </xf>
    <xf numFmtId="0" fontId="83" fillId="32" borderId="110" xfId="0" applyFont="1" applyFill="1" applyBorder="1" applyAlignment="1">
      <alignment horizontal="center"/>
    </xf>
    <xf numFmtId="0" fontId="92" fillId="32" borderId="127" xfId="0" applyFont="1" applyFill="1" applyBorder="1"/>
    <xf numFmtId="0" fontId="92" fillId="32" borderId="128" xfId="0" applyFont="1" applyFill="1" applyBorder="1"/>
    <xf numFmtId="0" fontId="92" fillId="32" borderId="129" xfId="0" applyFont="1" applyFill="1" applyBorder="1"/>
    <xf numFmtId="0" fontId="92" fillId="32" borderId="100" xfId="0" applyFont="1" applyFill="1" applyBorder="1"/>
    <xf numFmtId="0" fontId="96" fillId="32" borderId="114" xfId="0" applyFont="1" applyFill="1" applyBorder="1" applyAlignment="1">
      <alignment horizontal="center"/>
    </xf>
    <xf numFmtId="0" fontId="96" fillId="32" borderId="0" xfId="0" applyFont="1" applyFill="1" applyAlignment="1">
      <alignment horizontal="center"/>
    </xf>
    <xf numFmtId="0" fontId="92" fillId="32" borderId="104" xfId="0" applyFont="1" applyFill="1" applyBorder="1"/>
    <xf numFmtId="0" fontId="96" fillId="32" borderId="119" xfId="0" applyFont="1" applyFill="1" applyBorder="1" applyAlignment="1">
      <alignment horizontal="center"/>
    </xf>
    <xf numFmtId="179" fontId="12" fillId="0" borderId="30" xfId="0" applyNumberFormat="1" applyFont="1" applyBorder="1" applyAlignment="1">
      <alignment vertical="center"/>
    </xf>
    <xf numFmtId="2" fontId="12" fillId="0" borderId="6" xfId="0" applyNumberFormat="1" applyFont="1" applyBorder="1"/>
    <xf numFmtId="170" fontId="92" fillId="32" borderId="126" xfId="0" applyNumberFormat="1" applyFont="1" applyFill="1" applyBorder="1" applyAlignment="1">
      <alignment horizontal="left" vertical="center" indent="4"/>
    </xf>
    <xf numFmtId="170" fontId="92" fillId="32" borderId="126" xfId="0" applyNumberFormat="1" applyFont="1" applyFill="1" applyBorder="1" applyAlignment="1">
      <alignment horizontal="center" vertical="center"/>
    </xf>
    <xf numFmtId="170" fontId="97" fillId="0" borderId="0" xfId="0" applyNumberFormat="1" applyFont="1" applyAlignment="1">
      <alignment vertical="center"/>
    </xf>
    <xf numFmtId="1" fontId="12" fillId="10" borderId="6" xfId="0" applyNumberFormat="1" applyFont="1" applyFill="1" applyBorder="1" applyAlignment="1">
      <alignment horizontal="center" vertical="center"/>
    </xf>
    <xf numFmtId="181" fontId="3" fillId="0" borderId="6" xfId="17" applyNumberFormat="1" applyFont="1" applyBorder="1" applyAlignment="1">
      <alignment vertical="center"/>
    </xf>
    <xf numFmtId="41" fontId="12" fillId="0" borderId="6" xfId="19" applyFont="1" applyBorder="1"/>
    <xf numFmtId="166" fontId="3" fillId="13" borderId="29" xfId="0" applyNumberFormat="1" applyFont="1" applyFill="1" applyBorder="1" applyAlignment="1">
      <alignment vertical="center"/>
    </xf>
    <xf numFmtId="0" fontId="85" fillId="0" borderId="0" xfId="0" applyFont="1"/>
    <xf numFmtId="9" fontId="80" fillId="0" borderId="0" xfId="9" applyFont="1"/>
    <xf numFmtId="9" fontId="80" fillId="0" borderId="0" xfId="0" applyNumberFormat="1" applyFont="1"/>
    <xf numFmtId="170" fontId="80" fillId="0" borderId="0" xfId="0" applyNumberFormat="1" applyFont="1"/>
    <xf numFmtId="1" fontId="80" fillId="0" borderId="0" xfId="0" applyNumberFormat="1" applyFont="1"/>
    <xf numFmtId="10" fontId="3" fillId="13" borderId="6" xfId="9" applyNumberFormat="1" applyFont="1" applyFill="1" applyBorder="1" applyAlignment="1">
      <alignment horizontal="center" vertical="center" wrapText="1"/>
    </xf>
    <xf numFmtId="170" fontId="3" fillId="12" borderId="4" xfId="0" applyNumberFormat="1" applyFont="1" applyFill="1" applyBorder="1" applyAlignment="1">
      <alignment vertical="center"/>
    </xf>
    <xf numFmtId="170" fontId="94" fillId="32" borderId="130" xfId="0" applyNumberFormat="1" applyFont="1" applyFill="1" applyBorder="1" applyAlignment="1">
      <alignment horizontal="left" vertical="center" indent="1"/>
    </xf>
    <xf numFmtId="170" fontId="98" fillId="32" borderId="130" xfId="0" applyNumberFormat="1" applyFont="1" applyFill="1" applyBorder="1" applyAlignment="1">
      <alignment horizontal="center" vertical="center"/>
    </xf>
    <xf numFmtId="170" fontId="94" fillId="32" borderId="0" xfId="0" applyNumberFormat="1" applyFont="1" applyFill="1" applyAlignment="1">
      <alignment horizontal="center" vertical="center"/>
    </xf>
    <xf numFmtId="170" fontId="94" fillId="32" borderId="119" xfId="0" applyNumberFormat="1" applyFont="1" applyFill="1" applyBorder="1" applyAlignment="1">
      <alignment horizontal="left" vertical="center" indent="1"/>
    </xf>
    <xf numFmtId="170" fontId="94" fillId="32" borderId="119" xfId="0" applyNumberFormat="1" applyFont="1" applyFill="1" applyBorder="1" applyAlignment="1">
      <alignment horizontal="center" vertical="center"/>
    </xf>
    <xf numFmtId="2" fontId="80" fillId="0" borderId="0" xfId="0" applyNumberFormat="1" applyFont="1" applyAlignment="1">
      <alignment vertical="center"/>
    </xf>
    <xf numFmtId="0" fontId="103" fillId="32" borderId="0" xfId="0" applyFont="1" applyFill="1" applyAlignment="1">
      <alignment horizontal="center" vertical="center"/>
    </xf>
    <xf numFmtId="2" fontId="10" fillId="0" borderId="6" xfId="0" applyNumberFormat="1" applyFont="1" applyBorder="1" applyAlignment="1">
      <alignment horizontal="center" vertical="center"/>
    </xf>
    <xf numFmtId="166" fontId="10" fillId="0" borderId="5" xfId="0" applyNumberFormat="1" applyFont="1" applyBorder="1" applyAlignment="1">
      <alignment horizontal="center" vertical="center"/>
    </xf>
    <xf numFmtId="9" fontId="10" fillId="0" borderId="5" xfId="9" applyFont="1" applyBorder="1" applyAlignment="1">
      <alignment horizontal="center" vertical="center"/>
    </xf>
    <xf numFmtId="9" fontId="10" fillId="0" borderId="6" xfId="9" applyFont="1" applyBorder="1" applyAlignment="1">
      <alignment horizontal="center" vertical="center"/>
    </xf>
    <xf numFmtId="9" fontId="10" fillId="0" borderId="5" xfId="9" applyFont="1" applyBorder="1"/>
    <xf numFmtId="9" fontId="10" fillId="0" borderId="6" xfId="9" applyFont="1" applyBorder="1"/>
    <xf numFmtId="170" fontId="80" fillId="0" borderId="0" xfId="0" applyNumberFormat="1" applyFont="1" applyAlignment="1">
      <alignment vertical="center"/>
    </xf>
    <xf numFmtId="1" fontId="80" fillId="0" borderId="0" xfId="0" applyNumberFormat="1" applyFont="1" applyAlignment="1">
      <alignment vertical="center"/>
    </xf>
    <xf numFmtId="9" fontId="80" fillId="0" borderId="0" xfId="0" applyNumberFormat="1" applyFont="1" applyAlignment="1">
      <alignment horizontal="center"/>
    </xf>
    <xf numFmtId="166" fontId="14" fillId="13" borderId="6" xfId="0" applyNumberFormat="1" applyFont="1" applyFill="1" applyBorder="1" applyAlignment="1">
      <alignment vertical="center"/>
    </xf>
    <xf numFmtId="179" fontId="14" fillId="13" borderId="6" xfId="0" applyNumberFormat="1" applyFont="1" applyFill="1" applyBorder="1" applyAlignment="1">
      <alignment vertical="center"/>
    </xf>
    <xf numFmtId="1" fontId="97" fillId="0" borderId="0" xfId="0" applyNumberFormat="1" applyFont="1" applyAlignment="1">
      <alignment vertical="center"/>
    </xf>
    <xf numFmtId="165" fontId="3" fillId="13" borderId="5" xfId="6" applyNumberFormat="1" applyFont="1" applyFill="1" applyBorder="1" applyAlignment="1">
      <alignment horizontal="center" vertical="center"/>
    </xf>
    <xf numFmtId="9" fontId="80" fillId="0" borderId="0" xfId="9" applyFont="1" applyAlignment="1">
      <alignment vertical="center"/>
    </xf>
    <xf numFmtId="2" fontId="92" fillId="32" borderId="0" xfId="11" applyNumberFormat="1" applyFont="1" applyFill="1" applyAlignment="1">
      <alignment vertical="center" wrapText="1"/>
    </xf>
    <xf numFmtId="2" fontId="96" fillId="32" borderId="0" xfId="11" applyNumberFormat="1" applyFont="1" applyFill="1" applyAlignment="1">
      <alignment horizontal="center" vertical="center" wrapText="1"/>
    </xf>
    <xf numFmtId="0" fontId="92" fillId="32" borderId="0" xfId="0" applyFont="1" applyFill="1" applyAlignment="1">
      <alignment vertical="center"/>
    </xf>
    <xf numFmtId="2" fontId="84" fillId="32" borderId="0" xfId="11" applyNumberFormat="1" applyFont="1" applyFill="1" applyAlignment="1">
      <alignment vertical="center" wrapText="1"/>
    </xf>
    <xf numFmtId="0" fontId="82" fillId="32" borderId="124" xfId="0" applyFont="1" applyFill="1" applyBorder="1" applyAlignment="1">
      <alignment horizontal="left" vertical="center" indent="1"/>
    </xf>
    <xf numFmtId="0" fontId="83" fillId="32" borderId="124" xfId="0" applyFont="1" applyFill="1" applyBorder="1" applyAlignment="1">
      <alignment horizontal="center" vertical="center"/>
    </xf>
    <xf numFmtId="0" fontId="88" fillId="32" borderId="123" xfId="0" applyFont="1" applyFill="1" applyBorder="1" applyAlignment="1">
      <alignment horizontal="left" vertical="center" indent="3"/>
    </xf>
    <xf numFmtId="0" fontId="88" fillId="32" borderId="123" xfId="0" applyFont="1" applyFill="1" applyBorder="1" applyAlignment="1">
      <alignment horizontal="center" vertical="center"/>
    </xf>
    <xf numFmtId="0" fontId="88" fillId="32" borderId="125" xfId="0" applyFont="1" applyFill="1" applyBorder="1" applyAlignment="1">
      <alignment horizontal="left" vertical="center" indent="3"/>
    </xf>
    <xf numFmtId="0" fontId="88" fillId="32" borderId="125" xfId="0" applyFont="1" applyFill="1" applyBorder="1" applyAlignment="1">
      <alignment horizontal="center" vertical="center"/>
    </xf>
    <xf numFmtId="0" fontId="86" fillId="32" borderId="0" xfId="0" applyFont="1" applyFill="1" applyAlignment="1">
      <alignment horizontal="center" vertical="center"/>
    </xf>
    <xf numFmtId="0" fontId="92" fillId="32" borderId="124" xfId="0" applyFont="1" applyFill="1" applyBorder="1" applyAlignment="1">
      <alignment horizontal="left" vertical="center"/>
    </xf>
    <xf numFmtId="0" fontId="81" fillId="32" borderId="124" xfId="0" applyFont="1" applyFill="1" applyBorder="1" applyAlignment="1">
      <alignment horizontal="center" vertical="center"/>
    </xf>
    <xf numFmtId="0" fontId="92" fillId="32" borderId="0" xfId="0" applyFont="1" applyFill="1" applyAlignment="1">
      <alignment horizontal="left" vertical="center"/>
    </xf>
    <xf numFmtId="0" fontId="81" fillId="32" borderId="0" xfId="0" applyFont="1" applyFill="1" applyAlignment="1">
      <alignment horizontal="center" vertical="center"/>
    </xf>
    <xf numFmtId="9" fontId="92" fillId="32" borderId="0" xfId="9" applyFont="1" applyFill="1" applyBorder="1" applyAlignment="1">
      <alignment horizontal="center" vertical="center"/>
    </xf>
    <xf numFmtId="1" fontId="92" fillId="32" borderId="0" xfId="19" applyNumberFormat="1" applyFont="1" applyFill="1" applyBorder="1" applyAlignment="1">
      <alignment horizontal="center" vertical="center"/>
    </xf>
    <xf numFmtId="0" fontId="92" fillId="32" borderId="0" xfId="0" applyFont="1" applyFill="1" applyAlignment="1">
      <alignment horizontal="center" vertical="center"/>
    </xf>
    <xf numFmtId="0" fontId="88" fillId="32" borderId="0" xfId="0" applyFont="1" applyFill="1" applyAlignment="1">
      <alignment horizontal="center"/>
    </xf>
    <xf numFmtId="0" fontId="96" fillId="32" borderId="0" xfId="0" applyFont="1" applyFill="1" applyAlignment="1">
      <alignment vertical="center"/>
    </xf>
    <xf numFmtId="0" fontId="110" fillId="32" borderId="0" xfId="0" applyFont="1" applyFill="1" applyAlignment="1">
      <alignment horizontal="center" vertical="center" wrapText="1"/>
    </xf>
    <xf numFmtId="0" fontId="110" fillId="32" borderId="44" xfId="0" applyFont="1" applyFill="1" applyBorder="1" applyAlignment="1">
      <alignment horizontal="center" vertical="center" wrapText="1"/>
    </xf>
    <xf numFmtId="170" fontId="82" fillId="32" borderId="114" xfId="0" applyNumberFormat="1" applyFont="1" applyFill="1" applyBorder="1" applyAlignment="1">
      <alignment horizontal="center" vertical="center"/>
    </xf>
    <xf numFmtId="4" fontId="82" fillId="32" borderId="0" xfId="0" applyNumberFormat="1" applyFont="1" applyFill="1" applyAlignment="1">
      <alignment horizontal="center" vertical="center"/>
    </xf>
    <xf numFmtId="4" fontId="82" fillId="32" borderId="121" xfId="0" applyNumberFormat="1" applyFont="1" applyFill="1" applyBorder="1" applyAlignment="1">
      <alignment horizontal="center" vertical="center"/>
    </xf>
    <xf numFmtId="0" fontId="82" fillId="32" borderId="0" xfId="0" applyFont="1" applyFill="1" applyAlignment="1">
      <alignment horizontal="left" vertical="center" indent="2"/>
    </xf>
    <xf numFmtId="9" fontId="82" fillId="32" borderId="0" xfId="9" applyFont="1" applyFill="1" applyBorder="1" applyAlignment="1">
      <alignment horizontal="center" vertical="center"/>
    </xf>
    <xf numFmtId="2" fontId="82" fillId="32" borderId="0" xfId="19" applyNumberFormat="1" applyFont="1" applyFill="1" applyBorder="1" applyAlignment="1">
      <alignment horizontal="center" vertical="center"/>
    </xf>
    <xf numFmtId="2" fontId="82" fillId="32" borderId="0" xfId="9" applyNumberFormat="1" applyFont="1" applyFill="1" applyBorder="1" applyAlignment="1">
      <alignment horizontal="center" vertical="center"/>
    </xf>
    <xf numFmtId="0" fontId="82" fillId="32" borderId="0" xfId="0" applyFont="1" applyFill="1" applyAlignment="1">
      <alignment horizontal="left" vertical="center"/>
    </xf>
    <xf numFmtId="0" fontId="92" fillId="32" borderId="116" xfId="0" applyFont="1" applyFill="1" applyBorder="1" applyAlignment="1">
      <alignment horizontal="center" vertical="center"/>
    </xf>
    <xf numFmtId="2" fontId="82" fillId="32" borderId="115" xfId="0" applyNumberFormat="1" applyFont="1" applyFill="1" applyBorder="1" applyAlignment="1">
      <alignment horizontal="center" vertical="center"/>
    </xf>
    <xf numFmtId="0" fontId="92" fillId="32" borderId="0" xfId="0" applyFont="1" applyFill="1" applyAlignment="1">
      <alignment horizontal="center"/>
    </xf>
    <xf numFmtId="0" fontId="87" fillId="32" borderId="100" xfId="0" applyFont="1" applyFill="1" applyBorder="1" applyAlignment="1">
      <alignment vertical="center"/>
    </xf>
    <xf numFmtId="1" fontId="116" fillId="32" borderId="0" xfId="0" applyNumberFormat="1" applyFont="1" applyFill="1" applyAlignment="1">
      <alignment horizontal="center" vertical="center"/>
    </xf>
    <xf numFmtId="9" fontId="112" fillId="32" borderId="0" xfId="9" applyFont="1" applyFill="1" applyBorder="1" applyAlignment="1">
      <alignment horizontal="center" vertical="center"/>
    </xf>
    <xf numFmtId="9" fontId="112" fillId="32" borderId="4" xfId="9" applyFont="1" applyFill="1" applyBorder="1" applyAlignment="1">
      <alignment horizontal="center" vertical="center"/>
    </xf>
    <xf numFmtId="1" fontId="112" fillId="32" borderId="0" xfId="0" applyNumberFormat="1" applyFont="1" applyFill="1" applyAlignment="1">
      <alignment horizontal="center" vertical="center"/>
    </xf>
    <xf numFmtId="0" fontId="91" fillId="0" borderId="0" xfId="0" applyFont="1" applyAlignment="1">
      <alignment horizontal="center" vertical="center" wrapText="1"/>
    </xf>
    <xf numFmtId="0" fontId="84" fillId="33" borderId="0" xfId="0" applyFont="1" applyFill="1" applyAlignment="1">
      <alignment vertical="center"/>
    </xf>
    <xf numFmtId="0" fontId="83" fillId="33" borderId="0" xfId="0" applyFont="1" applyFill="1" applyAlignment="1">
      <alignment horizontal="center" vertical="center"/>
    </xf>
    <xf numFmtId="0" fontId="101" fillId="33" borderId="0" xfId="0" applyFont="1" applyFill="1" applyAlignment="1">
      <alignment vertical="center"/>
    </xf>
    <xf numFmtId="0" fontId="102" fillId="33" borderId="0" xfId="0" applyFont="1" applyFill="1" applyAlignment="1">
      <alignment horizontal="center" vertical="center"/>
    </xf>
    <xf numFmtId="0" fontId="84" fillId="32" borderId="0" xfId="0" applyFont="1" applyFill="1" applyAlignment="1">
      <alignment horizontal="center" vertical="center"/>
    </xf>
    <xf numFmtId="170" fontId="84" fillId="32" borderId="4" xfId="19" applyNumberFormat="1" applyFont="1" applyFill="1" applyBorder="1" applyAlignment="1">
      <alignment horizontal="center" vertical="center"/>
    </xf>
    <xf numFmtId="170" fontId="94" fillId="32" borderId="0" xfId="0" applyNumberFormat="1" applyFont="1" applyFill="1" applyAlignment="1">
      <alignment horizontal="left" vertical="center"/>
    </xf>
    <xf numFmtId="9" fontId="121" fillId="32" borderId="0" xfId="0" applyNumberFormat="1" applyFont="1" applyFill="1" applyAlignment="1">
      <alignment horizontal="center" vertical="center"/>
    </xf>
    <xf numFmtId="170" fontId="94" fillId="32" borderId="0" xfId="19" applyNumberFormat="1" applyFont="1" applyFill="1" applyBorder="1" applyAlignment="1">
      <alignment horizontal="center" vertical="center"/>
    </xf>
    <xf numFmtId="166" fontId="94" fillId="32" borderId="0" xfId="19" applyNumberFormat="1" applyFont="1" applyFill="1" applyBorder="1" applyAlignment="1">
      <alignment horizontal="center" vertical="center"/>
    </xf>
    <xf numFmtId="170" fontId="84" fillId="32" borderId="0" xfId="19" applyNumberFormat="1" applyFont="1" applyFill="1" applyBorder="1" applyAlignment="1">
      <alignment horizontal="center" vertical="center"/>
    </xf>
    <xf numFmtId="170" fontId="124" fillId="32" borderId="0" xfId="19" applyNumberFormat="1" applyFont="1" applyFill="1" applyBorder="1" applyAlignment="1">
      <alignment horizontal="center" vertical="center"/>
    </xf>
    <xf numFmtId="0" fontId="80" fillId="0" borderId="0" xfId="0" applyFont="1" applyAlignment="1">
      <alignment horizontal="left"/>
    </xf>
    <xf numFmtId="0" fontId="80" fillId="0" borderId="0" xfId="0" applyFont="1" applyAlignment="1">
      <alignment horizontal="right"/>
    </xf>
    <xf numFmtId="176" fontId="80" fillId="0" borderId="0" xfId="19" applyNumberFormat="1" applyFont="1"/>
    <xf numFmtId="0" fontId="87" fillId="34" borderId="0" xfId="0" applyFont="1" applyFill="1" applyAlignment="1">
      <alignment vertical="center"/>
    </xf>
    <xf numFmtId="0" fontId="82" fillId="34" borderId="0" xfId="0" applyFont="1" applyFill="1" applyAlignment="1">
      <alignment horizontal="center" vertical="center"/>
    </xf>
    <xf numFmtId="9" fontId="108" fillId="34" borderId="0" xfId="9" applyFont="1" applyFill="1" applyBorder="1" applyAlignment="1">
      <alignment horizontal="center" vertical="center"/>
    </xf>
    <xf numFmtId="1" fontId="120" fillId="32" borderId="0" xfId="0" applyNumberFormat="1" applyFont="1" applyFill="1" applyAlignment="1">
      <alignment horizontal="center" vertical="center"/>
    </xf>
    <xf numFmtId="9" fontId="127" fillId="32" borderId="28" xfId="9" applyFont="1" applyFill="1" applyBorder="1" applyAlignment="1">
      <alignment horizontal="center" vertical="center"/>
    </xf>
    <xf numFmtId="9" fontId="127" fillId="32" borderId="5" xfId="9" applyFont="1" applyFill="1" applyBorder="1" applyAlignment="1">
      <alignment horizontal="center" vertical="center"/>
    </xf>
    <xf numFmtId="9" fontId="127" fillId="32" borderId="0" xfId="9" applyFont="1" applyFill="1" applyBorder="1" applyAlignment="1">
      <alignment horizontal="center" vertical="center"/>
    </xf>
    <xf numFmtId="2" fontId="127" fillId="32" borderId="0" xfId="19" applyNumberFormat="1" applyFont="1" applyFill="1" applyBorder="1" applyAlignment="1">
      <alignment horizontal="center" vertical="center"/>
    </xf>
    <xf numFmtId="2" fontId="126" fillId="32" borderId="0" xfId="19" applyNumberFormat="1" applyFont="1" applyFill="1" applyBorder="1" applyAlignment="1">
      <alignment horizontal="center" vertical="center"/>
    </xf>
    <xf numFmtId="9" fontId="119" fillId="34" borderId="0" xfId="9" applyFont="1" applyFill="1" applyBorder="1" applyAlignment="1">
      <alignment horizontal="center" vertical="center"/>
    </xf>
    <xf numFmtId="1" fontId="127" fillId="32" borderId="120" xfId="9" applyNumberFormat="1" applyFont="1" applyFill="1" applyBorder="1" applyAlignment="1">
      <alignment horizontal="center" vertical="center" wrapText="1"/>
    </xf>
    <xf numFmtId="1" fontId="126" fillId="32" borderId="0" xfId="9" applyNumberFormat="1" applyFont="1" applyFill="1" applyBorder="1" applyAlignment="1">
      <alignment horizontal="center" vertical="center"/>
    </xf>
    <xf numFmtId="165" fontId="26" fillId="13" borderId="2" xfId="0" applyNumberFormat="1" applyFont="1" applyFill="1" applyBorder="1" applyAlignment="1">
      <alignment horizontal="center" vertical="center"/>
    </xf>
    <xf numFmtId="166" fontId="80" fillId="0" borderId="0" xfId="0" applyNumberFormat="1" applyFont="1" applyAlignment="1">
      <alignment vertical="center"/>
    </xf>
    <xf numFmtId="170" fontId="112" fillId="32" borderId="120" xfId="9" applyNumberFormat="1" applyFont="1" applyFill="1" applyBorder="1" applyAlignment="1">
      <alignment horizontal="center" vertical="center" wrapText="1"/>
    </xf>
    <xf numFmtId="170" fontId="127" fillId="32" borderId="120" xfId="9" applyNumberFormat="1" applyFont="1" applyFill="1" applyBorder="1" applyAlignment="1">
      <alignment horizontal="center" vertical="center" wrapText="1"/>
    </xf>
    <xf numFmtId="0" fontId="85" fillId="0" borderId="0" xfId="0" applyFont="1" applyAlignment="1">
      <alignment horizontal="center" vertical="center"/>
    </xf>
    <xf numFmtId="4" fontId="14" fillId="13" borderId="53" xfId="0" applyNumberFormat="1" applyFont="1" applyFill="1" applyBorder="1" applyAlignment="1">
      <alignment horizontal="center" vertical="center"/>
    </xf>
    <xf numFmtId="168" fontId="12" fillId="13" borderId="5" xfId="9" applyNumberFormat="1" applyFont="1" applyFill="1" applyBorder="1" applyAlignment="1">
      <alignment horizontal="center" vertical="center" wrapText="1"/>
    </xf>
    <xf numFmtId="165" fontId="14" fillId="0" borderId="41" xfId="6" applyNumberFormat="1" applyFont="1" applyFill="1" applyBorder="1" applyAlignment="1">
      <alignment horizontal="center" vertical="center"/>
    </xf>
    <xf numFmtId="170" fontId="14" fillId="0" borderId="6" xfId="0" applyNumberFormat="1" applyFont="1" applyBorder="1" applyAlignment="1">
      <alignment vertical="center"/>
    </xf>
    <xf numFmtId="167" fontId="14" fillId="0" borderId="6" xfId="0" applyNumberFormat="1" applyFont="1" applyBorder="1" applyAlignment="1">
      <alignment vertical="center"/>
    </xf>
    <xf numFmtId="170" fontId="14" fillId="0" borderId="6" xfId="9" applyNumberFormat="1" applyFont="1" applyFill="1" applyBorder="1" applyAlignment="1">
      <alignment horizontal="right" vertical="center" wrapText="1"/>
    </xf>
    <xf numFmtId="176" fontId="14" fillId="0" borderId="6" xfId="19" applyNumberFormat="1" applyFont="1" applyBorder="1" applyAlignment="1">
      <alignment horizontal="center" vertical="center" wrapText="1"/>
    </xf>
    <xf numFmtId="170" fontId="87" fillId="32" borderId="0" xfId="0" applyNumberFormat="1" applyFont="1" applyFill="1" applyAlignment="1">
      <alignment horizontal="center" vertical="center"/>
    </xf>
    <xf numFmtId="2" fontId="28" fillId="0" borderId="6" xfId="0" applyNumberFormat="1" applyFont="1" applyBorder="1" applyAlignment="1">
      <alignment vertical="center"/>
    </xf>
    <xf numFmtId="168" fontId="97" fillId="0" borderId="0" xfId="0" applyNumberFormat="1" applyFont="1" applyAlignment="1">
      <alignment vertical="center"/>
    </xf>
    <xf numFmtId="168" fontId="80" fillId="0" borderId="0" xfId="0" applyNumberFormat="1" applyFont="1"/>
    <xf numFmtId="168" fontId="85" fillId="0" borderId="0" xfId="0" applyNumberFormat="1" applyFont="1" applyAlignment="1">
      <alignment horizontal="center" vertical="center"/>
    </xf>
    <xf numFmtId="168" fontId="91" fillId="0" borderId="0" xfId="0" applyNumberFormat="1" applyFont="1" applyAlignment="1">
      <alignment horizontal="center" vertical="center" wrapText="1"/>
    </xf>
    <xf numFmtId="168" fontId="80" fillId="0" borderId="0" xfId="9" applyNumberFormat="1" applyFont="1" applyAlignment="1">
      <alignment horizontal="center" vertical="center"/>
    </xf>
    <xf numFmtId="168" fontId="80" fillId="0" borderId="0" xfId="9" applyNumberFormat="1" applyFont="1"/>
    <xf numFmtId="168" fontId="80" fillId="16" borderId="0" xfId="0" applyNumberFormat="1" applyFont="1" applyFill="1"/>
    <xf numFmtId="168" fontId="113" fillId="0" borderId="0" xfId="0" applyNumberFormat="1" applyFont="1" applyAlignment="1">
      <alignment vertical="center"/>
    </xf>
    <xf numFmtId="168" fontId="80" fillId="0" borderId="0" xfId="0" applyNumberFormat="1" applyFont="1" applyAlignment="1">
      <alignment vertical="center"/>
    </xf>
    <xf numFmtId="168" fontId="80" fillId="0" borderId="0" xfId="9" applyNumberFormat="1" applyFont="1" applyAlignment="1">
      <alignment vertical="center"/>
    </xf>
    <xf numFmtId="168" fontId="128" fillId="0" borderId="0" xfId="9" applyNumberFormat="1" applyFont="1" applyAlignment="1">
      <alignment horizontal="left" vertical="center"/>
    </xf>
    <xf numFmtId="168" fontId="97" fillId="16" borderId="0" xfId="0" applyNumberFormat="1" applyFont="1" applyFill="1" applyAlignment="1">
      <alignment vertical="center"/>
    </xf>
    <xf numFmtId="168" fontId="114" fillId="0" borderId="0" xfId="0" applyNumberFormat="1" applyFont="1" applyAlignment="1">
      <alignment vertical="center"/>
    </xf>
    <xf numFmtId="168" fontId="80" fillId="0" borderId="0" xfId="0" applyNumberFormat="1" applyFont="1" applyAlignment="1">
      <alignment horizontal="right"/>
    </xf>
    <xf numFmtId="168" fontId="0" fillId="0" borderId="0" xfId="0" applyNumberFormat="1"/>
    <xf numFmtId="168" fontId="80" fillId="0" borderId="0" xfId="0" applyNumberFormat="1" applyFont="1" applyAlignment="1">
      <alignment horizontal="center"/>
    </xf>
    <xf numFmtId="168" fontId="85" fillId="0" borderId="0" xfId="0" applyNumberFormat="1" applyFont="1" applyAlignment="1">
      <alignment horizontal="center"/>
    </xf>
    <xf numFmtId="2" fontId="124" fillId="32" borderId="0" xfId="19" applyNumberFormat="1" applyFont="1" applyFill="1" applyBorder="1" applyAlignment="1">
      <alignment horizontal="center" vertical="center"/>
    </xf>
    <xf numFmtId="177" fontId="125" fillId="0" borderId="0" xfId="19" applyNumberFormat="1" applyFont="1" applyAlignment="1">
      <alignment horizontal="left" vertical="center"/>
    </xf>
    <xf numFmtId="1" fontId="129" fillId="32" borderId="126" xfId="19" applyNumberFormat="1" applyFont="1" applyFill="1" applyBorder="1" applyAlignment="1">
      <alignment horizontal="center" vertical="center"/>
    </xf>
    <xf numFmtId="9" fontId="12" fillId="0" borderId="6" xfId="0" applyNumberFormat="1" applyFont="1" applyBorder="1" applyAlignment="1">
      <alignment vertical="center"/>
    </xf>
    <xf numFmtId="177" fontId="12" fillId="0" borderId="6" xfId="19" applyNumberFormat="1" applyFont="1" applyBorder="1" applyAlignment="1">
      <alignment vertical="center"/>
    </xf>
    <xf numFmtId="2" fontId="130" fillId="32" borderId="0" xfId="19" applyNumberFormat="1" applyFont="1" applyFill="1" applyBorder="1" applyAlignment="1">
      <alignment horizontal="center" vertical="center"/>
    </xf>
    <xf numFmtId="170" fontId="94" fillId="32" borderId="0" xfId="0" applyNumberFormat="1" applyFont="1" applyFill="1" applyAlignment="1">
      <alignment horizontal="left" vertical="center" indent="1"/>
    </xf>
    <xf numFmtId="170" fontId="117" fillId="32" borderId="0" xfId="19" applyNumberFormat="1" applyFont="1" applyFill="1" applyBorder="1" applyAlignment="1">
      <alignment horizontal="center" vertical="center"/>
    </xf>
    <xf numFmtId="0" fontId="131" fillId="0" borderId="0" xfId="0" applyFont="1" applyAlignment="1">
      <alignment horizontal="center"/>
    </xf>
    <xf numFmtId="9" fontId="116" fillId="32" borderId="125" xfId="9" applyFont="1" applyFill="1" applyBorder="1" applyAlignment="1">
      <alignment horizontal="center" vertical="center"/>
    </xf>
    <xf numFmtId="1" fontId="132" fillId="32" borderId="0" xfId="0" applyNumberFormat="1" applyFont="1" applyFill="1" applyAlignment="1">
      <alignment horizontal="center" vertical="center"/>
    </xf>
    <xf numFmtId="2" fontId="116" fillId="32" borderId="0" xfId="0" applyNumberFormat="1" applyFont="1" applyFill="1" applyAlignment="1">
      <alignment horizontal="center" vertical="center"/>
    </xf>
    <xf numFmtId="170" fontId="116" fillId="32" borderId="0" xfId="0" applyNumberFormat="1" applyFont="1" applyFill="1" applyAlignment="1">
      <alignment horizontal="center" vertical="center"/>
    </xf>
    <xf numFmtId="2" fontId="109" fillId="32" borderId="0" xfId="0" applyNumberFormat="1" applyFont="1" applyFill="1" applyAlignment="1">
      <alignment horizontal="center" vertical="center"/>
    </xf>
    <xf numFmtId="165" fontId="116" fillId="32" borderId="0" xfId="6" applyNumberFormat="1" applyFont="1" applyFill="1" applyBorder="1" applyAlignment="1">
      <alignment horizontal="center" vertical="center"/>
    </xf>
    <xf numFmtId="2" fontId="133" fillId="32" borderId="0" xfId="0" applyNumberFormat="1" applyFont="1" applyFill="1" applyAlignment="1">
      <alignment horizontal="center" vertical="center"/>
    </xf>
    <xf numFmtId="165" fontId="133" fillId="32" borderId="0" xfId="6" applyNumberFormat="1" applyFont="1" applyFill="1" applyBorder="1" applyAlignment="1">
      <alignment horizontal="center" vertical="center"/>
    </xf>
    <xf numFmtId="166" fontId="134" fillId="32" borderId="0" xfId="0" applyNumberFormat="1" applyFont="1" applyFill="1" applyAlignment="1">
      <alignment horizontal="center" vertical="center"/>
    </xf>
    <xf numFmtId="179" fontId="133" fillId="32" borderId="0" xfId="0" applyNumberFormat="1" applyFont="1" applyFill="1" applyAlignment="1">
      <alignment horizontal="center" vertical="center"/>
    </xf>
    <xf numFmtId="166" fontId="133" fillId="32" borderId="0" xfId="0" applyNumberFormat="1" applyFont="1" applyFill="1" applyAlignment="1">
      <alignment horizontal="center" vertical="center"/>
    </xf>
    <xf numFmtId="1" fontId="109" fillId="32" borderId="0" xfId="0" applyNumberFormat="1" applyFont="1" applyFill="1" applyAlignment="1">
      <alignment horizontal="center" vertical="center"/>
    </xf>
    <xf numFmtId="3" fontId="109" fillId="32" borderId="0" xfId="6" applyNumberFormat="1" applyFont="1" applyFill="1" applyBorder="1" applyAlignment="1">
      <alignment horizontal="center" vertical="center"/>
    </xf>
    <xf numFmtId="0" fontId="134" fillId="32" borderId="0" xfId="0" applyFont="1" applyFill="1" applyAlignment="1">
      <alignment horizontal="center" vertical="center"/>
    </xf>
    <xf numFmtId="9" fontId="135" fillId="32" borderId="123" xfId="9" applyFont="1" applyFill="1" applyBorder="1" applyAlignment="1">
      <alignment horizontal="center" vertical="center"/>
    </xf>
    <xf numFmtId="9" fontId="136" fillId="32" borderId="124" xfId="9" applyFont="1" applyFill="1" applyBorder="1" applyAlignment="1">
      <alignment horizontal="center" vertical="center"/>
    </xf>
    <xf numFmtId="1" fontId="137" fillId="32" borderId="0" xfId="0" applyNumberFormat="1" applyFont="1" applyFill="1" applyAlignment="1">
      <alignment horizontal="center" vertical="center"/>
    </xf>
    <xf numFmtId="1" fontId="135" fillId="32" borderId="0" xfId="0" applyNumberFormat="1" applyFont="1" applyFill="1" applyAlignment="1">
      <alignment horizontal="center" vertical="center"/>
    </xf>
    <xf numFmtId="170" fontId="135" fillId="32" borderId="0" xfId="0" applyNumberFormat="1" applyFont="1" applyFill="1" applyAlignment="1">
      <alignment horizontal="center" vertical="center"/>
    </xf>
    <xf numFmtId="9" fontId="129" fillId="32" borderId="0" xfId="9" applyFont="1" applyFill="1" applyBorder="1" applyAlignment="1">
      <alignment horizontal="center" vertical="center"/>
    </xf>
    <xf numFmtId="1" fontId="136" fillId="32" borderId="0" xfId="0" applyNumberFormat="1" applyFont="1" applyFill="1" applyAlignment="1">
      <alignment horizontal="center" vertical="center"/>
    </xf>
    <xf numFmtId="0" fontId="139" fillId="35" borderId="0" xfId="0" applyFont="1" applyFill="1"/>
    <xf numFmtId="0" fontId="140" fillId="35" borderId="0" xfId="0" applyFont="1" applyFill="1"/>
    <xf numFmtId="177" fontId="141" fillId="35" borderId="0" xfId="19" applyNumberFormat="1" applyFont="1" applyFill="1"/>
    <xf numFmtId="0" fontId="142" fillId="0" borderId="0" xfId="0" applyFont="1" applyAlignment="1">
      <alignment horizontal="center"/>
    </xf>
    <xf numFmtId="0" fontId="142" fillId="0" borderId="0" xfId="0" applyFont="1"/>
    <xf numFmtId="170" fontId="142" fillId="0" borderId="0" xfId="0" applyNumberFormat="1" applyFont="1"/>
    <xf numFmtId="176" fontId="142" fillId="0" borderId="0" xfId="19" applyNumberFormat="1" applyFont="1"/>
    <xf numFmtId="4" fontId="142" fillId="0" borderId="0" xfId="0" applyNumberFormat="1" applyFont="1"/>
    <xf numFmtId="2" fontId="142" fillId="0" borderId="0" xfId="0" applyNumberFormat="1" applyFont="1"/>
    <xf numFmtId="0" fontId="142" fillId="16" borderId="0" xfId="0" applyFont="1" applyFill="1"/>
    <xf numFmtId="0" fontId="142" fillId="0" borderId="0" xfId="0" applyFont="1" applyAlignment="1">
      <alignment vertical="center"/>
    </xf>
    <xf numFmtId="177" fontId="142" fillId="0" borderId="0" xfId="19" applyNumberFormat="1" applyFont="1"/>
    <xf numFmtId="0" fontId="142" fillId="0" borderId="0" xfId="0" applyFont="1" applyAlignment="1">
      <alignment horizontal="center" vertical="center"/>
    </xf>
    <xf numFmtId="176" fontId="142" fillId="0" borderId="0" xfId="19" applyNumberFormat="1" applyFont="1" applyAlignment="1">
      <alignment vertical="center"/>
    </xf>
    <xf numFmtId="170" fontId="87" fillId="32" borderId="130" xfId="0" applyNumberFormat="1" applyFont="1" applyFill="1" applyBorder="1" applyAlignment="1">
      <alignment horizontal="center" vertical="center"/>
    </xf>
    <xf numFmtId="170" fontId="87" fillId="32" borderId="131" xfId="0" applyNumberFormat="1" applyFont="1" applyFill="1" applyBorder="1" applyAlignment="1">
      <alignment horizontal="center" vertical="center"/>
    </xf>
    <xf numFmtId="170" fontId="87" fillId="32" borderId="126" xfId="0" applyNumberFormat="1" applyFont="1" applyFill="1" applyBorder="1" applyAlignment="1">
      <alignment horizontal="center" vertical="center"/>
    </xf>
    <xf numFmtId="1" fontId="87" fillId="32" borderId="126" xfId="0" applyNumberFormat="1" applyFont="1" applyFill="1" applyBorder="1" applyAlignment="1">
      <alignment horizontal="center" vertical="center"/>
    </xf>
    <xf numFmtId="9" fontId="87" fillId="32" borderId="126" xfId="9" applyFont="1" applyFill="1" applyBorder="1" applyAlignment="1">
      <alignment horizontal="center" vertical="center"/>
    </xf>
    <xf numFmtId="9" fontId="82" fillId="32" borderId="126" xfId="9" applyFont="1" applyFill="1" applyBorder="1" applyAlignment="1">
      <alignment horizontal="center" vertical="center"/>
    </xf>
    <xf numFmtId="170" fontId="87" fillId="32" borderId="119" xfId="0" applyNumberFormat="1" applyFont="1" applyFill="1" applyBorder="1" applyAlignment="1">
      <alignment horizontal="center" vertical="center"/>
    </xf>
    <xf numFmtId="1" fontId="84" fillId="32" borderId="0" xfId="19" applyNumberFormat="1" applyFont="1" applyFill="1" applyBorder="1" applyAlignment="1">
      <alignment horizontal="center" vertical="center"/>
    </xf>
    <xf numFmtId="3" fontId="88" fillId="32" borderId="0" xfId="6" applyNumberFormat="1" applyFont="1" applyFill="1" applyBorder="1" applyAlignment="1">
      <alignment horizontal="center" vertical="center"/>
    </xf>
    <xf numFmtId="9" fontId="88" fillId="32" borderId="0" xfId="9" applyFont="1" applyFill="1" applyAlignment="1">
      <alignment horizontal="center" vertical="center"/>
    </xf>
    <xf numFmtId="170" fontId="144" fillId="32" borderId="0" xfId="19" applyNumberFormat="1" applyFont="1" applyFill="1" applyBorder="1" applyAlignment="1">
      <alignment horizontal="center" vertical="center"/>
    </xf>
    <xf numFmtId="1" fontId="88" fillId="32" borderId="0" xfId="0" applyNumberFormat="1" applyFont="1" applyFill="1" applyAlignment="1">
      <alignment horizontal="center" vertical="center"/>
    </xf>
    <xf numFmtId="2" fontId="88" fillId="32" borderId="0" xfId="11" applyNumberFormat="1" applyFont="1" applyFill="1" applyAlignment="1">
      <alignment horizontal="center" vertical="center" wrapText="1"/>
    </xf>
    <xf numFmtId="167" fontId="144" fillId="32" borderId="0" xfId="6" applyNumberFormat="1" applyFont="1" applyFill="1" applyBorder="1" applyAlignment="1">
      <alignment horizontal="center" vertical="center"/>
    </xf>
    <xf numFmtId="167" fontId="88" fillId="32" borderId="0" xfId="6" applyNumberFormat="1" applyFont="1" applyFill="1" applyBorder="1" applyAlignment="1">
      <alignment horizontal="center" vertical="center"/>
    </xf>
    <xf numFmtId="0" fontId="8" fillId="35" borderId="0" xfId="0" applyFont="1" applyFill="1"/>
    <xf numFmtId="0" fontId="8" fillId="35" borderId="0" xfId="0" applyFont="1" applyFill="1" applyAlignment="1">
      <alignment wrapText="1"/>
    </xf>
    <xf numFmtId="0" fontId="145" fillId="35" borderId="0" xfId="0" applyFont="1" applyFill="1"/>
    <xf numFmtId="0" fontId="146" fillId="35" borderId="0" xfId="0" applyFont="1" applyFill="1"/>
    <xf numFmtId="41" fontId="146" fillId="35" borderId="0" xfId="19" applyFont="1" applyFill="1"/>
    <xf numFmtId="177" fontId="146" fillId="35" borderId="0" xfId="19" applyNumberFormat="1" applyFont="1" applyFill="1"/>
    <xf numFmtId="41" fontId="145" fillId="35" borderId="0" xfId="19" applyFont="1" applyFill="1"/>
    <xf numFmtId="0" fontId="147" fillId="35" borderId="0" xfId="0" applyFont="1" applyFill="1"/>
    <xf numFmtId="41" fontId="147" fillId="35" borderId="0" xfId="19" applyFont="1" applyFill="1"/>
    <xf numFmtId="177" fontId="145" fillId="35" borderId="0" xfId="19" applyNumberFormat="1" applyFont="1" applyFill="1"/>
    <xf numFmtId="177" fontId="147" fillId="35" borderId="0" xfId="19" applyNumberFormat="1" applyFont="1" applyFill="1"/>
    <xf numFmtId="0" fontId="138" fillId="35" borderId="0" xfId="0" applyFont="1" applyFill="1"/>
    <xf numFmtId="0" fontId="8" fillId="35" borderId="138" xfId="0" applyFont="1" applyFill="1" applyBorder="1"/>
    <xf numFmtId="0" fontId="148" fillId="35" borderId="137" xfId="0" applyFont="1" applyFill="1" applyBorder="1"/>
    <xf numFmtId="0" fontId="8" fillId="35" borderId="139" xfId="0" applyFont="1" applyFill="1" applyBorder="1"/>
    <xf numFmtId="0" fontId="148" fillId="35" borderId="147" xfId="0" applyFont="1" applyFill="1" applyBorder="1" applyAlignment="1">
      <alignment horizontal="center" vertical="center"/>
    </xf>
    <xf numFmtId="0" fontId="148" fillId="35" borderId="150" xfId="0" applyFont="1" applyFill="1" applyBorder="1" applyAlignment="1">
      <alignment horizontal="center" vertical="center"/>
    </xf>
    <xf numFmtId="0" fontId="8" fillId="35" borderId="0" xfId="0" applyFont="1" applyFill="1" applyAlignment="1">
      <alignment horizontal="left" wrapText="1"/>
    </xf>
    <xf numFmtId="0" fontId="8" fillId="35" borderId="154" xfId="0" applyFont="1" applyFill="1" applyBorder="1"/>
    <xf numFmtId="2" fontId="80" fillId="0" borderId="0" xfId="0" applyNumberFormat="1" applyFont="1" applyAlignment="1">
      <alignment horizontal="center"/>
    </xf>
    <xf numFmtId="176" fontId="97" fillId="0" borderId="0" xfId="19" applyNumberFormat="1" applyFont="1" applyAlignment="1">
      <alignment vertical="center"/>
    </xf>
    <xf numFmtId="0" fontId="150" fillId="35" borderId="0" xfId="0" applyFont="1" applyFill="1"/>
    <xf numFmtId="2" fontId="87" fillId="32" borderId="0" xfId="0" applyNumberFormat="1" applyFont="1" applyFill="1" applyAlignment="1">
      <alignment horizontal="center" vertical="center"/>
    </xf>
    <xf numFmtId="4" fontId="12" fillId="10" borderId="6" xfId="6" applyNumberFormat="1" applyFont="1" applyFill="1" applyBorder="1" applyAlignment="1">
      <alignment horizontal="center" vertical="center"/>
    </xf>
    <xf numFmtId="167" fontId="12" fillId="10" borderId="6" xfId="8" applyNumberFormat="1" applyFont="1" applyFill="1" applyBorder="1" applyAlignment="1">
      <alignment horizontal="center" vertical="center" wrapText="1"/>
    </xf>
    <xf numFmtId="167" fontId="12" fillId="10" borderId="6" xfId="6" applyNumberFormat="1" applyFont="1" applyFill="1" applyBorder="1" applyAlignment="1">
      <alignment horizontal="center" vertical="center" wrapText="1"/>
    </xf>
    <xf numFmtId="0" fontId="139" fillId="36" borderId="0" xfId="0" applyFont="1" applyFill="1"/>
    <xf numFmtId="0" fontId="152" fillId="36" borderId="0" xfId="0" applyFont="1" applyFill="1" applyAlignment="1">
      <alignment vertical="center"/>
    </xf>
    <xf numFmtId="0" fontId="152" fillId="36" borderId="0" xfId="0" applyFont="1" applyFill="1"/>
    <xf numFmtId="0" fontId="153" fillId="36" borderId="0" xfId="0" applyFont="1" applyFill="1" applyAlignment="1">
      <alignment horizontal="left" wrapText="1"/>
    </xf>
    <xf numFmtId="0" fontId="140" fillId="36" borderId="0" xfId="0" applyFont="1" applyFill="1"/>
    <xf numFmtId="0" fontId="8" fillId="36" borderId="0" xfId="0" applyFont="1" applyFill="1"/>
    <xf numFmtId="0" fontId="145" fillId="36" borderId="0" xfId="0" applyFont="1" applyFill="1"/>
    <xf numFmtId="0" fontId="146" fillId="36" borderId="0" xfId="0" applyFont="1" applyFill="1"/>
    <xf numFmtId="41" fontId="146" fillId="36" borderId="0" xfId="19" applyFont="1" applyFill="1"/>
    <xf numFmtId="41" fontId="145" fillId="36" borderId="0" xfId="19" applyFont="1" applyFill="1"/>
    <xf numFmtId="170" fontId="145" fillId="36" borderId="0" xfId="0" applyNumberFormat="1" applyFont="1" applyFill="1"/>
    <xf numFmtId="170" fontId="145" fillId="36" borderId="0" xfId="19" applyNumberFormat="1" applyFont="1" applyFill="1"/>
    <xf numFmtId="177" fontId="145" fillId="36" borderId="0" xfId="19" applyNumberFormat="1" applyFont="1" applyFill="1"/>
    <xf numFmtId="0" fontId="147" fillId="36" borderId="0" xfId="0" applyFont="1" applyFill="1"/>
    <xf numFmtId="41" fontId="147" fillId="36" borderId="0" xfId="19" applyFont="1" applyFill="1"/>
    <xf numFmtId="170" fontId="147" fillId="36" borderId="0" xfId="19" applyNumberFormat="1" applyFont="1" applyFill="1"/>
    <xf numFmtId="0" fontId="150" fillId="36" borderId="0" xfId="0" applyFont="1" applyFill="1"/>
    <xf numFmtId="0" fontId="155" fillId="36" borderId="0" xfId="0" applyFont="1" applyFill="1" applyAlignment="1">
      <alignment horizontal="left" wrapText="1"/>
    </xf>
    <xf numFmtId="177" fontId="141" fillId="36" borderId="0" xfId="19" applyNumberFormat="1" applyFont="1" applyFill="1"/>
    <xf numFmtId="0" fontId="152" fillId="36" borderId="0" xfId="0" applyFont="1" applyFill="1" applyAlignment="1">
      <alignment wrapText="1"/>
    </xf>
    <xf numFmtId="0" fontId="8" fillId="36" borderId="0" xfId="0" applyFont="1" applyFill="1" applyAlignment="1">
      <alignment horizontal="left" wrapText="1"/>
    </xf>
    <xf numFmtId="0" fontId="150" fillId="36" borderId="0" xfId="0" applyFont="1" applyFill="1" applyAlignment="1">
      <alignment horizontal="left" wrapText="1"/>
    </xf>
    <xf numFmtId="177" fontId="146" fillId="36" borderId="0" xfId="19" applyNumberFormat="1" applyFont="1" applyFill="1"/>
    <xf numFmtId="177" fontId="147" fillId="36" borderId="0" xfId="19" applyNumberFormat="1" applyFont="1" applyFill="1"/>
    <xf numFmtId="0" fontId="155" fillId="36" borderId="0" xfId="0" applyFont="1" applyFill="1" applyAlignment="1">
      <alignment wrapText="1"/>
    </xf>
    <xf numFmtId="10" fontId="143" fillId="0" borderId="0" xfId="0" applyNumberFormat="1" applyFont="1" applyAlignment="1">
      <alignment vertical="center"/>
    </xf>
    <xf numFmtId="168" fontId="3" fillId="10" borderId="6" xfId="9" applyNumberFormat="1" applyFont="1" applyFill="1" applyBorder="1" applyAlignment="1">
      <alignment horizontal="center" vertical="center" wrapText="1"/>
    </xf>
    <xf numFmtId="41" fontId="154" fillId="36" borderId="0" xfId="0" applyNumberFormat="1" applyFont="1" applyFill="1"/>
    <xf numFmtId="0" fontId="0" fillId="0" borderId="15" xfId="0" applyBorder="1"/>
    <xf numFmtId="0" fontId="0" fillId="0" borderId="127" xfId="0" applyBorder="1"/>
    <xf numFmtId="0" fontId="0" fillId="0" borderId="99" xfId="0" applyBorder="1"/>
    <xf numFmtId="0" fontId="0" fillId="0" borderId="129" xfId="0" applyBorder="1"/>
    <xf numFmtId="0" fontId="79" fillId="0" borderId="160" xfId="0" applyFont="1" applyBorder="1" applyAlignment="1">
      <alignment horizontal="center" vertical="center" wrapText="1"/>
    </xf>
    <xf numFmtId="0" fontId="79" fillId="0" borderId="161" xfId="0" applyFont="1" applyBorder="1" applyAlignment="1">
      <alignment horizontal="center" vertical="center" wrapText="1"/>
    </xf>
    <xf numFmtId="0" fontId="79" fillId="0" borderId="162" xfId="0" applyFont="1" applyBorder="1" applyAlignment="1">
      <alignment horizontal="center" vertical="center" wrapText="1"/>
    </xf>
    <xf numFmtId="0" fontId="79" fillId="0" borderId="28" xfId="0" applyFont="1" applyBorder="1" applyAlignment="1">
      <alignment horizontal="center" vertical="center" wrapText="1"/>
    </xf>
    <xf numFmtId="0" fontId="79" fillId="0" borderId="159" xfId="0" applyFont="1" applyBorder="1" applyAlignment="1">
      <alignment horizontal="center" vertical="center" wrapText="1"/>
    </xf>
    <xf numFmtId="0" fontId="44" fillId="0" borderId="39" xfId="0" applyFont="1" applyBorder="1" applyAlignment="1">
      <alignment vertical="center"/>
    </xf>
    <xf numFmtId="0" fontId="0" fillId="0" borderId="41" xfId="0" applyBorder="1"/>
    <xf numFmtId="0" fontId="79" fillId="0" borderId="96" xfId="0" applyFont="1" applyBorder="1" applyAlignment="1">
      <alignment horizontal="left" vertical="center" wrapText="1"/>
    </xf>
    <xf numFmtId="9" fontId="3" fillId="38" borderId="163" xfId="9" applyFont="1" applyFill="1" applyBorder="1" applyAlignment="1">
      <alignment horizontal="center" vertical="center"/>
    </xf>
    <xf numFmtId="9" fontId="3" fillId="38" borderId="164" xfId="9" applyFont="1" applyFill="1" applyBorder="1" applyAlignment="1">
      <alignment horizontal="center" vertical="center"/>
    </xf>
    <xf numFmtId="9" fontId="3" fillId="38" borderId="165" xfId="9" applyFont="1" applyFill="1" applyBorder="1" applyAlignment="1">
      <alignment horizontal="center" vertical="center"/>
    </xf>
    <xf numFmtId="9" fontId="3" fillId="0" borderId="163" xfId="9" applyFont="1" applyBorder="1" applyAlignment="1">
      <alignment horizontal="center" vertical="center"/>
    </xf>
    <xf numFmtId="9" fontId="3" fillId="0" borderId="164" xfId="9" applyFont="1" applyBorder="1" applyAlignment="1">
      <alignment horizontal="center" vertical="center"/>
    </xf>
    <xf numFmtId="9" fontId="3" fillId="0" borderId="165" xfId="9" applyFont="1" applyBorder="1" applyAlignment="1">
      <alignment horizontal="center" vertical="center"/>
    </xf>
    <xf numFmtId="9" fontId="3" fillId="0" borderId="166" xfId="9" applyFont="1" applyBorder="1" applyAlignment="1">
      <alignment horizontal="center" vertical="center"/>
    </xf>
    <xf numFmtId="9" fontId="3" fillId="0" borderId="167" xfId="9" applyFont="1" applyBorder="1" applyAlignment="1">
      <alignment horizontal="center" vertical="center"/>
    </xf>
    <xf numFmtId="9" fontId="3" fillId="0" borderId="168" xfId="9" applyFont="1" applyBorder="1" applyAlignment="1">
      <alignment horizontal="center" vertical="center"/>
    </xf>
    <xf numFmtId="0" fontId="0" fillId="0" borderId="169" xfId="0" applyBorder="1"/>
    <xf numFmtId="0" fontId="79" fillId="0" borderId="170" xfId="0" applyFont="1" applyBorder="1" applyAlignment="1">
      <alignment horizontal="left" vertical="center" wrapText="1"/>
    </xf>
    <xf numFmtId="9" fontId="3" fillId="38" borderId="166" xfId="9" applyFont="1" applyFill="1" applyBorder="1" applyAlignment="1">
      <alignment horizontal="center" vertical="center"/>
    </xf>
    <xf numFmtId="9" fontId="3" fillId="38" borderId="167" xfId="9" applyFont="1" applyFill="1" applyBorder="1" applyAlignment="1">
      <alignment horizontal="center" vertical="center"/>
    </xf>
    <xf numFmtId="9" fontId="3" fillId="38" borderId="168" xfId="9" applyFont="1" applyFill="1" applyBorder="1" applyAlignment="1">
      <alignment horizontal="center" vertical="center"/>
    </xf>
    <xf numFmtId="0" fontId="0" fillId="0" borderId="42" xfId="0" applyBorder="1"/>
    <xf numFmtId="0" fontId="79" fillId="0" borderId="172" xfId="0" applyFont="1" applyBorder="1" applyAlignment="1">
      <alignment horizontal="left" vertical="center" wrapText="1"/>
    </xf>
    <xf numFmtId="9" fontId="3" fillId="0" borderId="173" xfId="9" applyFont="1" applyBorder="1" applyAlignment="1">
      <alignment horizontal="center" vertical="center"/>
    </xf>
    <xf numFmtId="9" fontId="3" fillId="0" borderId="174" xfId="9" applyFont="1" applyBorder="1" applyAlignment="1">
      <alignment horizontal="center" vertical="center"/>
    </xf>
    <xf numFmtId="9" fontId="3" fillId="0" borderId="175" xfId="9" applyFont="1" applyBorder="1" applyAlignment="1">
      <alignment horizontal="center" vertical="center"/>
    </xf>
    <xf numFmtId="9" fontId="3" fillId="38" borderId="173" xfId="9" applyFont="1" applyFill="1" applyBorder="1" applyAlignment="1">
      <alignment horizontal="center"/>
    </xf>
    <xf numFmtId="9" fontId="3" fillId="38" borderId="174" xfId="9" applyFont="1" applyFill="1" applyBorder="1" applyAlignment="1">
      <alignment horizontal="center"/>
    </xf>
    <xf numFmtId="9" fontId="3" fillId="38" borderId="175" xfId="9" applyFont="1" applyFill="1" applyBorder="1" applyAlignment="1">
      <alignment horizontal="center"/>
    </xf>
    <xf numFmtId="0" fontId="79" fillId="0" borderId="176" xfId="0" applyFont="1" applyBorder="1" applyAlignment="1">
      <alignment horizontal="left" vertical="center" wrapText="1"/>
    </xf>
    <xf numFmtId="9" fontId="3" fillId="0" borderId="177" xfId="9" applyFont="1" applyBorder="1" applyAlignment="1">
      <alignment horizontal="center" vertical="center"/>
    </xf>
    <xf numFmtId="9" fontId="3" fillId="0" borderId="178" xfId="9" applyFont="1" applyBorder="1" applyAlignment="1">
      <alignment horizontal="center" vertical="center"/>
    </xf>
    <xf numFmtId="9" fontId="3" fillId="0" borderId="179" xfId="9" applyFont="1" applyBorder="1" applyAlignment="1">
      <alignment horizontal="center" vertical="center"/>
    </xf>
    <xf numFmtId="9" fontId="3" fillId="38" borderId="177" xfId="9" applyFont="1" applyFill="1" applyBorder="1" applyAlignment="1">
      <alignment horizontal="center"/>
    </xf>
    <xf numFmtId="9" fontId="3" fillId="38" borderId="178" xfId="9" applyFont="1" applyFill="1" applyBorder="1" applyAlignment="1">
      <alignment horizontal="center"/>
    </xf>
    <xf numFmtId="9" fontId="3" fillId="38" borderId="179" xfId="9" applyFont="1" applyFill="1" applyBorder="1" applyAlignment="1">
      <alignment horizontal="center"/>
    </xf>
    <xf numFmtId="0" fontId="79" fillId="0" borderId="181" xfId="0" applyFont="1" applyBorder="1" applyAlignment="1">
      <alignment horizontal="left" vertical="center" wrapText="1"/>
    </xf>
    <xf numFmtId="9" fontId="3" fillId="0" borderId="182" xfId="9" applyFont="1" applyBorder="1" applyAlignment="1">
      <alignment horizontal="center" vertical="center"/>
    </xf>
    <xf numFmtId="9" fontId="3" fillId="0" borderId="183" xfId="9" applyFont="1" applyBorder="1" applyAlignment="1">
      <alignment horizontal="center" vertical="center"/>
    </xf>
    <xf numFmtId="9" fontId="3" fillId="0" borderId="184" xfId="9" applyFont="1" applyBorder="1" applyAlignment="1">
      <alignment horizontal="center" vertical="center"/>
    </xf>
    <xf numFmtId="9" fontId="3" fillId="38" borderId="182" xfId="9" applyFont="1" applyFill="1" applyBorder="1" applyAlignment="1">
      <alignment horizontal="center"/>
    </xf>
    <xf numFmtId="9" fontId="3" fillId="38" borderId="183" xfId="9" applyFont="1" applyFill="1" applyBorder="1" applyAlignment="1">
      <alignment horizontal="center"/>
    </xf>
    <xf numFmtId="9" fontId="3" fillId="38" borderId="184" xfId="9" applyFont="1" applyFill="1" applyBorder="1" applyAlignment="1">
      <alignment horizontal="center"/>
    </xf>
    <xf numFmtId="0" fontId="79" fillId="0" borderId="155" xfId="0" applyFont="1" applyBorder="1" applyAlignment="1">
      <alignment horizontal="left" vertical="center" wrapText="1"/>
    </xf>
    <xf numFmtId="0" fontId="3" fillId="0" borderId="185" xfId="0" applyFont="1" applyBorder="1" applyAlignment="1">
      <alignment horizontal="center"/>
    </xf>
    <xf numFmtId="0" fontId="3" fillId="0" borderId="186" xfId="0" applyFont="1" applyBorder="1" applyAlignment="1">
      <alignment horizontal="center"/>
    </xf>
    <xf numFmtId="0" fontId="3" fillId="0" borderId="187" xfId="0" applyFont="1" applyBorder="1" applyAlignment="1">
      <alignment horizontal="center"/>
    </xf>
    <xf numFmtId="168" fontId="0" fillId="13" borderId="185" xfId="0" applyNumberFormat="1" applyFill="1" applyBorder="1" applyAlignment="1">
      <alignment horizontal="center"/>
    </xf>
    <xf numFmtId="168" fontId="0" fillId="13" borderId="186" xfId="0" applyNumberFormat="1" applyFill="1" applyBorder="1" applyAlignment="1">
      <alignment horizontal="center"/>
    </xf>
    <xf numFmtId="168" fontId="0" fillId="13" borderId="187" xfId="0" applyNumberFormat="1" applyFill="1" applyBorder="1" applyAlignment="1">
      <alignment horizontal="center"/>
    </xf>
    <xf numFmtId="0" fontId="79" fillId="37" borderId="158" xfId="0" applyFont="1" applyFill="1" applyBorder="1" applyAlignment="1">
      <alignment horizontal="left" vertical="center" wrapText="1"/>
    </xf>
    <xf numFmtId="0" fontId="3" fillId="37" borderId="160" xfId="0" applyFont="1" applyFill="1" applyBorder="1" applyAlignment="1">
      <alignment horizontal="center"/>
    </xf>
    <xf numFmtId="0" fontId="3" fillId="37" borderId="161" xfId="0" applyFont="1" applyFill="1" applyBorder="1" applyAlignment="1">
      <alignment horizontal="center"/>
    </xf>
    <xf numFmtId="0" fontId="3" fillId="37" borderId="162" xfId="0" applyFont="1" applyFill="1" applyBorder="1" applyAlignment="1">
      <alignment horizontal="center"/>
    </xf>
    <xf numFmtId="0" fontId="0" fillId="0" borderId="128" xfId="0" applyBorder="1"/>
    <xf numFmtId="0" fontId="156" fillId="39" borderId="188" xfId="0" applyFont="1" applyFill="1" applyBorder="1" applyAlignment="1">
      <alignment horizontal="left" vertical="center" wrapText="1"/>
    </xf>
    <xf numFmtId="0" fontId="14" fillId="39" borderId="189" xfId="0" applyFont="1" applyFill="1" applyBorder="1" applyAlignment="1">
      <alignment horizontal="center"/>
    </xf>
    <xf numFmtId="0" fontId="14" fillId="39" borderId="190" xfId="0" applyFont="1" applyFill="1" applyBorder="1" applyAlignment="1">
      <alignment horizontal="center"/>
    </xf>
    <xf numFmtId="0" fontId="14" fillId="39" borderId="191" xfId="0" applyFont="1" applyFill="1" applyBorder="1" applyAlignment="1">
      <alignment horizontal="center"/>
    </xf>
    <xf numFmtId="0" fontId="79" fillId="0" borderId="0" xfId="0" applyFont="1" applyAlignment="1">
      <alignment horizontal="left" vertical="center" wrapText="1"/>
    </xf>
    <xf numFmtId="168" fontId="0" fillId="13" borderId="187" xfId="0" applyNumberFormat="1" applyFill="1" applyBorder="1"/>
    <xf numFmtId="9" fontId="0" fillId="0" borderId="0" xfId="0" applyNumberFormat="1"/>
    <xf numFmtId="0" fontId="32" fillId="0" borderId="0" xfId="0" applyFont="1" applyAlignment="1">
      <alignment horizontal="center"/>
    </xf>
    <xf numFmtId="0" fontId="0" fillId="0" borderId="160" xfId="0" applyBorder="1" applyAlignment="1">
      <alignment horizontal="center"/>
    </xf>
    <xf numFmtId="0" fontId="0" fillId="0" borderId="161" xfId="0" applyBorder="1" applyAlignment="1">
      <alignment horizontal="center"/>
    </xf>
    <xf numFmtId="0" fontId="0" fillId="0" borderId="162" xfId="0" applyBorder="1" applyAlignment="1">
      <alignment horizontal="center"/>
    </xf>
    <xf numFmtId="0" fontId="79" fillId="0" borderId="172" xfId="0" applyFont="1" applyBorder="1" applyAlignment="1">
      <alignment vertical="center" wrapText="1"/>
    </xf>
    <xf numFmtId="9" fontId="0" fillId="12" borderId="192" xfId="9" applyFont="1" applyFill="1" applyBorder="1" applyAlignment="1">
      <alignment horizontal="center"/>
    </xf>
    <xf numFmtId="9" fontId="0" fillId="38" borderId="193" xfId="9" applyFont="1" applyFill="1" applyBorder="1" applyAlignment="1">
      <alignment horizontal="center"/>
    </xf>
    <xf numFmtId="9" fontId="0" fillId="38" borderId="194" xfId="9" applyFont="1" applyFill="1" applyBorder="1" applyAlignment="1">
      <alignment horizontal="center"/>
    </xf>
    <xf numFmtId="0" fontId="79" fillId="0" borderId="176" xfId="0" applyFont="1" applyBorder="1" applyAlignment="1">
      <alignment vertical="center" wrapText="1"/>
    </xf>
    <xf numFmtId="9" fontId="0" fillId="0" borderId="177" xfId="9" applyFont="1" applyBorder="1" applyAlignment="1">
      <alignment horizontal="center"/>
    </xf>
    <xf numFmtId="9" fontId="0" fillId="13" borderId="195" xfId="9" applyFont="1" applyFill="1" applyBorder="1" applyAlignment="1">
      <alignment horizontal="center"/>
    </xf>
    <xf numFmtId="9" fontId="0" fillId="13" borderId="196" xfId="9" applyFont="1" applyFill="1" applyBorder="1" applyAlignment="1">
      <alignment horizontal="center"/>
    </xf>
    <xf numFmtId="9" fontId="0" fillId="0" borderId="197" xfId="9" applyFont="1" applyBorder="1" applyAlignment="1">
      <alignment horizontal="center"/>
    </xf>
    <xf numFmtId="0" fontId="79" fillId="0" borderId="181" xfId="0" applyFont="1" applyBorder="1" applyAlignment="1">
      <alignment vertical="center" wrapText="1"/>
    </xf>
    <xf numFmtId="9" fontId="0" fillId="0" borderId="182" xfId="9" applyFont="1" applyBorder="1" applyAlignment="1">
      <alignment horizontal="center"/>
    </xf>
    <xf numFmtId="0" fontId="0" fillId="38" borderId="198" xfId="0" applyFill="1" applyBorder="1"/>
    <xf numFmtId="9" fontId="0" fillId="13" borderId="183" xfId="9" applyFont="1" applyFill="1" applyBorder="1" applyAlignment="1">
      <alignment horizontal="center"/>
    </xf>
    <xf numFmtId="9" fontId="0" fillId="13" borderId="184" xfId="9" applyFont="1" applyFill="1" applyBorder="1" applyAlignment="1">
      <alignment horizontal="center"/>
    </xf>
    <xf numFmtId="0" fontId="0" fillId="38" borderId="199" xfId="0" applyFill="1" applyBorder="1"/>
    <xf numFmtId="0" fontId="0" fillId="38" borderId="200" xfId="0" applyFill="1" applyBorder="1"/>
    <xf numFmtId="0" fontId="0" fillId="38" borderId="201" xfId="0" applyFill="1" applyBorder="1"/>
    <xf numFmtId="0" fontId="0" fillId="12" borderId="0" xfId="0" applyFill="1"/>
    <xf numFmtId="0" fontId="157" fillId="0" borderId="0" xfId="0" applyFont="1" applyAlignment="1">
      <alignment horizontal="center"/>
    </xf>
    <xf numFmtId="0" fontId="0" fillId="13" borderId="0" xfId="0" applyFill="1"/>
    <xf numFmtId="0" fontId="0" fillId="0" borderId="202" xfId="0" applyBorder="1" applyAlignment="1">
      <alignment horizontal="center"/>
    </xf>
    <xf numFmtId="0" fontId="0" fillId="0" borderId="203" xfId="0" applyBorder="1" applyAlignment="1">
      <alignment horizontal="center"/>
    </xf>
    <xf numFmtId="0" fontId="79" fillId="0" borderId="172" xfId="0" applyFont="1" applyBorder="1"/>
    <xf numFmtId="9" fontId="0" fillId="40" borderId="173" xfId="9" applyFont="1" applyFill="1" applyBorder="1"/>
    <xf numFmtId="9" fontId="0" fillId="0" borderId="174" xfId="9" applyFont="1" applyBorder="1"/>
    <xf numFmtId="9" fontId="0" fillId="0" borderId="204" xfId="9" applyFont="1" applyBorder="1"/>
    <xf numFmtId="9" fontId="0" fillId="0" borderId="175" xfId="9" applyFont="1" applyBorder="1"/>
    <xf numFmtId="9" fontId="0" fillId="40" borderId="205" xfId="9" applyFont="1" applyFill="1" applyBorder="1"/>
    <xf numFmtId="0" fontId="79" fillId="0" borderId="176" xfId="0" applyFont="1" applyBorder="1"/>
    <xf numFmtId="9" fontId="0" fillId="40" borderId="177" xfId="9" applyFont="1" applyFill="1" applyBorder="1"/>
    <xf numFmtId="168" fontId="0" fillId="0" borderId="178" xfId="9" applyNumberFormat="1" applyFont="1" applyBorder="1"/>
    <xf numFmtId="168" fontId="0" fillId="0" borderId="206" xfId="9" applyNumberFormat="1" applyFont="1" applyBorder="1"/>
    <xf numFmtId="9" fontId="0" fillId="0" borderId="178" xfId="9" applyFont="1" applyBorder="1"/>
    <xf numFmtId="9" fontId="0" fillId="0" borderId="179" xfId="9" applyFont="1" applyBorder="1"/>
    <xf numFmtId="9" fontId="0" fillId="40" borderId="207" xfId="9" applyFont="1" applyFill="1" applyBorder="1"/>
    <xf numFmtId="168" fontId="0" fillId="0" borderId="179" xfId="9" applyNumberFormat="1" applyFont="1" applyBorder="1"/>
    <xf numFmtId="9" fontId="0" fillId="40" borderId="197" xfId="9" applyFont="1" applyFill="1" applyBorder="1"/>
    <xf numFmtId="9" fontId="0" fillId="0" borderId="195" xfId="9" applyFont="1" applyBorder="1"/>
    <xf numFmtId="9" fontId="0" fillId="0" borderId="208" xfId="9" applyFont="1" applyBorder="1"/>
    <xf numFmtId="9" fontId="0" fillId="0" borderId="196" xfId="9" applyFont="1" applyBorder="1"/>
    <xf numFmtId="9" fontId="0" fillId="40" borderId="209" xfId="9" applyFont="1" applyFill="1" applyBorder="1"/>
    <xf numFmtId="0" fontId="79" fillId="0" borderId="181" xfId="0" applyFont="1" applyBorder="1"/>
    <xf numFmtId="9" fontId="0" fillId="40" borderId="189" xfId="9" applyFont="1" applyFill="1" applyBorder="1"/>
    <xf numFmtId="168" fontId="0" fillId="13" borderId="190" xfId="9" applyNumberFormat="1" applyFont="1" applyFill="1" applyBorder="1"/>
    <xf numFmtId="168" fontId="0" fillId="13" borderId="210" xfId="9" applyNumberFormat="1" applyFont="1" applyFill="1" applyBorder="1"/>
    <xf numFmtId="9" fontId="0" fillId="13" borderId="190" xfId="9" applyFont="1" applyFill="1" applyBorder="1"/>
    <xf numFmtId="9" fontId="0" fillId="13" borderId="191" xfId="9" applyFont="1" applyFill="1" applyBorder="1"/>
    <xf numFmtId="9" fontId="0" fillId="40" borderId="211" xfId="9" applyFont="1" applyFill="1" applyBorder="1"/>
    <xf numFmtId="168" fontId="0" fillId="13" borderId="191" xfId="9" applyNumberFormat="1" applyFont="1" applyFill="1" applyBorder="1"/>
    <xf numFmtId="0" fontId="10" fillId="13" borderId="0" xfId="0" applyFont="1" applyFill="1"/>
    <xf numFmtId="0" fontId="10" fillId="40" borderId="0" xfId="0" applyFont="1" applyFill="1"/>
    <xf numFmtId="9" fontId="160" fillId="33" borderId="0" xfId="9" applyFont="1" applyFill="1" applyBorder="1" applyAlignment="1">
      <alignment horizontal="center" vertical="center"/>
    </xf>
    <xf numFmtId="9" fontId="82" fillId="32" borderId="124" xfId="9" applyFont="1" applyFill="1" applyBorder="1" applyAlignment="1">
      <alignment horizontal="center" vertical="center"/>
    </xf>
    <xf numFmtId="41" fontId="154" fillId="41" borderId="0" xfId="0" applyNumberFormat="1" applyFont="1" applyFill="1"/>
    <xf numFmtId="9" fontId="115" fillId="32" borderId="0" xfId="9" applyFont="1" applyFill="1" applyBorder="1" applyAlignment="1">
      <alignment horizontal="center" vertical="center"/>
    </xf>
    <xf numFmtId="179" fontId="12" fillId="10" borderId="6" xfId="0" applyNumberFormat="1" applyFont="1" applyFill="1" applyBorder="1" applyAlignment="1">
      <alignment vertical="center"/>
    </xf>
    <xf numFmtId="9" fontId="145" fillId="36" borderId="0" xfId="9" applyFont="1" applyFill="1"/>
    <xf numFmtId="0" fontId="161" fillId="36" borderId="0" xfId="0" applyFont="1" applyFill="1"/>
    <xf numFmtId="9" fontId="161" fillId="36" borderId="0" xfId="9" applyFont="1" applyFill="1"/>
    <xf numFmtId="9" fontId="162" fillId="36" borderId="0" xfId="9" applyFont="1" applyFill="1"/>
    <xf numFmtId="0" fontId="163" fillId="37" borderId="0" xfId="0" applyFont="1" applyFill="1"/>
    <xf numFmtId="9" fontId="164" fillId="37" borderId="0" xfId="9" applyFont="1" applyFill="1"/>
    <xf numFmtId="9" fontId="163" fillId="37" borderId="0" xfId="9" applyFont="1" applyFill="1"/>
    <xf numFmtId="0" fontId="161" fillId="42" borderId="0" xfId="0" applyFont="1" applyFill="1"/>
    <xf numFmtId="9" fontId="162" fillId="42" borderId="0" xfId="9" applyFont="1" applyFill="1"/>
    <xf numFmtId="9" fontId="161" fillId="42" borderId="0" xfId="9" applyFont="1" applyFill="1"/>
    <xf numFmtId="0" fontId="161" fillId="43" borderId="0" xfId="0" applyFont="1" applyFill="1"/>
    <xf numFmtId="9" fontId="162" fillId="43" borderId="0" xfId="9" applyFont="1" applyFill="1"/>
    <xf numFmtId="9" fontId="161" fillId="43" borderId="0" xfId="9" applyFont="1" applyFill="1"/>
    <xf numFmtId="0" fontId="163" fillId="16" borderId="0" xfId="0" applyFont="1" applyFill="1"/>
    <xf numFmtId="0" fontId="164" fillId="16" borderId="0" xfId="0" applyFont="1" applyFill="1"/>
    <xf numFmtId="170" fontId="161" fillId="36" borderId="0" xfId="19" applyNumberFormat="1" applyFont="1" applyFill="1"/>
    <xf numFmtId="177" fontId="161" fillId="36" borderId="0" xfId="19" applyNumberFormat="1" applyFont="1" applyFill="1"/>
    <xf numFmtId="41" fontId="162" fillId="36" borderId="0" xfId="19" applyFont="1" applyFill="1"/>
    <xf numFmtId="41" fontId="161" fillId="36" borderId="0" xfId="19" applyFont="1" applyFill="1"/>
    <xf numFmtId="170" fontId="165" fillId="36" borderId="0" xfId="0" applyNumberFormat="1" applyFont="1" applyFill="1"/>
    <xf numFmtId="1" fontId="161" fillId="36" borderId="0" xfId="19" applyNumberFormat="1" applyFont="1" applyFill="1"/>
    <xf numFmtId="0" fontId="166" fillId="16" borderId="0" xfId="0" applyFont="1" applyFill="1"/>
    <xf numFmtId="177" fontId="163" fillId="37" borderId="0" xfId="19" applyNumberFormat="1" applyFont="1" applyFill="1"/>
    <xf numFmtId="170" fontId="163" fillId="37" borderId="0" xfId="0" applyNumberFormat="1" applyFont="1" applyFill="1"/>
    <xf numFmtId="1" fontId="163" fillId="37" borderId="0" xfId="0" applyNumberFormat="1" applyFont="1" applyFill="1"/>
    <xf numFmtId="170" fontId="163" fillId="37" borderId="0" xfId="19" applyNumberFormat="1" applyFont="1" applyFill="1"/>
    <xf numFmtId="170" fontId="167" fillId="37" borderId="0" xfId="0" applyNumberFormat="1" applyFont="1" applyFill="1"/>
    <xf numFmtId="177" fontId="161" fillId="42" borderId="0" xfId="19" applyNumberFormat="1" applyFont="1" applyFill="1"/>
    <xf numFmtId="170" fontId="161" fillId="42" borderId="0" xfId="19" applyNumberFormat="1" applyFont="1" applyFill="1"/>
    <xf numFmtId="1" fontId="161" fillId="42" borderId="0" xfId="19" applyNumberFormat="1" applyFont="1" applyFill="1"/>
    <xf numFmtId="170" fontId="165" fillId="42" borderId="0" xfId="0" applyNumberFormat="1" applyFont="1" applyFill="1"/>
    <xf numFmtId="177" fontId="161" fillId="43" borderId="0" xfId="19" applyNumberFormat="1" applyFont="1" applyFill="1"/>
    <xf numFmtId="41" fontId="161" fillId="43" borderId="0" xfId="19" applyFont="1" applyFill="1"/>
    <xf numFmtId="170" fontId="161" fillId="43" borderId="0" xfId="19" applyNumberFormat="1" applyFont="1" applyFill="1"/>
    <xf numFmtId="170" fontId="165" fillId="43" borderId="0" xfId="0" applyNumberFormat="1" applyFont="1" applyFill="1"/>
    <xf numFmtId="0" fontId="163" fillId="16" borderId="0" xfId="0" applyFont="1" applyFill="1" applyAlignment="1">
      <alignment horizontal="left" indent="1"/>
    </xf>
    <xf numFmtId="41" fontId="164" fillId="37" borderId="0" xfId="19" applyFont="1" applyFill="1"/>
    <xf numFmtId="41" fontId="162" fillId="42" borderId="0" xfId="19" applyFont="1" applyFill="1"/>
    <xf numFmtId="41" fontId="162" fillId="43" borderId="0" xfId="19" applyFont="1" applyFill="1"/>
    <xf numFmtId="9" fontId="139" fillId="36" borderId="0" xfId="0" applyNumberFormat="1" applyFont="1" applyFill="1"/>
    <xf numFmtId="41" fontId="163" fillId="37" borderId="0" xfId="19" applyFont="1" applyFill="1"/>
    <xf numFmtId="41" fontId="161" fillId="42" borderId="0" xfId="19" applyFont="1" applyFill="1"/>
    <xf numFmtId="41" fontId="161" fillId="43" borderId="0" xfId="9" applyNumberFormat="1" applyFont="1" applyFill="1"/>
    <xf numFmtId="0" fontId="169" fillId="36" borderId="0" xfId="0" applyFont="1" applyFill="1"/>
    <xf numFmtId="41" fontId="145" fillId="36" borderId="0" xfId="0" applyNumberFormat="1" applyFont="1" applyFill="1"/>
    <xf numFmtId="2" fontId="145" fillId="36" borderId="0" xfId="0" applyNumberFormat="1" applyFont="1" applyFill="1"/>
    <xf numFmtId="1" fontId="147" fillId="36" borderId="0" xfId="0" applyNumberFormat="1" applyFont="1" applyFill="1"/>
    <xf numFmtId="0" fontId="170" fillId="16" borderId="0" xfId="0" applyFont="1" applyFill="1" applyAlignment="1">
      <alignment horizontal="left" indent="1"/>
    </xf>
    <xf numFmtId="0" fontId="171" fillId="16" borderId="0" xfId="0" applyFont="1" applyFill="1" applyAlignment="1">
      <alignment horizontal="left" indent="1"/>
    </xf>
    <xf numFmtId="9" fontId="166" fillId="37" borderId="0" xfId="9" applyFont="1" applyFill="1"/>
    <xf numFmtId="9" fontId="172" fillId="42" borderId="0" xfId="9" applyFont="1" applyFill="1"/>
    <xf numFmtId="9" fontId="172" fillId="43" borderId="0" xfId="9" applyFont="1" applyFill="1"/>
    <xf numFmtId="9" fontId="172" fillId="36" borderId="0" xfId="9" applyFont="1" applyFill="1"/>
    <xf numFmtId="1" fontId="163" fillId="37" borderId="0" xfId="9" applyNumberFormat="1" applyFont="1" applyFill="1"/>
    <xf numFmtId="1" fontId="161" fillId="42" borderId="0" xfId="9" applyNumberFormat="1" applyFont="1" applyFill="1"/>
    <xf numFmtId="1" fontId="161" fillId="43" borderId="0" xfId="9" applyNumberFormat="1" applyFont="1" applyFill="1"/>
    <xf numFmtId="1" fontId="161" fillId="36" borderId="0" xfId="9" applyNumberFormat="1" applyFont="1" applyFill="1"/>
    <xf numFmtId="170" fontId="87" fillId="32" borderId="0" xfId="0" applyNumberFormat="1" applyFont="1" applyFill="1" applyAlignment="1">
      <alignment horizontal="center"/>
    </xf>
    <xf numFmtId="170" fontId="87" fillId="32" borderId="119" xfId="0" applyNumberFormat="1" applyFont="1" applyFill="1" applyBorder="1" applyAlignment="1">
      <alignment horizontal="center"/>
    </xf>
    <xf numFmtId="170" fontId="87" fillId="32" borderId="0" xfId="19" applyNumberFormat="1" applyFont="1" applyFill="1" applyBorder="1" applyAlignment="1">
      <alignment horizontal="center" vertical="center"/>
    </xf>
    <xf numFmtId="170" fontId="87" fillId="32" borderId="121" xfId="0" applyNumberFormat="1" applyFont="1" applyFill="1" applyBorder="1" applyAlignment="1">
      <alignment horizontal="center"/>
    </xf>
    <xf numFmtId="170" fontId="87" fillId="32" borderId="122" xfId="0" applyNumberFormat="1" applyFont="1" applyFill="1" applyBorder="1" applyAlignment="1">
      <alignment horizontal="center"/>
    </xf>
    <xf numFmtId="0" fontId="173" fillId="0" borderId="0" xfId="0" applyFont="1" applyAlignment="1">
      <alignment horizontal="center"/>
    </xf>
    <xf numFmtId="9" fontId="84" fillId="32" borderId="0" xfId="9" applyFont="1" applyFill="1" applyAlignment="1">
      <alignment horizontal="center" vertical="center"/>
    </xf>
    <xf numFmtId="2" fontId="94" fillId="32" borderId="0" xfId="0" applyNumberFormat="1" applyFont="1" applyFill="1" applyAlignment="1">
      <alignment horizontal="center" vertical="center"/>
    </xf>
    <xf numFmtId="9" fontId="94" fillId="32" borderId="0" xfId="9" applyFont="1" applyFill="1" applyBorder="1" applyAlignment="1">
      <alignment horizontal="center" vertical="center"/>
    </xf>
    <xf numFmtId="166" fontId="94" fillId="32" borderId="0" xfId="0" applyNumberFormat="1" applyFont="1" applyFill="1" applyAlignment="1">
      <alignment horizontal="center" vertical="center"/>
    </xf>
    <xf numFmtId="170" fontId="84" fillId="32" borderId="0" xfId="0" applyNumberFormat="1" applyFont="1" applyFill="1" applyAlignment="1">
      <alignment horizontal="center" vertical="center"/>
    </xf>
    <xf numFmtId="0" fontId="139" fillId="16" borderId="0" xfId="0" applyFont="1" applyFill="1"/>
    <xf numFmtId="0" fontId="174" fillId="16" borderId="0" xfId="0" applyFont="1" applyFill="1" applyAlignment="1">
      <alignment horizontal="center"/>
    </xf>
    <xf numFmtId="178" fontId="163" fillId="37" borderId="0" xfId="19" applyNumberFormat="1" applyFont="1" applyFill="1"/>
    <xf numFmtId="178" fontId="161" fillId="42" borderId="0" xfId="19" applyNumberFormat="1" applyFont="1" applyFill="1"/>
    <xf numFmtId="178" fontId="161" fillId="43" borderId="0" xfId="19" applyNumberFormat="1" applyFont="1" applyFill="1"/>
    <xf numFmtId="178" fontId="161" fillId="36" borderId="0" xfId="19" applyNumberFormat="1" applyFont="1" applyFill="1"/>
    <xf numFmtId="176" fontId="166" fillId="37" borderId="0" xfId="19" applyNumberFormat="1" applyFont="1" applyFill="1"/>
    <xf numFmtId="176" fontId="172" fillId="42" borderId="0" xfId="19" applyNumberFormat="1" applyFont="1" applyFill="1"/>
    <xf numFmtId="177" fontId="172" fillId="43" borderId="0" xfId="19" applyNumberFormat="1" applyFont="1" applyFill="1"/>
    <xf numFmtId="177" fontId="172" fillId="36" borderId="0" xfId="19" applyNumberFormat="1" applyFont="1" applyFill="1"/>
    <xf numFmtId="0" fontId="92" fillId="0" borderId="0" xfId="19" applyNumberFormat="1" applyFont="1" applyAlignment="1">
      <alignment horizontal="center" vertical="center"/>
    </xf>
    <xf numFmtId="9" fontId="82" fillId="0" borderId="0" xfId="0" applyNumberFormat="1" applyFont="1" applyAlignment="1">
      <alignment horizontal="center" vertical="center"/>
    </xf>
    <xf numFmtId="9" fontId="80" fillId="0" borderId="0" xfId="0" applyNumberFormat="1" applyFont="1" applyAlignment="1">
      <alignment vertical="center"/>
    </xf>
    <xf numFmtId="0" fontId="175" fillId="36" borderId="0" xfId="0" applyFont="1" applyFill="1"/>
    <xf numFmtId="0" fontId="176" fillId="36" borderId="0" xfId="0" applyFont="1" applyFill="1"/>
    <xf numFmtId="9" fontId="99" fillId="0" borderId="0" xfId="9" applyFont="1" applyAlignment="1">
      <alignment horizontal="left" vertical="center"/>
    </xf>
    <xf numFmtId="0" fontId="178" fillId="16" borderId="0" xfId="0" applyFont="1" applyFill="1"/>
    <xf numFmtId="0" fontId="177" fillId="37" borderId="0" xfId="0" applyFont="1" applyFill="1"/>
    <xf numFmtId="0" fontId="179" fillId="36" borderId="0" xfId="0" applyFont="1" applyFill="1"/>
    <xf numFmtId="0" fontId="179" fillId="42" borderId="0" xfId="0" applyFont="1" applyFill="1"/>
    <xf numFmtId="0" fontId="179" fillId="43" borderId="0" xfId="0" applyFont="1" applyFill="1"/>
    <xf numFmtId="168" fontId="4" fillId="0" borderId="6" xfId="9" applyNumberFormat="1" applyFont="1" applyBorder="1" applyAlignment="1">
      <alignment horizontal="left" vertical="center" wrapText="1"/>
    </xf>
    <xf numFmtId="168" fontId="4" fillId="0" borderId="6" xfId="19" applyNumberFormat="1" applyFont="1" applyBorder="1" applyAlignment="1">
      <alignment horizontal="left" vertical="center" wrapText="1"/>
    </xf>
    <xf numFmtId="170" fontId="180" fillId="16" borderId="0" xfId="0" applyNumberFormat="1" applyFont="1" applyFill="1" applyAlignment="1">
      <alignment horizontal="center"/>
    </xf>
    <xf numFmtId="0" fontId="139" fillId="36" borderId="0" xfId="0" applyFont="1" applyFill="1" applyAlignment="1">
      <alignment horizontal="left" indent="2"/>
    </xf>
    <xf numFmtId="1" fontId="139" fillId="36" borderId="0" xfId="0" applyNumberFormat="1" applyFont="1" applyFill="1"/>
    <xf numFmtId="0" fontId="181" fillId="36" borderId="212" xfId="0" applyFont="1" applyFill="1" applyBorder="1"/>
    <xf numFmtId="0" fontId="181" fillId="33" borderId="213" xfId="0" applyFont="1" applyFill="1" applyBorder="1" applyAlignment="1">
      <alignment horizontal="left" indent="2"/>
    </xf>
    <xf numFmtId="0" fontId="181" fillId="33" borderId="213" xfId="0" applyFont="1" applyFill="1" applyBorder="1"/>
    <xf numFmtId="0" fontId="181" fillId="33" borderId="215" xfId="0" applyFont="1" applyFill="1" applyBorder="1" applyAlignment="1">
      <alignment horizontal="left" indent="2"/>
    </xf>
    <xf numFmtId="0" fontId="181" fillId="33" borderId="215" xfId="0" applyFont="1" applyFill="1" applyBorder="1"/>
    <xf numFmtId="1" fontId="181" fillId="33" borderId="215" xfId="0" applyNumberFormat="1" applyFont="1" applyFill="1" applyBorder="1"/>
    <xf numFmtId="0" fontId="181" fillId="33" borderId="214" xfId="0" applyFont="1" applyFill="1" applyBorder="1" applyAlignment="1">
      <alignment horizontal="left" indent="2"/>
    </xf>
    <xf numFmtId="0" fontId="181" fillId="33" borderId="214" xfId="0" applyFont="1" applyFill="1" applyBorder="1"/>
    <xf numFmtId="0" fontId="145" fillId="36" borderId="212" xfId="0" applyFont="1" applyFill="1" applyBorder="1" applyAlignment="1">
      <alignment horizontal="center"/>
    </xf>
    <xf numFmtId="0" fontId="182" fillId="36" borderId="212" xfId="0" applyFont="1" applyFill="1" applyBorder="1"/>
    <xf numFmtId="1" fontId="182" fillId="36" borderId="212" xfId="0" applyNumberFormat="1" applyFont="1" applyFill="1" applyBorder="1"/>
    <xf numFmtId="0" fontId="182" fillId="36" borderId="216" xfId="0" applyFont="1" applyFill="1" applyBorder="1"/>
    <xf numFmtId="10" fontId="80" fillId="0" borderId="0" xfId="9" applyNumberFormat="1" applyFont="1"/>
    <xf numFmtId="168" fontId="3" fillId="0" borderId="6" xfId="0" applyNumberFormat="1" applyFont="1" applyBorder="1" applyAlignment="1">
      <alignment vertical="center"/>
    </xf>
    <xf numFmtId="9" fontId="183" fillId="0" borderId="0" xfId="0" applyNumberFormat="1" applyFont="1" applyAlignment="1">
      <alignment horizontal="center" vertical="center"/>
    </xf>
    <xf numFmtId="166" fontId="14" fillId="13" borderId="29" xfId="0" applyNumberFormat="1" applyFont="1" applyFill="1" applyBorder="1" applyAlignment="1">
      <alignment vertical="center"/>
    </xf>
    <xf numFmtId="183" fontId="142" fillId="0" borderId="0" xfId="0" applyNumberFormat="1" applyFont="1"/>
    <xf numFmtId="183" fontId="142" fillId="28" borderId="0" xfId="0" applyNumberFormat="1" applyFont="1" applyFill="1"/>
    <xf numFmtId="182" fontId="80" fillId="0" borderId="0" xfId="0" applyNumberFormat="1" applyFont="1" applyAlignment="1">
      <alignment vertical="center"/>
    </xf>
    <xf numFmtId="9" fontId="87" fillId="32" borderId="0" xfId="9" applyFont="1" applyFill="1" applyAlignment="1">
      <alignment horizontal="center" vertical="center"/>
    </xf>
    <xf numFmtId="9" fontId="97" fillId="0" borderId="0" xfId="9" applyFont="1" applyAlignment="1">
      <alignment vertical="center"/>
    </xf>
    <xf numFmtId="10" fontId="97" fillId="0" borderId="0" xfId="9" applyNumberFormat="1" applyFont="1" applyAlignment="1">
      <alignment vertical="center"/>
    </xf>
    <xf numFmtId="9" fontId="74" fillId="0" borderId="6" xfId="9" applyFont="1" applyBorder="1" applyAlignment="1">
      <alignment horizontal="left" vertical="center" wrapText="1"/>
    </xf>
    <xf numFmtId="9" fontId="142" fillId="0" borderId="0" xfId="0" applyNumberFormat="1" applyFont="1"/>
    <xf numFmtId="9" fontId="142" fillId="28" borderId="0" xfId="0" applyNumberFormat="1" applyFont="1" applyFill="1"/>
    <xf numFmtId="9" fontId="142" fillId="0" borderId="0" xfId="0" applyNumberFormat="1" applyFont="1" applyAlignment="1">
      <alignment vertical="center"/>
    </xf>
    <xf numFmtId="9" fontId="142" fillId="16" borderId="0" xfId="0" applyNumberFormat="1" applyFont="1" applyFill="1"/>
    <xf numFmtId="9" fontId="142" fillId="0" borderId="0" xfId="9" applyFont="1" applyAlignment="1">
      <alignment vertical="center"/>
    </xf>
    <xf numFmtId="168" fontId="3" fillId="0" borderId="6" xfId="9" applyNumberFormat="1" applyFont="1" applyBorder="1" applyAlignment="1">
      <alignment vertical="center"/>
    </xf>
    <xf numFmtId="168" fontId="87" fillId="32" borderId="126" xfId="9" applyNumberFormat="1" applyFont="1" applyFill="1" applyBorder="1" applyAlignment="1">
      <alignment horizontal="center" vertical="center"/>
    </xf>
    <xf numFmtId="0" fontId="86" fillId="32" borderId="0" xfId="0" applyFont="1" applyFill="1" applyAlignment="1">
      <alignment horizontal="center"/>
    </xf>
    <xf numFmtId="167" fontId="82" fillId="32" borderId="121" xfId="0" applyNumberFormat="1" applyFont="1" applyFill="1" applyBorder="1" applyAlignment="1">
      <alignment horizontal="center" vertical="center"/>
    </xf>
    <xf numFmtId="41" fontId="80" fillId="0" borderId="0" xfId="19" applyFont="1"/>
    <xf numFmtId="177" fontId="80" fillId="0" borderId="0" xfId="19" applyNumberFormat="1" applyFont="1"/>
    <xf numFmtId="0" fontId="153" fillId="36" borderId="0" xfId="0" applyFont="1" applyFill="1" applyAlignment="1">
      <alignment horizontal="left" wrapText="1"/>
    </xf>
    <xf numFmtId="0" fontId="155" fillId="36" borderId="0" xfId="0" applyFont="1" applyFill="1" applyAlignment="1">
      <alignment horizontal="left" wrapText="1"/>
    </xf>
    <xf numFmtId="0" fontId="150" fillId="36" borderId="0" xfId="0" applyFont="1" applyFill="1" applyAlignment="1">
      <alignment horizontal="left" vertical="center" wrapText="1"/>
    </xf>
    <xf numFmtId="0" fontId="150" fillId="36" borderId="0" xfId="0" applyFont="1" applyFill="1" applyAlignment="1">
      <alignment horizontal="left" wrapText="1"/>
    </xf>
    <xf numFmtId="0" fontId="107" fillId="0" borderId="0" xfId="0" applyFont="1" applyAlignment="1">
      <alignment horizontal="center" vertical="center" wrapText="1"/>
    </xf>
    <xf numFmtId="0" fontId="82" fillId="32" borderId="0" xfId="0" applyFont="1" applyFill="1" applyAlignment="1">
      <alignment horizontal="left" vertical="center" indent="2"/>
    </xf>
    <xf numFmtId="0" fontId="101" fillId="32" borderId="0" xfId="0" applyFont="1" applyFill="1" applyAlignment="1">
      <alignment horizontal="center" vertical="center" wrapText="1"/>
    </xf>
    <xf numFmtId="0" fontId="84" fillId="32" borderId="0" xfId="0" applyFont="1" applyFill="1" applyAlignment="1">
      <alignment horizontal="center" vertical="center" wrapText="1"/>
    </xf>
    <xf numFmtId="2" fontId="96" fillId="32" borderId="0" xfId="11" applyNumberFormat="1" applyFont="1" applyFill="1" applyAlignment="1">
      <alignment horizontal="center" vertical="center" wrapText="1"/>
    </xf>
    <xf numFmtId="0" fontId="123" fillId="32" borderId="0" xfId="0" applyFont="1" applyFill="1" applyAlignment="1">
      <alignment horizontal="left" vertical="center" indent="2"/>
    </xf>
    <xf numFmtId="0" fontId="101" fillId="32" borderId="114" xfId="0" applyFont="1" applyFill="1" applyBorder="1" applyAlignment="1">
      <alignment horizontal="center" vertical="center" wrapText="1"/>
    </xf>
    <xf numFmtId="0" fontId="84" fillId="32" borderId="127" xfId="0" applyFont="1" applyFill="1" applyBorder="1" applyAlignment="1">
      <alignment horizontal="center" vertical="center" wrapText="1"/>
    </xf>
    <xf numFmtId="0" fontId="84" fillId="32" borderId="129" xfId="0" applyFont="1" applyFill="1" applyBorder="1" applyAlignment="1">
      <alignment horizontal="center" vertical="center" wrapText="1"/>
    </xf>
    <xf numFmtId="0" fontId="84" fillId="32" borderId="128" xfId="0" applyFont="1" applyFill="1" applyBorder="1" applyAlignment="1">
      <alignment horizontal="center" vertical="center" wrapText="1"/>
    </xf>
    <xf numFmtId="0" fontId="82" fillId="32" borderId="0" xfId="0" applyFont="1" applyFill="1" applyAlignment="1">
      <alignment horizontal="center" vertical="center" wrapText="1"/>
    </xf>
    <xf numFmtId="0" fontId="100" fillId="32" borderId="0" xfId="0" applyFont="1" applyFill="1" applyAlignment="1">
      <alignment horizontal="center" vertical="center" wrapText="1"/>
    </xf>
    <xf numFmtId="0" fontId="105" fillId="32" borderId="0" xfId="0" applyFont="1" applyFill="1" applyAlignment="1">
      <alignment horizontal="center" vertical="center" wrapText="1"/>
    </xf>
    <xf numFmtId="0" fontId="82" fillId="32" borderId="0" xfId="0" applyFont="1" applyFill="1" applyAlignment="1">
      <alignment horizontal="left" vertical="center"/>
    </xf>
    <xf numFmtId="0" fontId="9" fillId="0" borderId="37" xfId="0" applyFont="1" applyBorder="1" applyAlignment="1">
      <alignment horizontal="center" vertical="center" textRotation="90" wrapText="1"/>
    </xf>
    <xf numFmtId="0" fontId="9" fillId="0" borderId="38" xfId="0" applyFont="1" applyBorder="1" applyAlignment="1">
      <alignment horizontal="center" vertical="center" textRotation="90" wrapText="1"/>
    </xf>
    <xf numFmtId="0" fontId="9" fillId="0" borderId="30" xfId="0" applyFont="1" applyBorder="1" applyAlignment="1">
      <alignment horizontal="center" vertical="center" textRotation="90" wrapText="1"/>
    </xf>
    <xf numFmtId="0" fontId="3" fillId="29" borderId="4" xfId="0" applyFont="1" applyFill="1" applyBorder="1" applyAlignment="1">
      <alignment vertical="center"/>
    </xf>
    <xf numFmtId="0" fontId="3" fillId="29" borderId="28" xfId="0" applyFont="1" applyFill="1" applyBorder="1" applyAlignment="1">
      <alignment vertical="center"/>
    </xf>
    <xf numFmtId="0" fontId="3" fillId="29" borderId="5" xfId="0" applyFont="1" applyFill="1" applyBorder="1" applyAlignment="1">
      <alignment vertical="center"/>
    </xf>
    <xf numFmtId="0" fontId="26" fillId="0" borderId="6" xfId="0" applyFont="1" applyBorder="1" applyAlignment="1">
      <alignment horizontal="center" vertical="center" textRotation="90" wrapText="1"/>
    </xf>
    <xf numFmtId="0" fontId="32" fillId="0" borderId="0" xfId="0" applyFont="1" applyAlignment="1">
      <alignment horizontal="center"/>
    </xf>
    <xf numFmtId="0" fontId="0" fillId="39" borderId="155" xfId="0" applyFill="1" applyBorder="1" applyAlignment="1">
      <alignment horizontal="center"/>
    </xf>
    <xf numFmtId="0" fontId="0" fillId="39" borderId="156" xfId="0" applyFill="1" applyBorder="1" applyAlignment="1">
      <alignment horizontal="center"/>
    </xf>
    <xf numFmtId="0" fontId="0" fillId="39" borderId="157" xfId="0" applyFill="1" applyBorder="1" applyAlignment="1">
      <alignment horizontal="center"/>
    </xf>
    <xf numFmtId="168" fontId="44" fillId="39" borderId="97" xfId="0" applyNumberFormat="1" applyFont="1" applyFill="1" applyBorder="1" applyAlignment="1">
      <alignment horizontal="center"/>
    </xf>
    <xf numFmtId="0" fontId="0" fillId="0" borderId="158" xfId="0" applyBorder="1" applyAlignment="1">
      <alignment horizontal="center"/>
    </xf>
    <xf numFmtId="0" fontId="0" fillId="0" borderId="28" xfId="0" applyBorder="1" applyAlignment="1">
      <alignment horizontal="center"/>
    </xf>
    <xf numFmtId="0" fontId="0" fillId="0" borderId="159" xfId="0" applyBorder="1" applyAlignment="1">
      <alignment horizontal="center"/>
    </xf>
    <xf numFmtId="0" fontId="79" fillId="0" borderId="171" xfId="0" applyFont="1" applyBorder="1" applyAlignment="1">
      <alignment horizontal="center" vertical="center" textRotation="90" wrapText="1"/>
    </xf>
    <xf numFmtId="0" fontId="79" fillId="0" borderId="99" xfId="0" applyFont="1" applyBorder="1" applyAlignment="1">
      <alignment horizontal="center" vertical="center" textRotation="90" wrapText="1"/>
    </xf>
    <xf numFmtId="0" fontId="79" fillId="0" borderId="180" xfId="0" applyFont="1" applyBorder="1" applyAlignment="1">
      <alignment horizontal="center" vertical="center" textRotation="90" wrapText="1"/>
    </xf>
    <xf numFmtId="168" fontId="0" fillId="37" borderId="158" xfId="0" applyNumberFormat="1" applyFill="1" applyBorder="1" applyAlignment="1">
      <alignment horizontal="center"/>
    </xf>
    <xf numFmtId="168" fontId="0" fillId="37" borderId="28" xfId="0" applyNumberFormat="1" applyFill="1" applyBorder="1" applyAlignment="1">
      <alignment horizontal="center"/>
    </xf>
    <xf numFmtId="168" fontId="0" fillId="37" borderId="159" xfId="0" applyNumberFormat="1" applyFill="1" applyBorder="1" applyAlignment="1">
      <alignment horizontal="center"/>
    </xf>
    <xf numFmtId="0" fontId="0" fillId="37" borderId="155" xfId="0" applyFill="1" applyBorder="1" applyAlignment="1">
      <alignment horizontal="center"/>
    </xf>
    <xf numFmtId="0" fontId="0" fillId="37" borderId="156" xfId="0" applyFill="1" applyBorder="1" applyAlignment="1">
      <alignment horizontal="center"/>
    </xf>
    <xf numFmtId="0" fontId="0" fillId="37" borderId="157" xfId="0" applyFill="1" applyBorder="1" applyAlignment="1">
      <alignment horizontal="center"/>
    </xf>
    <xf numFmtId="0" fontId="79" fillId="0" borderId="43" xfId="0" applyFont="1" applyBorder="1" applyAlignment="1">
      <alignment horizontal="center" vertical="center" wrapText="1"/>
    </xf>
    <xf numFmtId="0" fontId="79" fillId="0" borderId="42" xfId="0" applyFont="1" applyBorder="1" applyAlignment="1">
      <alignment horizontal="center" vertical="center" wrapText="1"/>
    </xf>
    <xf numFmtId="0" fontId="79" fillId="0" borderId="1" xfId="0" applyFont="1" applyBorder="1" applyAlignment="1">
      <alignment horizontal="center" vertical="center" wrapText="1"/>
    </xf>
    <xf numFmtId="0" fontId="79" fillId="0" borderId="2" xfId="0" applyFont="1" applyBorder="1" applyAlignment="1">
      <alignment horizontal="center" vertical="center" wrapText="1"/>
    </xf>
    <xf numFmtId="0" fontId="32" fillId="0" borderId="0" xfId="0" applyFont="1" applyAlignment="1">
      <alignment horizontal="center" vertical="top"/>
    </xf>
    <xf numFmtId="0" fontId="148" fillId="35" borderId="147" xfId="0" applyFont="1" applyFill="1" applyBorder="1" applyAlignment="1">
      <alignment horizontal="center" vertical="center"/>
    </xf>
    <xf numFmtId="0" fontId="148" fillId="35" borderId="148" xfId="0" applyFont="1" applyFill="1" applyBorder="1" applyAlignment="1">
      <alignment horizontal="center" vertical="center"/>
    </xf>
    <xf numFmtId="0" fontId="148" fillId="35" borderId="149" xfId="0" applyFont="1" applyFill="1" applyBorder="1" applyAlignment="1">
      <alignment horizontal="center" vertical="center"/>
    </xf>
    <xf numFmtId="0" fontId="148" fillId="35" borderId="150" xfId="0" applyFont="1" applyFill="1" applyBorder="1" applyAlignment="1">
      <alignment horizontal="center" vertical="center"/>
    </xf>
    <xf numFmtId="0" fontId="148" fillId="35" borderId="151" xfId="0" applyFont="1" applyFill="1" applyBorder="1" applyAlignment="1">
      <alignment horizontal="center" vertical="center"/>
    </xf>
    <xf numFmtId="0" fontId="138" fillId="35" borderId="132" xfId="0" applyFont="1" applyFill="1" applyBorder="1" applyAlignment="1">
      <alignment horizontal="left" vertical="center"/>
    </xf>
    <xf numFmtId="0" fontId="138" fillId="35" borderId="133" xfId="0" applyFont="1" applyFill="1" applyBorder="1" applyAlignment="1">
      <alignment horizontal="left" vertical="center"/>
    </xf>
    <xf numFmtId="0" fontId="138" fillId="35" borderId="135" xfId="0" applyFont="1" applyFill="1" applyBorder="1" applyAlignment="1">
      <alignment horizontal="left" vertical="center"/>
    </xf>
    <xf numFmtId="0" fontId="138" fillId="35" borderId="134" xfId="0" applyFont="1" applyFill="1" applyBorder="1" applyAlignment="1">
      <alignment horizontal="left" vertical="center"/>
    </xf>
    <xf numFmtId="0" fontId="138" fillId="35" borderId="0" xfId="0" applyFont="1" applyFill="1" applyAlignment="1">
      <alignment horizontal="left" vertical="center"/>
    </xf>
    <xf numFmtId="0" fontId="138" fillId="35" borderId="136" xfId="0" applyFont="1" applyFill="1" applyBorder="1" applyAlignment="1">
      <alignment horizontal="left" vertical="center"/>
    </xf>
    <xf numFmtId="0" fontId="149" fillId="35" borderId="133" xfId="0" applyFont="1" applyFill="1" applyBorder="1" applyAlignment="1">
      <alignment horizontal="center" vertical="center" wrapText="1"/>
    </xf>
    <xf numFmtId="0" fontId="149" fillId="35" borderId="0" xfId="0" applyFont="1" applyFill="1" applyAlignment="1">
      <alignment horizontal="center" vertical="center" wrapText="1"/>
    </xf>
    <xf numFmtId="0" fontId="149" fillId="35" borderId="152" xfId="0" applyFont="1" applyFill="1" applyBorder="1" applyAlignment="1">
      <alignment horizontal="center" vertical="center" wrapText="1"/>
    </xf>
    <xf numFmtId="0" fontId="149" fillId="35" borderId="153" xfId="0" applyFont="1" applyFill="1" applyBorder="1" applyAlignment="1">
      <alignment horizontal="center" vertical="center" wrapText="1"/>
    </xf>
    <xf numFmtId="0" fontId="148" fillId="35" borderId="146" xfId="0" applyFont="1" applyFill="1" applyBorder="1" applyAlignment="1">
      <alignment horizontal="center" vertical="center"/>
    </xf>
    <xf numFmtId="0" fontId="148" fillId="35" borderId="143" xfId="0" applyFont="1" applyFill="1" applyBorder="1" applyAlignment="1">
      <alignment horizontal="left" wrapText="1"/>
    </xf>
    <xf numFmtId="0" fontId="148" fillId="35" borderId="144" xfId="0" applyFont="1" applyFill="1" applyBorder="1" applyAlignment="1">
      <alignment horizontal="left" wrapText="1"/>
    </xf>
    <xf numFmtId="0" fontId="148" fillId="35" borderId="145" xfId="0" applyFont="1" applyFill="1" applyBorder="1" applyAlignment="1">
      <alignment horizontal="left" wrapText="1"/>
    </xf>
    <xf numFmtId="0" fontId="148" fillId="35" borderId="137" xfId="0" applyFont="1" applyFill="1" applyBorder="1" applyAlignment="1">
      <alignment horizontal="left" wrapText="1"/>
    </xf>
    <xf numFmtId="0" fontId="148" fillId="35" borderId="138" xfId="0" applyFont="1" applyFill="1" applyBorder="1" applyAlignment="1">
      <alignment horizontal="left" wrapText="1"/>
    </xf>
    <xf numFmtId="0" fontId="148" fillId="35" borderId="139" xfId="0" applyFont="1" applyFill="1" applyBorder="1" applyAlignment="1">
      <alignment horizontal="left" wrapText="1"/>
    </xf>
    <xf numFmtId="0" fontId="66" fillId="35" borderId="137" xfId="0" applyFont="1" applyFill="1" applyBorder="1" applyAlignment="1">
      <alignment horizontal="left" wrapText="1"/>
    </xf>
    <xf numFmtId="0" fontId="66" fillId="35" borderId="138" xfId="0" applyFont="1" applyFill="1" applyBorder="1" applyAlignment="1">
      <alignment horizontal="left" wrapText="1"/>
    </xf>
    <xf numFmtId="0" fontId="66" fillId="35" borderId="139" xfId="0" applyFont="1" applyFill="1" applyBorder="1" applyAlignment="1">
      <alignment horizontal="left" wrapText="1"/>
    </xf>
    <xf numFmtId="0" fontId="66" fillId="35" borderId="140" xfId="0" applyFont="1" applyFill="1" applyBorder="1" applyAlignment="1">
      <alignment horizontal="left" wrapText="1"/>
    </xf>
    <xf numFmtId="0" fontId="66" fillId="35" borderId="141" xfId="0" applyFont="1" applyFill="1" applyBorder="1" applyAlignment="1">
      <alignment horizontal="left" wrapText="1"/>
    </xf>
    <xf numFmtId="0" fontId="66" fillId="35" borderId="142" xfId="0" applyFont="1" applyFill="1" applyBorder="1" applyAlignment="1">
      <alignment horizontal="left" wrapText="1"/>
    </xf>
    <xf numFmtId="0" fontId="69" fillId="0" borderId="0" xfId="0" applyFont="1" applyAlignment="1">
      <alignment horizontal="left" vertical="center" wrapText="1"/>
    </xf>
    <xf numFmtId="0" fontId="0" fillId="0" borderId="0" xfId="0" applyAlignment="1">
      <alignment horizontal="left" vertical="center" wrapText="1"/>
    </xf>
    <xf numFmtId="0" fontId="0" fillId="0" borderId="95" xfId="0" applyBorder="1" applyAlignment="1">
      <alignment vertical="center" wrapText="1"/>
    </xf>
    <xf numFmtId="0" fontId="0" fillId="0" borderId="96" xfId="0" applyBorder="1" applyAlignment="1">
      <alignment vertical="center" wrapText="1"/>
    </xf>
    <xf numFmtId="0" fontId="0" fillId="0" borderId="99" xfId="0" applyBorder="1" applyAlignment="1">
      <alignment vertical="center" wrapText="1"/>
    </xf>
    <xf numFmtId="0" fontId="0" fillId="0" borderId="0" xfId="0" applyAlignment="1">
      <alignment vertical="center" wrapText="1"/>
    </xf>
    <xf numFmtId="0" fontId="0" fillId="0" borderId="100" xfId="0" applyBorder="1" applyAlignment="1">
      <alignment horizontal="center" vertical="center" wrapText="1"/>
    </xf>
    <xf numFmtId="0" fontId="0" fillId="0" borderId="101" xfId="0" applyBorder="1" applyAlignment="1">
      <alignment horizontal="center" vertical="center" wrapText="1"/>
    </xf>
    <xf numFmtId="0" fontId="0" fillId="0" borderId="102" xfId="0" applyBorder="1" applyAlignment="1">
      <alignment horizontal="center" vertical="center" wrapText="1"/>
    </xf>
    <xf numFmtId="0" fontId="0" fillId="0" borderId="103" xfId="0" applyBorder="1" applyAlignment="1">
      <alignment horizontal="center" vertical="center" wrapText="1"/>
    </xf>
    <xf numFmtId="0" fontId="0" fillId="0" borderId="0" xfId="0" applyAlignment="1">
      <alignment horizontal="center" vertical="center" wrapText="1"/>
    </xf>
    <xf numFmtId="0" fontId="41" fillId="0" borderId="0" xfId="0" applyFont="1" applyAlignment="1">
      <alignment horizontal="left" vertical="top" wrapText="1"/>
    </xf>
    <xf numFmtId="0" fontId="3" fillId="0" borderId="6" xfId="0" applyFont="1" applyBorder="1" applyAlignment="1">
      <alignment horizontal="left" vertical="center" wrapText="1"/>
    </xf>
    <xf numFmtId="0" fontId="32" fillId="0" borderId="6" xfId="0" applyFont="1" applyBorder="1" applyAlignment="1">
      <alignment horizontal="left" vertical="center"/>
    </xf>
    <xf numFmtId="0" fontId="3" fillId="0" borderId="6" xfId="0" applyFont="1" applyBorder="1" applyAlignment="1">
      <alignment horizontal="center" vertical="center" wrapText="1"/>
    </xf>
    <xf numFmtId="0" fontId="3" fillId="0" borderId="6" xfId="0" applyFont="1" applyBorder="1" applyAlignment="1">
      <alignment horizontal="center" vertical="center"/>
    </xf>
    <xf numFmtId="0" fontId="3" fillId="14" borderId="6" xfId="0" applyFont="1" applyFill="1" applyBorder="1" applyAlignment="1">
      <alignment horizontal="center" vertical="center"/>
    </xf>
    <xf numFmtId="0" fontId="145" fillId="36" borderId="0" xfId="0" applyFont="1" applyFill="1" applyAlignment="1">
      <alignment horizontal="center"/>
    </xf>
    <xf numFmtId="0" fontId="185" fillId="36" borderId="217" xfId="0" applyFont="1" applyFill="1" applyBorder="1" applyAlignment="1">
      <alignment horizontal="center"/>
    </xf>
    <xf numFmtId="0" fontId="185" fillId="36" borderId="218" xfId="0" applyFont="1" applyFill="1" applyBorder="1" applyAlignment="1">
      <alignment horizontal="center"/>
    </xf>
    <xf numFmtId="9" fontId="145" fillId="36" borderId="219" xfId="9" applyFont="1" applyFill="1" applyBorder="1"/>
    <xf numFmtId="9" fontId="145" fillId="36" borderId="220" xfId="9" applyFont="1" applyFill="1" applyBorder="1"/>
    <xf numFmtId="9" fontId="145" fillId="36" borderId="221" xfId="9" applyFont="1" applyFill="1" applyBorder="1"/>
    <xf numFmtId="9" fontId="145" fillId="36" borderId="222" xfId="9" applyFont="1" applyFill="1" applyBorder="1"/>
    <xf numFmtId="9" fontId="145" fillId="36" borderId="223" xfId="9" applyFont="1" applyFill="1" applyBorder="1"/>
    <xf numFmtId="9" fontId="145" fillId="36" borderId="224" xfId="9" applyFont="1" applyFill="1" applyBorder="1"/>
    <xf numFmtId="0" fontId="185" fillId="36" borderId="225" xfId="0" applyFont="1" applyFill="1" applyBorder="1" applyAlignment="1">
      <alignment horizontal="center"/>
    </xf>
    <xf numFmtId="9" fontId="145" fillId="36" borderId="226" xfId="9" applyFont="1" applyFill="1" applyBorder="1"/>
    <xf numFmtId="9" fontId="145" fillId="36" borderId="227" xfId="9" applyFont="1" applyFill="1" applyBorder="1"/>
    <xf numFmtId="9" fontId="146" fillId="36" borderId="227" xfId="9" applyFont="1" applyFill="1" applyBorder="1"/>
    <xf numFmtId="9" fontId="147" fillId="36" borderId="227" xfId="9" applyFont="1" applyFill="1" applyBorder="1"/>
    <xf numFmtId="0" fontId="146" fillId="36" borderId="231" xfId="0" applyFont="1" applyFill="1" applyBorder="1" applyAlignment="1"/>
    <xf numFmtId="0" fontId="146" fillId="36" borderId="232" xfId="0" applyFont="1" applyFill="1" applyBorder="1" applyAlignment="1"/>
    <xf numFmtId="0" fontId="145" fillId="36" borderId="231" xfId="0" applyFont="1" applyFill="1" applyBorder="1" applyAlignment="1"/>
    <xf numFmtId="0" fontId="145" fillId="36" borderId="232" xfId="0" applyFont="1" applyFill="1" applyBorder="1" applyAlignment="1"/>
    <xf numFmtId="0" fontId="147" fillId="36" borderId="231" xfId="0" applyFont="1" applyFill="1" applyBorder="1" applyAlignment="1"/>
    <xf numFmtId="0" fontId="147" fillId="36" borderId="232" xfId="0" applyFont="1" applyFill="1" applyBorder="1" applyAlignment="1"/>
    <xf numFmtId="0" fontId="185" fillId="36" borderId="229" xfId="0" applyFont="1" applyFill="1" applyBorder="1" applyAlignment="1"/>
    <xf numFmtId="0" fontId="185" fillId="36" borderId="230" xfId="0" applyFont="1" applyFill="1" applyBorder="1" applyAlignment="1"/>
    <xf numFmtId="0" fontId="184" fillId="36" borderId="233" xfId="0" applyFont="1" applyFill="1" applyBorder="1" applyAlignment="1"/>
    <xf numFmtId="0" fontId="184" fillId="36" borderId="234" xfId="0" applyFont="1" applyFill="1" applyBorder="1" applyAlignment="1"/>
    <xf numFmtId="9" fontId="184" fillId="36" borderId="228" xfId="9" applyFont="1" applyFill="1" applyBorder="1"/>
  </cellXfs>
  <cellStyles count="20">
    <cellStyle name="40% - Énfasis3" xfId="10" builtinId="39"/>
    <cellStyle name="60% - Énfasis1" xfId="4" builtinId="32"/>
    <cellStyle name="60% - Énfasis4" xfId="5" builtinId="44"/>
    <cellStyle name="60% - Énfasis6" xfId="7" builtinId="52"/>
    <cellStyle name="Bueno" xfId="1" builtinId="26"/>
    <cellStyle name="Énfasis1" xfId="8" builtinId="29"/>
    <cellStyle name="Énfasis6" xfId="6" builtinId="49"/>
    <cellStyle name="Hipervínculo" xfId="18" builtinId="8"/>
    <cellStyle name="Hyperlink" xfId="15" xr:uid="{00000000-0005-0000-0000-000007000000}"/>
    <cellStyle name="Hyperlink 2" xfId="16" xr:uid="{00000000-0005-0000-0000-000008000000}"/>
    <cellStyle name="Incorrecto" xfId="2" builtinId="27"/>
    <cellStyle name="Millares" xfId="17" builtinId="3"/>
    <cellStyle name="Millares [0]" xfId="19" builtinId="6"/>
    <cellStyle name="Neutral" xfId="3" builtinId="28"/>
    <cellStyle name="Normal" xfId="0" builtinId="0"/>
    <cellStyle name="Normal 2" xfId="11" xr:uid="{00000000-0005-0000-0000-00000B000000}"/>
    <cellStyle name="Porcentagem 2" xfId="12" xr:uid="{00000000-0005-0000-0000-00000C000000}"/>
    <cellStyle name="Porcentaje" xfId="9" builtinId="5"/>
    <cellStyle name="Standard_Fueltypes" xfId="13" xr:uid="{00000000-0005-0000-0000-000010000000}"/>
    <cellStyle name="Vírgula 2" xfId="14" xr:uid="{00000000-0005-0000-0000-000011000000}"/>
  </cellStyles>
  <dxfs count="5">
    <dxf>
      <fill>
        <patternFill>
          <bgColor rgb="FF00B050"/>
        </patternFill>
      </fill>
    </dxf>
    <dxf>
      <fill>
        <patternFill>
          <bgColor rgb="FF00B0F0"/>
        </patternFill>
      </fill>
    </dxf>
    <dxf>
      <fill>
        <patternFill>
          <bgColor rgb="FF00B050"/>
        </patternFill>
      </fill>
    </dxf>
    <dxf>
      <fill>
        <patternFill>
          <bgColor rgb="FF00B0F0"/>
        </patternFill>
      </fill>
    </dxf>
    <dxf>
      <font>
        <color theme="9"/>
      </font>
      <fill>
        <patternFill>
          <bgColor rgb="FFFFFF00"/>
        </patternFill>
      </fill>
    </dxf>
  </dxfs>
  <tableStyles count="0" defaultTableStyle="TableStyleMedium2" defaultPivotStyle="PivotStyleLight16"/>
  <colors>
    <mruColors>
      <color rgb="FF000000"/>
      <color rgb="FF6E8CDC"/>
      <color rgb="FFFFFFFF"/>
      <color rgb="FFB2B2B2"/>
      <color rgb="FF29B95C"/>
      <color rgb="FF339933"/>
      <color rgb="FFC189F7"/>
      <color rgb="FF7D3FAE"/>
      <color rgb="FF7B7DDF"/>
      <color rgb="FF1F4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7.xml"/><Relationship Id="rId26" Type="http://schemas.openxmlformats.org/officeDocument/2006/relationships/worksheet" Target="worksheets/sheet25.xml"/><Relationship Id="rId39" Type="http://schemas.openxmlformats.org/officeDocument/2006/relationships/worksheet" Target="worksheets/sheet34.xml"/><Relationship Id="rId3" Type="http://schemas.openxmlformats.org/officeDocument/2006/relationships/worksheet" Target="worksheets/sheet3.xml"/><Relationship Id="rId21" Type="http://schemas.openxmlformats.org/officeDocument/2006/relationships/worksheet" Target="worksheets/sheet20.xml"/><Relationship Id="rId34" Type="http://schemas.openxmlformats.org/officeDocument/2006/relationships/chartsheet" Target="chartsheets/sheet5.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hartsheet" Target="chartsheets/sheet1.xml"/><Relationship Id="rId25" Type="http://schemas.openxmlformats.org/officeDocument/2006/relationships/worksheet" Target="worksheets/sheet24.xml"/><Relationship Id="rId33" Type="http://schemas.openxmlformats.org/officeDocument/2006/relationships/chartsheet" Target="chartsheets/sheet4.xml"/><Relationship Id="rId38"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19.xml"/><Relationship Id="rId29" Type="http://schemas.openxmlformats.org/officeDocument/2006/relationships/chartsheet" Target="chartsheets/sheet2.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3.xml"/><Relationship Id="rId32" Type="http://schemas.openxmlformats.org/officeDocument/2006/relationships/worksheet" Target="worksheets/sheet29.xml"/><Relationship Id="rId37" Type="http://schemas.openxmlformats.org/officeDocument/2006/relationships/worksheet" Target="worksheets/sheet3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2.xml"/><Relationship Id="rId28" Type="http://schemas.openxmlformats.org/officeDocument/2006/relationships/worksheet" Target="worksheets/sheet27.xml"/><Relationship Id="rId36" Type="http://schemas.openxmlformats.org/officeDocument/2006/relationships/worksheet" Target="worksheets/sheet31.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chartsheet" Target="chartsheets/sheet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1.xml"/><Relationship Id="rId27" Type="http://schemas.openxmlformats.org/officeDocument/2006/relationships/worksheet" Target="worksheets/sheet26.xml"/><Relationship Id="rId30" Type="http://schemas.openxmlformats.org/officeDocument/2006/relationships/worksheet" Target="worksheets/sheet28.xml"/><Relationship Id="rId35" Type="http://schemas.openxmlformats.org/officeDocument/2006/relationships/worksheet" Target="worksheets/sheet30.xml"/><Relationship Id="rId43"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Ex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378824277392423E-2"/>
          <c:y val="5.0925925925925923E-2"/>
          <c:w val="0.92071045724547584"/>
          <c:h val="0.84731481481481485"/>
        </c:manualLayout>
      </c:layout>
      <c:barChart>
        <c:barDir val="col"/>
        <c:grouping val="clustered"/>
        <c:varyColors val="0"/>
        <c:ser>
          <c:idx val="0"/>
          <c:order val="0"/>
          <c:tx>
            <c:strRef>
              <c:f>'2030'!$C$2</c:f>
              <c:strCache>
                <c:ptCount val="1"/>
                <c:pt idx="0">
                  <c:v>Global</c:v>
                </c:pt>
              </c:strCache>
            </c:strRef>
          </c:tx>
          <c:spPr>
            <a:solidFill>
              <a:schemeClr val="bg2">
                <a:lumMod val="75000"/>
              </a:schemeClr>
            </a:solidFill>
            <a:ln>
              <a:noFill/>
            </a:ln>
            <a:effectLst/>
          </c:spPr>
          <c:invertIfNegative val="0"/>
          <c:dLbls>
            <c:dLbl>
              <c:idx val="7"/>
              <c:delete val="1"/>
              <c:extLst>
                <c:ext xmlns:c15="http://schemas.microsoft.com/office/drawing/2012/chart" uri="{CE6537A1-D6FC-4f65-9D91-7224C49458BB}"/>
                <c:ext xmlns:c16="http://schemas.microsoft.com/office/drawing/2014/chart" uri="{C3380CC4-5D6E-409C-BE32-E72D297353CC}">
                  <c16:uniqueId val="{00000002-BCF6-413D-A628-210B04D6AD58}"/>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E1-4320-AB87-D081B3F4E441}"/>
                </c:ext>
              </c:extLst>
            </c:dLbl>
            <c:dLbl>
              <c:idx val="9"/>
              <c:delete val="1"/>
              <c:extLst>
                <c:ext xmlns:c15="http://schemas.microsoft.com/office/drawing/2012/chart" uri="{CE6537A1-D6FC-4f65-9D91-7224C49458BB}"/>
                <c:ext xmlns:c16="http://schemas.microsoft.com/office/drawing/2014/chart" uri="{C3380CC4-5D6E-409C-BE32-E72D297353CC}">
                  <c16:uniqueId val="{00000005-B2E1-4320-AB87-D081B3F4E441}"/>
                </c:ext>
              </c:extLst>
            </c:dLbl>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'2030'!$B$4:$B$12</c:f>
              <c:numCache>
                <c:formatCode>General</c:formatCode>
                <c:ptCount val="9"/>
                <c:pt idx="0">
                  <c:v>1990</c:v>
                </c:pt>
                <c:pt idx="2">
                  <c:v>2000</c:v>
                </c:pt>
                <c:pt idx="4">
                  <c:v>2010</c:v>
                </c:pt>
                <c:pt idx="6">
                  <c:v>2020</c:v>
                </c:pt>
                <c:pt idx="8">
                  <c:v>2030</c:v>
                </c:pt>
              </c:numCache>
            </c:numRef>
          </c:cat>
          <c:val>
            <c:numRef>
              <c:f>'2030'!$C$4:$C$12</c:f>
              <c:numCache>
                <c:formatCode>General</c:formatCode>
                <c:ptCount val="9"/>
                <c:pt idx="0">
                  <c:v>756</c:v>
                </c:pt>
                <c:pt idx="2">
                  <c:v>711</c:v>
                </c:pt>
                <c:pt idx="4">
                  <c:v>634</c:v>
                </c:pt>
                <c:pt idx="6">
                  <c:v>624</c:v>
                </c:pt>
                <c:pt idx="7">
                  <c:v>0</c:v>
                </c:pt>
              </c:numCache>
            </c:numRef>
          </c:val>
          <c:extLst>
            <c:ext xmlns:c16="http://schemas.microsoft.com/office/drawing/2014/chart" uri="{C3380CC4-5D6E-409C-BE32-E72D297353CC}">
              <c16:uniqueId val="{00000000-B2E1-4320-AB87-D081B3F4E441}"/>
            </c:ext>
          </c:extLst>
        </c:ser>
        <c:ser>
          <c:idx val="1"/>
          <c:order val="1"/>
          <c:tx>
            <c:strRef>
              <c:f>'2030'!$D$2</c:f>
              <c:strCache>
                <c:ptCount val="1"/>
                <c:pt idx="0">
                  <c:v>LAyC</c:v>
                </c:pt>
              </c:strCache>
            </c:strRef>
          </c:tx>
          <c:spPr>
            <a:solidFill>
              <a:schemeClr val="bg2">
                <a:lumMod val="90000"/>
              </a:schemeClr>
            </a:solidFill>
            <a:ln>
              <a:noFill/>
            </a:ln>
            <a:effectLst/>
          </c:spPr>
          <c:invertIfNegative val="0"/>
          <c:dPt>
            <c:idx val="8"/>
            <c:invertIfNegative val="0"/>
            <c:bubble3D val="0"/>
            <c:spPr>
              <a:solidFill>
                <a:srgbClr val="92D050"/>
              </a:solidFill>
              <a:ln>
                <a:noFill/>
              </a:ln>
              <a:effectLst/>
            </c:spPr>
            <c:extLst>
              <c:ext xmlns:c16="http://schemas.microsoft.com/office/drawing/2014/chart" uri="{C3380CC4-5D6E-409C-BE32-E72D297353CC}">
                <c16:uniqueId val="{00000007-B2E1-4320-AB87-D081B3F4E441}"/>
              </c:ext>
            </c:extLst>
          </c:dPt>
          <c:dLbls>
            <c:dLbl>
              <c:idx val="7"/>
              <c:delete val="1"/>
              <c:extLst>
                <c:ext xmlns:c15="http://schemas.microsoft.com/office/drawing/2012/chart" uri="{CE6537A1-D6FC-4f65-9D91-7224C49458BB}"/>
                <c:ext xmlns:c16="http://schemas.microsoft.com/office/drawing/2014/chart" uri="{C3380CC4-5D6E-409C-BE32-E72D297353CC}">
                  <c16:uniqueId val="{00000000-C842-446B-935A-1C477076C118}"/>
                </c:ext>
              </c:extLst>
            </c:dLbl>
            <c:dLbl>
              <c:idx val="8"/>
              <c:layout>
                <c:manualLayout>
                  <c:x val="0"/>
                  <c:y val="0.183703703703703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E1-4320-AB87-D081B3F4E441}"/>
                </c:ext>
              </c:extLst>
            </c:dLbl>
            <c:dLbl>
              <c:idx val="9"/>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E1-4320-AB87-D081B3F4E441}"/>
                </c:ext>
              </c:extLst>
            </c:dLbl>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'2030'!$B$4:$B$12</c:f>
              <c:numCache>
                <c:formatCode>General</c:formatCode>
                <c:ptCount val="9"/>
                <c:pt idx="0">
                  <c:v>1990</c:v>
                </c:pt>
                <c:pt idx="2">
                  <c:v>2000</c:v>
                </c:pt>
                <c:pt idx="4">
                  <c:v>2010</c:v>
                </c:pt>
                <c:pt idx="6">
                  <c:v>2020</c:v>
                </c:pt>
                <c:pt idx="8">
                  <c:v>2030</c:v>
                </c:pt>
              </c:numCache>
            </c:numRef>
          </c:cat>
          <c:val>
            <c:numRef>
              <c:f>'2030'!$D$4:$D$12</c:f>
              <c:numCache>
                <c:formatCode>General</c:formatCode>
                <c:ptCount val="9"/>
                <c:pt idx="0">
                  <c:v>709</c:v>
                </c:pt>
                <c:pt idx="2">
                  <c:v>652</c:v>
                </c:pt>
                <c:pt idx="4">
                  <c:v>603</c:v>
                </c:pt>
                <c:pt idx="6">
                  <c:v>589</c:v>
                </c:pt>
                <c:pt idx="7">
                  <c:v>0</c:v>
                </c:pt>
                <c:pt idx="8">
                  <c:v>500</c:v>
                </c:pt>
              </c:numCache>
            </c:numRef>
          </c:val>
          <c:extLst>
            <c:ext xmlns:c16="http://schemas.microsoft.com/office/drawing/2014/chart" uri="{C3380CC4-5D6E-409C-BE32-E72D297353CC}">
              <c16:uniqueId val="{00000001-B2E1-4320-AB87-D081B3F4E441}"/>
            </c:ext>
          </c:extLst>
        </c:ser>
        <c:ser>
          <c:idx val="2"/>
          <c:order val="2"/>
          <c:tx>
            <c:strRef>
              <c:f>'2030'!$E$2</c:f>
              <c:strCache>
                <c:ptCount val="1"/>
                <c:pt idx="0">
                  <c:v>Argentina</c:v>
                </c:pt>
              </c:strCache>
            </c:strRef>
          </c:tx>
          <c:spPr>
            <a:solidFill>
              <a:srgbClr val="92D050"/>
            </a:solidFill>
            <a:ln>
              <a:noFill/>
            </a:ln>
            <a:effectLst/>
          </c:spPr>
          <c:invertIfNegative val="0"/>
          <c:dLbls>
            <c:dLbl>
              <c:idx val="8"/>
              <c:layout>
                <c:manualLayout>
                  <c:x val="0"/>
                  <c:y val="0.188333333333333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2E1-4320-AB87-D081B3F4E441}"/>
                </c:ext>
              </c:extLst>
            </c:dLbl>
            <c:dLbl>
              <c:idx val="9"/>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E1-4320-AB87-D081B3F4E441}"/>
                </c:ext>
              </c:extLst>
            </c:dLbl>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'2030'!$B$4:$B$12</c:f>
              <c:numCache>
                <c:formatCode>General</c:formatCode>
                <c:ptCount val="9"/>
                <c:pt idx="0">
                  <c:v>1990</c:v>
                </c:pt>
                <c:pt idx="2">
                  <c:v>2000</c:v>
                </c:pt>
                <c:pt idx="4">
                  <c:v>2010</c:v>
                </c:pt>
                <c:pt idx="6">
                  <c:v>2020</c:v>
                </c:pt>
                <c:pt idx="8">
                  <c:v>2030</c:v>
                </c:pt>
              </c:numCache>
            </c:numRef>
          </c:cat>
          <c:val>
            <c:numRef>
              <c:f>'2030'!$E$4:$E$12</c:f>
              <c:numCache>
                <c:formatCode>General</c:formatCode>
                <c:ptCount val="9"/>
                <c:pt idx="0">
                  <c:v>612</c:v>
                </c:pt>
                <c:pt idx="2">
                  <c:v>601</c:v>
                </c:pt>
                <c:pt idx="4">
                  <c:v>570</c:v>
                </c:pt>
                <c:pt idx="6">
                  <c:v>507</c:v>
                </c:pt>
              </c:numCache>
            </c:numRef>
          </c:val>
          <c:extLst>
            <c:ext xmlns:c16="http://schemas.microsoft.com/office/drawing/2014/chart" uri="{C3380CC4-5D6E-409C-BE32-E72D297353CC}">
              <c16:uniqueId val="{00000002-B2E1-4320-AB87-D081B3F4E441}"/>
            </c:ext>
          </c:extLst>
        </c:ser>
        <c:dLbls>
          <c:showLegendKey val="0"/>
          <c:showVal val="0"/>
          <c:showCatName val="0"/>
          <c:showSerName val="0"/>
          <c:showPercent val="0"/>
          <c:showBubbleSize val="0"/>
        </c:dLbls>
        <c:gapWidth val="0"/>
        <c:overlap val="-5"/>
        <c:axId val="969358352"/>
        <c:axId val="637966296"/>
      </c:barChart>
      <c:catAx>
        <c:axId val="9693583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L"/>
          </a:p>
        </c:txPr>
        <c:crossAx val="637966296"/>
        <c:crosses val="autoZero"/>
        <c:auto val="1"/>
        <c:lblAlgn val="ctr"/>
        <c:lblOffset val="100"/>
        <c:noMultiLvlLbl val="0"/>
      </c:catAx>
      <c:valAx>
        <c:axId val="637966296"/>
        <c:scaling>
          <c:orientation val="minMax"/>
        </c:scaling>
        <c:delete val="0"/>
        <c:axPos val="l"/>
        <c:majorGridlines>
          <c:spPr>
            <a:ln w="9525" cap="flat" cmpd="sng" algn="ctr">
              <a:no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CL"/>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96935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s-CL"/>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3010323862167725"/>
          <c:y val="2.9532875414845203E-2"/>
          <c:w val="0.84232883675046466"/>
          <c:h val="0.81834835890427338"/>
        </c:manualLayout>
      </c:layout>
      <c:lineChart>
        <c:grouping val="standard"/>
        <c:varyColors val="0"/>
        <c:ser>
          <c:idx val="1"/>
          <c:order val="0"/>
          <c:tx>
            <c:strRef>
              <c:f>LB!$B$48</c:f>
              <c:strCache>
                <c:ptCount val="1"/>
                <c:pt idx="0">
                  <c:v>Aumento Demanda</c:v>
                </c:pt>
              </c:strCache>
            </c:strRef>
          </c:tx>
          <c:spPr>
            <a:ln w="28575" cap="rnd">
              <a:solidFill>
                <a:schemeClr val="accent2">
                  <a:tint val="65000"/>
                </a:schemeClr>
              </a:solidFill>
              <a:round/>
            </a:ln>
            <a:effectLst/>
          </c:spPr>
          <c:marker>
            <c:symbol val="circle"/>
            <c:size val="5"/>
            <c:spPr>
              <a:solidFill>
                <a:schemeClr val="bg1"/>
              </a:solidFill>
              <a:ln w="9525">
                <a:solidFill>
                  <a:srgbClr val="92D050"/>
                </a:solidFill>
              </a:ln>
              <a:effectLst/>
            </c:spPr>
          </c:marker>
          <c:cat>
            <c:numRef>
              <c:f>LB!$C$48:$F$48</c:f>
              <c:numCache>
                <c:formatCode>General</c:formatCode>
                <c:ptCount val="4"/>
                <c:pt idx="0">
                  <c:v>2020</c:v>
                </c:pt>
                <c:pt idx="1">
                  <c:v>2030</c:v>
                </c:pt>
                <c:pt idx="2">
                  <c:v>2040</c:v>
                </c:pt>
                <c:pt idx="3">
                  <c:v>2050</c:v>
                </c:pt>
              </c:numCache>
            </c:numRef>
          </c:cat>
          <c:val>
            <c:numRef>
              <c:f>LB!$D$48:$F$48</c:f>
              <c:numCache>
                <c:formatCode>General</c:formatCode>
                <c:ptCount val="3"/>
                <c:pt idx="0">
                  <c:v>2030</c:v>
                </c:pt>
                <c:pt idx="1">
                  <c:v>2040</c:v>
                </c:pt>
                <c:pt idx="2">
                  <c:v>2050</c:v>
                </c:pt>
              </c:numCache>
            </c:numRef>
          </c:val>
          <c:smooth val="0"/>
          <c:extLst>
            <c:ext xmlns:c16="http://schemas.microsoft.com/office/drawing/2014/chart" uri="{C3380CC4-5D6E-409C-BE32-E72D297353CC}">
              <c16:uniqueId val="{00000000-746A-4CEF-BD6F-2B422CDB2464}"/>
            </c:ext>
          </c:extLst>
        </c:ser>
        <c:ser>
          <c:idx val="2"/>
          <c:order val="1"/>
          <c:tx>
            <c:strRef>
              <c:f>LB!$B$49</c:f>
              <c:strCache>
                <c:ptCount val="1"/>
                <c:pt idx="0">
                  <c:v>FICEM</c:v>
                </c:pt>
              </c:strCache>
            </c:strRef>
          </c:tx>
          <c:spPr>
            <a:ln w="28575" cap="rnd">
              <a:solidFill>
                <a:srgbClr val="92D050"/>
              </a:solidFill>
              <a:round/>
            </a:ln>
            <a:effectLst/>
          </c:spPr>
          <c:marker>
            <c:symbol val="none"/>
          </c:marker>
          <c:dLbls>
            <c:dLbl>
              <c:idx val="3"/>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984-4DCA-93A9-91FF716E9CE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LB!$C$48:$F$48</c:f>
              <c:numCache>
                <c:formatCode>General</c:formatCode>
                <c:ptCount val="4"/>
                <c:pt idx="0">
                  <c:v>2020</c:v>
                </c:pt>
                <c:pt idx="1">
                  <c:v>2030</c:v>
                </c:pt>
                <c:pt idx="2">
                  <c:v>2040</c:v>
                </c:pt>
                <c:pt idx="3">
                  <c:v>2050</c:v>
                </c:pt>
              </c:numCache>
            </c:numRef>
          </c:cat>
          <c:val>
            <c:numRef>
              <c:f>LB!$C$49:$F$49</c:f>
              <c:numCache>
                <c:formatCode>_(* #,##0_);_(* \(#,##0\);_(* "-"_);_(@_)</c:formatCode>
                <c:ptCount val="4"/>
                <c:pt idx="0" formatCode="General">
                  <c:v>0</c:v>
                </c:pt>
                <c:pt idx="1">
                  <c:v>20</c:v>
                </c:pt>
                <c:pt idx="2">
                  <c:v>45</c:v>
                </c:pt>
                <c:pt idx="3">
                  <c:v>70</c:v>
                </c:pt>
              </c:numCache>
            </c:numRef>
          </c:val>
          <c:smooth val="0"/>
          <c:extLst>
            <c:ext xmlns:c16="http://schemas.microsoft.com/office/drawing/2014/chart" uri="{C3380CC4-5D6E-409C-BE32-E72D297353CC}">
              <c16:uniqueId val="{00000002-746A-4CEF-BD6F-2B422CDB2464}"/>
            </c:ext>
          </c:extLst>
        </c:ser>
        <c:ser>
          <c:idx val="3"/>
          <c:order val="2"/>
          <c:tx>
            <c:strRef>
              <c:f>LB!$B$50</c:f>
              <c:strCache>
                <c:ptCount val="1"/>
                <c:pt idx="0">
                  <c:v>Perú</c:v>
                </c:pt>
              </c:strCache>
            </c:strRef>
          </c:tx>
          <c:spPr>
            <a:ln w="22225" cap="rnd">
              <a:solidFill>
                <a:schemeClr val="bg1"/>
              </a:solidFill>
              <a:prstDash val="lgDashDot"/>
              <a:round/>
            </a:ln>
            <a:effectLst/>
          </c:spPr>
          <c:marker>
            <c:symbol val="none"/>
          </c:marker>
          <c:dPt>
            <c:idx val="1"/>
            <c:marker>
              <c:symbol val="none"/>
            </c:marker>
            <c:bubble3D val="0"/>
            <c:spPr>
              <a:ln w="22225" cap="rnd">
                <a:solidFill>
                  <a:schemeClr val="bg1"/>
                </a:solidFill>
                <a:prstDash val="lgDashDot"/>
                <a:round/>
              </a:ln>
              <a:effectLst/>
            </c:spPr>
            <c:extLst>
              <c:ext xmlns:c16="http://schemas.microsoft.com/office/drawing/2014/chart" uri="{C3380CC4-5D6E-409C-BE32-E72D297353CC}">
                <c16:uniqueId val="{00000004-746A-4CEF-BD6F-2B422CDB2464}"/>
              </c:ext>
            </c:extLst>
          </c:dPt>
          <c:dPt>
            <c:idx val="2"/>
            <c:marker>
              <c:symbol val="none"/>
            </c:marker>
            <c:bubble3D val="0"/>
            <c:spPr>
              <a:ln w="22225" cap="rnd">
                <a:solidFill>
                  <a:schemeClr val="bg1"/>
                </a:solidFill>
                <a:prstDash val="lgDashDot"/>
                <a:round/>
              </a:ln>
              <a:effectLst/>
            </c:spPr>
            <c:extLst>
              <c:ext xmlns:c16="http://schemas.microsoft.com/office/drawing/2014/chart" uri="{C3380CC4-5D6E-409C-BE32-E72D297353CC}">
                <c16:uniqueId val="{00000006-746A-4CEF-BD6F-2B422CDB2464}"/>
              </c:ext>
            </c:extLst>
          </c:dPt>
          <c:cat>
            <c:numRef>
              <c:f>LB!$C$48:$F$48</c:f>
              <c:numCache>
                <c:formatCode>General</c:formatCode>
                <c:ptCount val="4"/>
                <c:pt idx="0">
                  <c:v>2020</c:v>
                </c:pt>
                <c:pt idx="1">
                  <c:v>2030</c:v>
                </c:pt>
                <c:pt idx="2">
                  <c:v>2040</c:v>
                </c:pt>
                <c:pt idx="3">
                  <c:v>2050</c:v>
                </c:pt>
              </c:numCache>
            </c:numRef>
          </c:cat>
          <c:val>
            <c:numRef>
              <c:f>LB!$C$50:$F$50</c:f>
              <c:numCache>
                <c:formatCode>_(* #,##0_);_(* \(#,##0\);_(* "-"_);_(@_)</c:formatCode>
                <c:ptCount val="4"/>
                <c:pt idx="0" formatCode="General">
                  <c:v>0</c:v>
                </c:pt>
                <c:pt idx="1">
                  <c:v>20</c:v>
                </c:pt>
                <c:pt idx="2">
                  <c:v>50</c:v>
                </c:pt>
                <c:pt idx="3">
                  <c:v>80</c:v>
                </c:pt>
              </c:numCache>
            </c:numRef>
          </c:val>
          <c:smooth val="0"/>
          <c:extLst>
            <c:ext xmlns:c16="http://schemas.microsoft.com/office/drawing/2014/chart" uri="{C3380CC4-5D6E-409C-BE32-E72D297353CC}">
              <c16:uniqueId val="{00000007-746A-4CEF-BD6F-2B422CDB2464}"/>
            </c:ext>
          </c:extLst>
        </c:ser>
        <c:ser>
          <c:idx val="4"/>
          <c:order val="3"/>
          <c:tx>
            <c:strRef>
              <c:f>LB!$B$51</c:f>
              <c:strCache>
                <c:ptCount val="1"/>
                <c:pt idx="0">
                  <c:v>Colombia</c:v>
                </c:pt>
              </c:strCache>
            </c:strRef>
          </c:tx>
          <c:spPr>
            <a:ln w="22225" cap="rnd">
              <a:solidFill>
                <a:schemeClr val="bg2">
                  <a:lumMod val="75000"/>
                </a:schemeClr>
              </a:solidFill>
              <a:prstDash val="lgDashDotDot"/>
              <a:round/>
            </a:ln>
            <a:effectLst/>
          </c:spPr>
          <c:marker>
            <c:symbol val="none"/>
          </c:marker>
          <c:cat>
            <c:numRef>
              <c:f>LB!$C$48:$F$48</c:f>
              <c:numCache>
                <c:formatCode>General</c:formatCode>
                <c:ptCount val="4"/>
                <c:pt idx="0">
                  <c:v>2020</c:v>
                </c:pt>
                <c:pt idx="1">
                  <c:v>2030</c:v>
                </c:pt>
                <c:pt idx="2">
                  <c:v>2040</c:v>
                </c:pt>
                <c:pt idx="3">
                  <c:v>2050</c:v>
                </c:pt>
              </c:numCache>
            </c:numRef>
          </c:cat>
          <c:val>
            <c:numRef>
              <c:f>LB!$C$51:$F$51</c:f>
              <c:numCache>
                <c:formatCode>_(* #,##0_);_(* \(#,##0\);_(* "-"_);_(@_)</c:formatCode>
                <c:ptCount val="4"/>
                <c:pt idx="0" formatCode="General">
                  <c:v>0</c:v>
                </c:pt>
                <c:pt idx="1">
                  <c:v>20</c:v>
                </c:pt>
                <c:pt idx="2">
                  <c:v>35</c:v>
                </c:pt>
                <c:pt idx="3">
                  <c:v>50</c:v>
                </c:pt>
              </c:numCache>
            </c:numRef>
          </c:val>
          <c:smooth val="0"/>
          <c:extLst>
            <c:ext xmlns:c16="http://schemas.microsoft.com/office/drawing/2014/chart" uri="{C3380CC4-5D6E-409C-BE32-E72D297353CC}">
              <c16:uniqueId val="{0000000A-746A-4CEF-BD6F-2B422CDB2464}"/>
            </c:ext>
          </c:extLst>
        </c:ser>
        <c:ser>
          <c:idx val="5"/>
          <c:order val="4"/>
          <c:tx>
            <c:strRef>
              <c:f>LB!$B$52</c:f>
              <c:strCache>
                <c:ptCount val="1"/>
                <c:pt idx="0">
                  <c:v>Chile</c:v>
                </c:pt>
              </c:strCache>
            </c:strRef>
          </c:tx>
          <c:spPr>
            <a:ln w="22225" cap="rnd">
              <a:solidFill>
                <a:schemeClr val="bg1">
                  <a:lumMod val="75000"/>
                </a:schemeClr>
              </a:solidFill>
              <a:prstDash val="sysDash"/>
              <a:round/>
            </a:ln>
            <a:effectLst/>
          </c:spPr>
          <c:marker>
            <c:symbol val="none"/>
          </c:marker>
          <c:cat>
            <c:numRef>
              <c:f>LB!$C$48:$F$48</c:f>
              <c:numCache>
                <c:formatCode>General</c:formatCode>
                <c:ptCount val="4"/>
                <c:pt idx="0">
                  <c:v>2020</c:v>
                </c:pt>
                <c:pt idx="1">
                  <c:v>2030</c:v>
                </c:pt>
                <c:pt idx="2">
                  <c:v>2040</c:v>
                </c:pt>
                <c:pt idx="3">
                  <c:v>2050</c:v>
                </c:pt>
              </c:numCache>
            </c:numRef>
          </c:cat>
          <c:val>
            <c:numRef>
              <c:f>LB!$C$52:$F$52</c:f>
              <c:numCache>
                <c:formatCode>_(* #,##0_);_(* \(#,##0\);_(* "-"_);_(@_)</c:formatCode>
                <c:ptCount val="4"/>
                <c:pt idx="0" formatCode="General">
                  <c:v>0</c:v>
                </c:pt>
                <c:pt idx="1">
                  <c:v>10</c:v>
                </c:pt>
                <c:pt idx="2">
                  <c:v>25</c:v>
                </c:pt>
                <c:pt idx="3">
                  <c:v>40</c:v>
                </c:pt>
              </c:numCache>
            </c:numRef>
          </c:val>
          <c:smooth val="0"/>
          <c:extLst>
            <c:ext xmlns:c16="http://schemas.microsoft.com/office/drawing/2014/chart" uri="{C3380CC4-5D6E-409C-BE32-E72D297353CC}">
              <c16:uniqueId val="{0000000C-746A-4CEF-BD6F-2B422CDB2464}"/>
            </c:ext>
          </c:extLst>
        </c:ser>
        <c:ser>
          <c:idx val="0"/>
          <c:order val="5"/>
          <c:tx>
            <c:strRef>
              <c:f>LB!$B$53</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F-746A-4CEF-BD6F-2B422CDB2464}"/>
                </c:ext>
              </c:extLst>
            </c:dLbl>
            <c:dLbl>
              <c:idx val="1"/>
              <c:layout>
                <c:manualLayout>
                  <c:x val="-2.8724220768937901E-2"/>
                  <c:y val="-3.86641107398994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46A-4CEF-BD6F-2B422CDB2464}"/>
                </c:ext>
              </c:extLst>
            </c:dLbl>
            <c:dLbl>
              <c:idx val="3"/>
              <c:layout>
                <c:manualLayout>
                  <c:x val="-3.3031080046589589E-3"/>
                  <c:y val="-4.1651977339598821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432E-405E-931A-AE2599D72379}"/>
                </c:ext>
              </c:extLst>
            </c:dLbl>
            <c:spPr>
              <a:solidFill>
                <a:schemeClr val="accent5">
                  <a:lumMod val="1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LB!$C$48:$F$48</c:f>
              <c:numCache>
                <c:formatCode>General</c:formatCode>
                <c:ptCount val="4"/>
                <c:pt idx="0">
                  <c:v>2020</c:v>
                </c:pt>
                <c:pt idx="1">
                  <c:v>2030</c:v>
                </c:pt>
                <c:pt idx="2">
                  <c:v>2040</c:v>
                </c:pt>
                <c:pt idx="3">
                  <c:v>2050</c:v>
                </c:pt>
              </c:numCache>
            </c:numRef>
          </c:cat>
          <c:val>
            <c:numRef>
              <c:f>LB!$C$53:$F$53</c:f>
              <c:numCache>
                <c:formatCode>0</c:formatCode>
                <c:ptCount val="4"/>
                <c:pt idx="0">
                  <c:v>0</c:v>
                </c:pt>
                <c:pt idx="1">
                  <c:v>18</c:v>
                </c:pt>
                <c:pt idx="2">
                  <c:v>36.5</c:v>
                </c:pt>
                <c:pt idx="3">
                  <c:v>55</c:v>
                </c:pt>
              </c:numCache>
            </c:numRef>
          </c:val>
          <c:smooth val="0"/>
          <c:extLst>
            <c:ext xmlns:c16="http://schemas.microsoft.com/office/drawing/2014/chart" uri="{C3380CC4-5D6E-409C-BE32-E72D297353CC}">
              <c16:uniqueId val="{0000000E-746A-4CEF-BD6F-2B422CDB2464}"/>
            </c:ext>
          </c:extLst>
        </c:ser>
        <c:ser>
          <c:idx val="6"/>
          <c:order val="6"/>
          <c:tx>
            <c:strRef>
              <c:f>LB!$B$54</c:f>
              <c:strCache>
                <c:ptCount val="1"/>
                <c:pt idx="0">
                  <c:v>GCCA Roadmap</c:v>
                </c:pt>
              </c:strCache>
            </c:strRef>
          </c:tx>
          <c:spPr>
            <a:ln w="28575" cap="rnd">
              <a:solidFill>
                <a:schemeClr val="accent2">
                  <a:shade val="47000"/>
                </a:schemeClr>
              </a:solidFill>
              <a:round/>
            </a:ln>
            <a:effectLst/>
          </c:spPr>
          <c:marker>
            <c:symbol val="circle"/>
            <c:size val="5"/>
            <c:spPr>
              <a:solidFill>
                <a:schemeClr val="accent2">
                  <a:shade val="47000"/>
                </a:schemeClr>
              </a:solidFill>
              <a:ln w="9525">
                <a:solidFill>
                  <a:schemeClr val="accent2">
                    <a:shade val="47000"/>
                  </a:schemeClr>
                </a:solidFill>
              </a:ln>
              <a:effectLst/>
            </c:spPr>
          </c:marker>
          <c:cat>
            <c:numRef>
              <c:f>LB!$C$48:$F$48</c:f>
              <c:numCache>
                <c:formatCode>General</c:formatCode>
                <c:ptCount val="4"/>
                <c:pt idx="0">
                  <c:v>2020</c:v>
                </c:pt>
                <c:pt idx="1">
                  <c:v>2030</c:v>
                </c:pt>
                <c:pt idx="2">
                  <c:v>2040</c:v>
                </c:pt>
                <c:pt idx="3">
                  <c:v>2050</c:v>
                </c:pt>
              </c:numCache>
            </c:numRef>
          </c:cat>
          <c:val>
            <c:numRef>
              <c:f>LB!$C$54:$F$54</c:f>
              <c:numCache>
                <c:formatCode>_(* #,##0_);_(* \(#,##0\);_(* "-"_);_(@_)</c:formatCode>
                <c:ptCount val="4"/>
                <c:pt idx="0" formatCode="General">
                  <c:v>0</c:v>
                </c:pt>
                <c:pt idx="1">
                  <c:v>14.545454545454541</c:v>
                </c:pt>
                <c:pt idx="2">
                  <c:v>33.272727272727273</c:v>
                </c:pt>
                <c:pt idx="3">
                  <c:v>52</c:v>
                </c:pt>
              </c:numCache>
            </c:numRef>
          </c:val>
          <c:smooth val="0"/>
          <c:extLst>
            <c:ext xmlns:c16="http://schemas.microsoft.com/office/drawing/2014/chart" uri="{C3380CC4-5D6E-409C-BE32-E72D297353CC}">
              <c16:uniqueId val="{00000010-746A-4CEF-BD6F-2B422CDB2464}"/>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3175" cap="flat" cmpd="sng" algn="ctr">
              <a:solidFill>
                <a:schemeClr val="accent1">
                  <a:lumMod val="7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Proyección Demanda Cemento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w="25400">
          <a:noFill/>
        </a:ln>
        <a:effectLst/>
      </c:spPr>
    </c:plotArea>
    <c:legend>
      <c:legendPos val="b"/>
      <c:legendEntry>
        <c:idx val="0"/>
        <c:delete val="1"/>
      </c:legendEntry>
      <c:layout>
        <c:manualLayout>
          <c:xMode val="edge"/>
          <c:yMode val="edge"/>
          <c:x val="7.5139927863727488E-2"/>
          <c:y val="0.90749716270093039"/>
          <c:w val="0.86746200493961423"/>
          <c:h val="7.6382329217102432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3010323862167725"/>
          <c:y val="2.9532875414845203E-2"/>
          <c:w val="0.75301921937177208"/>
          <c:h val="0.83687198946978614"/>
        </c:manualLayout>
      </c:layout>
      <c:lineChart>
        <c:grouping val="standard"/>
        <c:varyColors val="0"/>
        <c:ser>
          <c:idx val="1"/>
          <c:order val="0"/>
          <c:tx>
            <c:strRef>
              <c:f>LB!$L$50</c:f>
              <c:strCache>
                <c:ptCount val="1"/>
                <c:pt idx="0">
                  <c:v>Perú</c:v>
                </c:pt>
              </c:strCache>
            </c:strRef>
          </c:tx>
          <c:spPr>
            <a:ln w="22225" cap="rnd">
              <a:solidFill>
                <a:schemeClr val="bg1"/>
              </a:solidFill>
              <a:prstDash val="lgDashDot"/>
              <a:round/>
            </a:ln>
            <a:effectLst/>
          </c:spPr>
          <c:marker>
            <c:symbol val="none"/>
          </c:marker>
          <c:dPt>
            <c:idx val="1"/>
            <c:marker>
              <c:symbol val="none"/>
            </c:marker>
            <c:bubble3D val="0"/>
            <c:spPr>
              <a:ln w="22225" cap="rnd">
                <a:solidFill>
                  <a:schemeClr val="bg1"/>
                </a:solidFill>
                <a:prstDash val="lgDashDot"/>
                <a:round/>
              </a:ln>
              <a:effectLst/>
            </c:spPr>
            <c:extLst>
              <c:ext xmlns:c16="http://schemas.microsoft.com/office/drawing/2014/chart" uri="{C3380CC4-5D6E-409C-BE32-E72D297353CC}">
                <c16:uniqueId val="{0000005C-15FA-4734-B8FF-8A48228A23CF}"/>
              </c:ext>
            </c:extLst>
          </c:dPt>
          <c:dPt>
            <c:idx val="2"/>
            <c:marker>
              <c:symbol val="none"/>
            </c:marker>
            <c:bubble3D val="0"/>
            <c:spPr>
              <a:ln w="22225" cap="rnd">
                <a:solidFill>
                  <a:schemeClr val="bg1"/>
                </a:solidFill>
                <a:prstDash val="lgDashDot"/>
                <a:round/>
              </a:ln>
              <a:effectLst/>
            </c:spPr>
            <c:extLst>
              <c:ext xmlns:c16="http://schemas.microsoft.com/office/drawing/2014/chart" uri="{C3380CC4-5D6E-409C-BE32-E72D297353CC}">
                <c16:uniqueId val="{0000005D-15FA-4734-B8FF-8A48228A23CF}"/>
              </c:ext>
            </c:extLst>
          </c:dPt>
          <c:cat>
            <c:numRef>
              <c:f>LB!$M$48:$P$48</c:f>
              <c:numCache>
                <c:formatCode>General</c:formatCode>
                <c:ptCount val="4"/>
                <c:pt idx="0">
                  <c:v>2020</c:v>
                </c:pt>
                <c:pt idx="1">
                  <c:v>2030</c:v>
                </c:pt>
                <c:pt idx="2">
                  <c:v>2040</c:v>
                </c:pt>
                <c:pt idx="3">
                  <c:v>2050</c:v>
                </c:pt>
              </c:numCache>
            </c:numRef>
          </c:cat>
          <c:val>
            <c:numRef>
              <c:f>LB!$M$50:$P$50</c:f>
              <c:numCache>
                <c:formatCode>0.0</c:formatCode>
                <c:ptCount val="4"/>
                <c:pt idx="0">
                  <c:v>6.7</c:v>
                </c:pt>
                <c:pt idx="1">
                  <c:v>8.1</c:v>
                </c:pt>
                <c:pt idx="2">
                  <c:v>10.149999999999999</c:v>
                </c:pt>
                <c:pt idx="3">
                  <c:v>12.2</c:v>
                </c:pt>
              </c:numCache>
            </c:numRef>
          </c:val>
          <c:smooth val="0"/>
          <c:extLst>
            <c:ext xmlns:c16="http://schemas.microsoft.com/office/drawing/2014/chart" uri="{C3380CC4-5D6E-409C-BE32-E72D297353CC}">
              <c16:uniqueId val="{0000005B-15FA-4734-B8FF-8A48228A23CF}"/>
            </c:ext>
          </c:extLst>
        </c:ser>
        <c:ser>
          <c:idx val="7"/>
          <c:order val="1"/>
          <c:tx>
            <c:strRef>
              <c:f>LB!$L$51</c:f>
              <c:strCache>
                <c:ptCount val="1"/>
                <c:pt idx="0">
                  <c:v>Colombia</c:v>
                </c:pt>
              </c:strCache>
            </c:strRef>
          </c:tx>
          <c:spPr>
            <a:ln w="22225" cap="rnd">
              <a:solidFill>
                <a:schemeClr val="bg2">
                  <a:lumMod val="75000"/>
                </a:schemeClr>
              </a:solidFill>
              <a:prstDash val="lgDashDotDot"/>
              <a:round/>
            </a:ln>
            <a:effectLst/>
          </c:spPr>
          <c:marker>
            <c:symbol val="none"/>
          </c:marker>
          <c:cat>
            <c:numRef>
              <c:f>LB!$M$48:$P$48</c:f>
              <c:numCache>
                <c:formatCode>General</c:formatCode>
                <c:ptCount val="4"/>
                <c:pt idx="0">
                  <c:v>2020</c:v>
                </c:pt>
                <c:pt idx="1">
                  <c:v>2030</c:v>
                </c:pt>
                <c:pt idx="2">
                  <c:v>2040</c:v>
                </c:pt>
                <c:pt idx="3">
                  <c:v>2050</c:v>
                </c:pt>
              </c:numCache>
            </c:numRef>
          </c:cat>
          <c:val>
            <c:numRef>
              <c:f>LB!$M$51:$P$51</c:f>
              <c:numCache>
                <c:formatCode>0.0</c:formatCode>
                <c:ptCount val="4"/>
                <c:pt idx="0">
                  <c:v>8.4</c:v>
                </c:pt>
                <c:pt idx="1">
                  <c:v>9.5</c:v>
                </c:pt>
                <c:pt idx="2">
                  <c:v>11.1</c:v>
                </c:pt>
                <c:pt idx="3">
                  <c:v>12.7</c:v>
                </c:pt>
              </c:numCache>
            </c:numRef>
          </c:val>
          <c:smooth val="0"/>
          <c:extLst>
            <c:ext xmlns:c16="http://schemas.microsoft.com/office/drawing/2014/chart" uri="{C3380CC4-5D6E-409C-BE32-E72D297353CC}">
              <c16:uniqueId val="{0000005E-15FA-4734-B8FF-8A48228A23CF}"/>
            </c:ext>
          </c:extLst>
        </c:ser>
        <c:ser>
          <c:idx val="8"/>
          <c:order val="2"/>
          <c:tx>
            <c:strRef>
              <c:f>LB!$L$52</c:f>
              <c:strCache>
                <c:ptCount val="1"/>
                <c:pt idx="0">
                  <c:v>Chile</c:v>
                </c:pt>
              </c:strCache>
            </c:strRef>
          </c:tx>
          <c:spPr>
            <a:ln w="22225" cap="rnd">
              <a:solidFill>
                <a:schemeClr val="bg1">
                  <a:lumMod val="75000"/>
                </a:schemeClr>
              </a:solidFill>
              <a:prstDash val="sysDash"/>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6E3-44B1-914F-DC550075786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LB!$M$48:$P$48</c:f>
              <c:numCache>
                <c:formatCode>General</c:formatCode>
                <c:ptCount val="4"/>
                <c:pt idx="0">
                  <c:v>2020</c:v>
                </c:pt>
                <c:pt idx="1">
                  <c:v>2030</c:v>
                </c:pt>
                <c:pt idx="2">
                  <c:v>2040</c:v>
                </c:pt>
                <c:pt idx="3">
                  <c:v>2050</c:v>
                </c:pt>
              </c:numCache>
            </c:numRef>
          </c:cat>
          <c:val>
            <c:numRef>
              <c:f>LB!$M$52:$P$52</c:f>
              <c:numCache>
                <c:formatCode>0.0</c:formatCode>
                <c:ptCount val="4"/>
                <c:pt idx="0">
                  <c:v>3.8</c:v>
                </c:pt>
                <c:pt idx="1">
                  <c:v>4</c:v>
                </c:pt>
                <c:pt idx="2" formatCode="_ * #,##0.0_ ;_ * \-#,##0.0_ ;_ * &quot;-&quot;_ ;_ @_ ">
                  <c:v>4.3499999999999996</c:v>
                </c:pt>
                <c:pt idx="3">
                  <c:v>4.7</c:v>
                </c:pt>
              </c:numCache>
            </c:numRef>
          </c:val>
          <c:smooth val="0"/>
          <c:extLst>
            <c:ext xmlns:c16="http://schemas.microsoft.com/office/drawing/2014/chart" uri="{C3380CC4-5D6E-409C-BE32-E72D297353CC}">
              <c16:uniqueId val="{0000005F-15FA-4734-B8FF-8A48228A23CF}"/>
            </c:ext>
          </c:extLst>
        </c:ser>
        <c:ser>
          <c:idx val="9"/>
          <c:order val="3"/>
          <c:tx>
            <c:strRef>
              <c:f>LB!$L$53</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3"/>
              <c:dLblPos val="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50C0-4C00-B8BE-AF472D073A9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LB!$M$48:$P$48</c:f>
              <c:numCache>
                <c:formatCode>General</c:formatCode>
                <c:ptCount val="4"/>
                <c:pt idx="0">
                  <c:v>2020</c:v>
                </c:pt>
                <c:pt idx="1">
                  <c:v>2030</c:v>
                </c:pt>
                <c:pt idx="2">
                  <c:v>2040</c:v>
                </c:pt>
                <c:pt idx="3">
                  <c:v>2050</c:v>
                </c:pt>
              </c:numCache>
            </c:numRef>
          </c:cat>
          <c:val>
            <c:numRef>
              <c:f>LB!$M$53:$P$53</c:f>
              <c:numCache>
                <c:formatCode>0.0</c:formatCode>
                <c:ptCount val="4"/>
                <c:pt idx="0">
                  <c:v>6.8665000000000003</c:v>
                </c:pt>
                <c:pt idx="1">
                  <c:v>8.1024700000000003</c:v>
                </c:pt>
                <c:pt idx="2">
                  <c:v>9.3130537499999981</c:v>
                </c:pt>
                <c:pt idx="3">
                  <c:v>10.643075000000001</c:v>
                </c:pt>
              </c:numCache>
            </c:numRef>
          </c:val>
          <c:smooth val="0"/>
          <c:extLst>
            <c:ext xmlns:c16="http://schemas.microsoft.com/office/drawing/2014/chart" uri="{C3380CC4-5D6E-409C-BE32-E72D297353CC}">
              <c16:uniqueId val="{00000060-15FA-4734-B8FF-8A48228A23CF}"/>
            </c:ext>
          </c:extLst>
        </c:ser>
        <c:dLbls>
          <c:showLegendKey val="0"/>
          <c:showVal val="0"/>
          <c:showCatName val="0"/>
          <c:showSerName val="0"/>
          <c:showPercent val="0"/>
          <c:showBubbleSize val="0"/>
        </c:dLbls>
        <c:marker val="1"/>
        <c:smooth val="0"/>
        <c:axId val="1105230752"/>
        <c:axId val="1105707104"/>
      </c:lineChart>
      <c:lineChart>
        <c:grouping val="standard"/>
        <c:varyColors val="0"/>
        <c:ser>
          <c:idx val="11"/>
          <c:order val="4"/>
          <c:tx>
            <c:strRef>
              <c:f>LB!$L$49</c:f>
              <c:strCache>
                <c:ptCount val="1"/>
                <c:pt idx="0">
                  <c:v>FICEM</c:v>
                </c:pt>
              </c:strCache>
            </c:strRef>
          </c:tx>
          <c:spPr>
            <a:ln w="28575" cap="rnd">
              <a:solidFill>
                <a:srgbClr val="92D05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50C0-4C00-B8BE-AF472D073A9D}"/>
                </c:ext>
              </c:extLst>
            </c:dLbl>
            <c:dLbl>
              <c:idx val="1"/>
              <c:delete val="1"/>
              <c:extLst>
                <c:ext xmlns:c15="http://schemas.microsoft.com/office/drawing/2012/chart" uri="{CE6537A1-D6FC-4f65-9D91-7224C49458BB}"/>
                <c:ext xmlns:c16="http://schemas.microsoft.com/office/drawing/2014/chart" uri="{C3380CC4-5D6E-409C-BE32-E72D297353CC}">
                  <c16:uniqueId val="{00000004-50C0-4C00-B8BE-AF472D073A9D}"/>
                </c:ext>
              </c:extLst>
            </c:dLbl>
            <c:dLbl>
              <c:idx val="2"/>
              <c:delete val="1"/>
              <c:extLst>
                <c:ext xmlns:c15="http://schemas.microsoft.com/office/drawing/2012/chart" uri="{CE6537A1-D6FC-4f65-9D91-7224C49458BB}"/>
                <c:ext xmlns:c16="http://schemas.microsoft.com/office/drawing/2014/chart" uri="{C3380CC4-5D6E-409C-BE32-E72D297353CC}">
                  <c16:uniqueId val="{00000006-50C0-4C00-B8BE-AF472D073A9D}"/>
                </c:ext>
              </c:extLst>
            </c:dLbl>
            <c:dLbl>
              <c:idx val="3"/>
              <c:dLblPos val="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50C0-4C00-B8BE-AF472D073A9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LB!$M$48:$P$48</c:f>
              <c:numCache>
                <c:formatCode>General</c:formatCode>
                <c:ptCount val="4"/>
                <c:pt idx="0">
                  <c:v>2020</c:v>
                </c:pt>
                <c:pt idx="1">
                  <c:v>2030</c:v>
                </c:pt>
                <c:pt idx="2">
                  <c:v>2040</c:v>
                </c:pt>
                <c:pt idx="3">
                  <c:v>2050</c:v>
                </c:pt>
              </c:numCache>
            </c:numRef>
          </c:cat>
          <c:val>
            <c:numRef>
              <c:f>LB!$M$49:$P$49</c:f>
              <c:numCache>
                <c:formatCode>_(* #,##0_);_(* \(#,##0\);_(* "-"_);_(@_)</c:formatCode>
                <c:ptCount val="4"/>
                <c:pt idx="0">
                  <c:v>126</c:v>
                </c:pt>
                <c:pt idx="1">
                  <c:v>151</c:v>
                </c:pt>
                <c:pt idx="2">
                  <c:v>182.5</c:v>
                </c:pt>
                <c:pt idx="3">
                  <c:v>214</c:v>
                </c:pt>
              </c:numCache>
            </c:numRef>
          </c:val>
          <c:smooth val="0"/>
          <c:extLst>
            <c:ext xmlns:c16="http://schemas.microsoft.com/office/drawing/2014/chart" uri="{C3380CC4-5D6E-409C-BE32-E72D297353CC}">
              <c16:uniqueId val="{00000062-15FA-4734-B8FF-8A48228A23CF}"/>
            </c:ext>
          </c:extLst>
        </c:ser>
        <c:dLbls>
          <c:showLegendKey val="0"/>
          <c:showVal val="0"/>
          <c:showCatName val="0"/>
          <c:showSerName val="0"/>
          <c:showPercent val="0"/>
          <c:showBubbleSize val="0"/>
        </c:dLbls>
        <c:marker val="1"/>
        <c:smooth val="0"/>
        <c:axId val="854986464"/>
        <c:axId val="8549825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5"/>
          <c:min val="0"/>
        </c:scaling>
        <c:delete val="0"/>
        <c:axPos val="l"/>
        <c:majorGridlines>
          <c:spPr>
            <a:ln w="3175" cap="flat" cmpd="sng" algn="ctr">
              <a:solidFill>
                <a:schemeClr val="accent1">
                  <a:lumMod val="7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Proyección</a:t>
                </a:r>
                <a:r>
                  <a:rPr lang="es-CL" baseline="0"/>
                  <a:t> Emisiones </a:t>
                </a:r>
                <a:r>
                  <a:rPr lang="es-CL"/>
                  <a:t>Países  (MtCO2)</a:t>
                </a:r>
              </a:p>
            </c:rich>
          </c:tx>
          <c:layout>
            <c:manualLayout>
              <c:xMode val="edge"/>
              <c:yMode val="edge"/>
              <c:x val="2.1379963593260519E-2"/>
              <c:y val="0.1850290154223867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valAx>
        <c:axId val="854982504"/>
        <c:scaling>
          <c:orientation val="minMax"/>
          <c:max val="220"/>
          <c:min val="0"/>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854986464"/>
        <c:crosses val="max"/>
        <c:crossBetween val="between"/>
      </c:valAx>
      <c:catAx>
        <c:axId val="854986464"/>
        <c:scaling>
          <c:orientation val="minMax"/>
        </c:scaling>
        <c:delete val="1"/>
        <c:axPos val="b"/>
        <c:numFmt formatCode="General" sourceLinked="1"/>
        <c:majorTickMark val="out"/>
        <c:minorTickMark val="none"/>
        <c:tickLblPos val="nextTo"/>
        <c:crossAx val="854982504"/>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spPr>
            <a:ln w="28575" cap="rnd">
              <a:solidFill>
                <a:schemeClr val="accent2">
                  <a:tint val="54000"/>
                </a:schemeClr>
              </a:solidFill>
              <a:round/>
            </a:ln>
            <a:effectLst/>
          </c:spPr>
          <c:marker>
            <c:symbol val="circle"/>
            <c:size val="5"/>
            <c:spPr>
              <a:solidFill>
                <a:schemeClr val="bg1"/>
              </a:solidFill>
              <a:ln w="9525">
                <a:solidFill>
                  <a:schemeClr val="accent2">
                    <a:tint val="58000"/>
                  </a:schemeClr>
                </a:solidFill>
              </a:ln>
              <a:effectLst/>
            </c:spPr>
          </c:marker>
          <c:val>
            <c:numRef>
              <c:f>'Eje 4'!#REF!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'Eje 4'!#REF!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'Eje 4'!#REF!</c15:sqref>
                        </c15:formulaRef>
                      </c:ext>
                    </c:extLst>
                  </c:multiLvlStrRef>
                </c15:cat>
              </c15:filteredCategoryTitle>
            </c:ext>
            <c:ext xmlns:c16="http://schemas.microsoft.com/office/drawing/2014/chart" uri="{C3380CC4-5D6E-409C-BE32-E72D297353CC}">
              <c16:uniqueId val="{00000000-095A-4518-B301-C301417864CC}"/>
            </c:ext>
          </c:extLst>
        </c:ser>
        <c:ser>
          <c:idx val="1"/>
          <c:order val="1"/>
          <c:spPr>
            <a:ln w="28575" cap="rnd">
              <a:solidFill>
                <a:srgbClr val="92D050"/>
              </a:solidFill>
              <a:round/>
            </a:ln>
            <a:effectLst/>
          </c:spPr>
          <c:marker>
            <c:symbol val="circle"/>
            <c:size val="5"/>
            <c:spPr>
              <a:solidFill>
                <a:schemeClr val="bg1"/>
              </a:solidFill>
              <a:ln w="9525">
                <a:solidFill>
                  <a:srgbClr val="92D050"/>
                </a:solidFill>
              </a:ln>
              <a:effectLst/>
            </c:spPr>
          </c:marker>
          <c:dLbls>
            <c:dLbl>
              <c:idx val="0"/>
              <c:layout>
                <c:manualLayout>
                  <c:x val="-8.4623009048156853E-2"/>
                  <c:y val="1.9217763601426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5A-4518-B301-C301417864CC}"/>
                </c:ext>
              </c:extLst>
            </c:dLbl>
            <c:dLbl>
              <c:idx val="3"/>
              <c:layout>
                <c:manualLayout>
                  <c:x val="1.080442235596704E-2"/>
                  <c:y val="5.723784625470363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5A-4518-B301-C301417864C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'Eje 4'!#REF!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'Eje 4'!#REF!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'Eje 4'!#REF!</c15:sqref>
                        </c15:formulaRef>
                      </c:ext>
                    </c:extLst>
                  </c:multiLvlStrRef>
                </c15:cat>
              </c15:filteredCategoryTitle>
            </c:ext>
            <c:ext xmlns:c16="http://schemas.microsoft.com/office/drawing/2014/chart" uri="{C3380CC4-5D6E-409C-BE32-E72D297353CC}">
              <c16:uniqueId val="{00000003-095A-4518-B301-C301417864CC}"/>
            </c:ext>
          </c:extLst>
        </c:ser>
        <c:ser>
          <c:idx val="2"/>
          <c:order val="2"/>
          <c:spPr>
            <a:ln w="28575" cap="rnd">
              <a:solidFill>
                <a:srgbClr val="00B0F0"/>
              </a:solidFill>
              <a:round/>
            </a:ln>
            <a:effectLst/>
          </c:spPr>
          <c:marker>
            <c:symbol val="circle"/>
            <c:size val="5"/>
            <c:spPr>
              <a:solidFill>
                <a:schemeClr val="bg1"/>
              </a:solidFill>
              <a:ln w="9525">
                <a:solidFill>
                  <a:srgbClr val="00B0F0"/>
                </a:solidFill>
              </a:ln>
              <a:effectLst/>
            </c:spPr>
          </c:marker>
          <c:dLbls>
            <c:dLbl>
              <c:idx val="0"/>
              <c:layout>
                <c:manualLayout>
                  <c:x val="-6.5738897189507692E-2"/>
                  <c:y val="-2.710350534838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5A-4518-B301-C301417864C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5A-4518-B301-C301417864C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'Eje 4'!#REF!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'Eje 4'!#REF!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'Eje 4'!#REF!</c15:sqref>
                        </c15:formulaRef>
                      </c:ext>
                    </c:extLst>
                  </c:multiLvlStrRef>
                </c15:cat>
              </c15:filteredCategoryTitle>
            </c:ext>
            <c:ext xmlns:c16="http://schemas.microsoft.com/office/drawing/2014/chart" uri="{C3380CC4-5D6E-409C-BE32-E72D297353CC}">
              <c16:uniqueId val="{00000006-095A-4518-B301-C301417864CC}"/>
            </c:ext>
          </c:extLst>
        </c:ser>
        <c:ser>
          <c:idx val="3"/>
          <c:order val="3"/>
          <c:spPr>
            <a:ln w="15875" cap="rnd">
              <a:solidFill>
                <a:schemeClr val="bg1"/>
              </a:solidFill>
              <a:prstDash val="dashDot"/>
              <a:round/>
            </a:ln>
            <a:effectLst/>
          </c:spPr>
          <c:marker>
            <c:symbol val="none"/>
          </c:marker>
          <c:dLbls>
            <c:dLbl>
              <c:idx val="0"/>
              <c:layout>
                <c:manualLayout>
                  <c:x val="-7.8462554710057572E-2"/>
                  <c:y val="2.24899649599262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5A-4518-B301-C301417864C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5A-4518-B301-C301417864C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'Eje 4'!#REF!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'Eje 4'!#REF!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'Eje 4'!#REF!</c15:sqref>
                        </c15:formulaRef>
                      </c:ext>
                    </c:extLst>
                  </c:multiLvlStrRef>
                </c15:cat>
              </c15:filteredCategoryTitle>
            </c:ext>
            <c:ext xmlns:c16="http://schemas.microsoft.com/office/drawing/2014/chart" uri="{C3380CC4-5D6E-409C-BE32-E72D297353CC}">
              <c16:uniqueId val="{00000009-095A-4518-B301-C301417864CC}"/>
            </c:ext>
          </c:extLst>
        </c:ser>
        <c:ser>
          <c:idx val="4"/>
          <c:order val="4"/>
          <c:spPr>
            <a:ln w="15875" cap="rnd">
              <a:solidFill>
                <a:schemeClr val="bg1"/>
              </a:solidFill>
              <a:prstDash val="dash"/>
              <a:round/>
            </a:ln>
            <a:effectLst/>
          </c:spPr>
          <c:marker>
            <c:symbol val="none"/>
          </c:marker>
          <c:dLbls>
            <c:dLbl>
              <c:idx val="0"/>
              <c:layout>
                <c:manualLayout>
                  <c:x val="-9.1186212230607466E-2"/>
                  <c:y val="1.799197196794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95A-4518-B301-C301417864C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95A-4518-B301-C301417864C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'Eje 4'!#REF!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'Eje 4'!#REF!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'Eje 4'!#REF!</c15:sqref>
                        </c15:formulaRef>
                      </c:ext>
                    </c:extLst>
                  </c:multiLvlStrRef>
                </c15:cat>
              </c15:filteredCategoryTitle>
            </c:ext>
            <c:ext xmlns:c16="http://schemas.microsoft.com/office/drawing/2014/chart" uri="{C3380CC4-5D6E-409C-BE32-E72D297353CC}">
              <c16:uniqueId val="{0000000C-095A-4518-B301-C301417864CC}"/>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'Eje 1-2'!$B$47</c:f>
              <c:strCache>
                <c:ptCount val="1"/>
                <c:pt idx="0">
                  <c:v>% Cemento Sacos</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'Eje 1-2'!$C$47:$F$47</c:f>
              <c:numCache>
                <c:formatCode>General</c:formatCode>
                <c:ptCount val="4"/>
                <c:pt idx="0">
                  <c:v>2020</c:v>
                </c:pt>
                <c:pt idx="1">
                  <c:v>2030</c:v>
                </c:pt>
                <c:pt idx="2">
                  <c:v>2040</c:v>
                </c:pt>
                <c:pt idx="3">
                  <c:v>2050</c:v>
                </c:pt>
              </c:numCache>
            </c:numRef>
          </c:cat>
          <c:val>
            <c:numRef>
              <c:f>'Eje 1-2'!$C$47:$F$47</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B70B-43B9-AE0C-486FA71C2BDB}"/>
            </c:ext>
          </c:extLst>
        </c:ser>
        <c:ser>
          <c:idx val="1"/>
          <c:order val="1"/>
          <c:tx>
            <c:strRef>
              <c:f>'Eje 1-2'!$B$48</c:f>
              <c:strCache>
                <c:ptCount val="1"/>
                <c:pt idx="0">
                  <c:v>FICEM</c:v>
                </c:pt>
              </c:strCache>
            </c:strRef>
          </c:tx>
          <c:spPr>
            <a:ln w="28575" cap="rnd">
              <a:solidFill>
                <a:srgbClr val="92D050"/>
              </a:solidFill>
              <a:round/>
            </a:ln>
            <a:effectLst/>
          </c:spPr>
          <c:marker>
            <c:symbol val="none"/>
          </c:marker>
          <c:dLbls>
            <c:dLbl>
              <c:idx val="3"/>
              <c:layout>
                <c:manualLayout>
                  <c:x val="-8.0808091091461517E-3"/>
                  <c:y val="3.8667758701006798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5026-4F2E-A613-B08BB3F9E26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'Eje 1-2'!$C$47:$F$47</c:f>
              <c:numCache>
                <c:formatCode>General</c:formatCode>
                <c:ptCount val="4"/>
                <c:pt idx="0">
                  <c:v>2020</c:v>
                </c:pt>
                <c:pt idx="1">
                  <c:v>2030</c:v>
                </c:pt>
                <c:pt idx="2">
                  <c:v>2040</c:v>
                </c:pt>
                <c:pt idx="3">
                  <c:v>2050</c:v>
                </c:pt>
              </c:numCache>
            </c:numRef>
          </c:cat>
          <c:val>
            <c:numRef>
              <c:f>'Eje 1-2'!$C$48:$F$48</c:f>
              <c:numCache>
                <c:formatCode>_(* #,##0_);_(* \(#,##0\);_(* "-"_);_(@_)</c:formatCode>
                <c:ptCount val="4"/>
                <c:pt idx="0">
                  <c:v>64</c:v>
                </c:pt>
                <c:pt idx="1">
                  <c:v>59</c:v>
                </c:pt>
                <c:pt idx="2">
                  <c:v>49.5</c:v>
                </c:pt>
                <c:pt idx="3">
                  <c:v>40</c:v>
                </c:pt>
              </c:numCache>
            </c:numRef>
          </c:val>
          <c:smooth val="0"/>
          <c:extLst>
            <c:ext xmlns:c16="http://schemas.microsoft.com/office/drawing/2014/chart" uri="{C3380CC4-5D6E-409C-BE32-E72D297353CC}">
              <c16:uniqueId val="{00000003-B70B-43B9-AE0C-486FA71C2BDB}"/>
            </c:ext>
          </c:extLst>
        </c:ser>
        <c:ser>
          <c:idx val="2"/>
          <c:order val="2"/>
          <c:tx>
            <c:strRef>
              <c:f>'Eje 1-2'!$B$52</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0B-43B9-AE0C-486FA71C2BDB}"/>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70B-43B9-AE0C-486FA71C2BDB}"/>
                </c:ext>
              </c:extLst>
            </c:dLbl>
            <c:dLbl>
              <c:idx val="2"/>
              <c:layout>
                <c:manualLayout>
                  <c:x val="-3.5136943439491579E-2"/>
                  <c:y val="2.991263580553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70B-43B9-AE0C-486FA71C2BDB}"/>
                </c:ext>
              </c:extLst>
            </c:dLbl>
            <c:dLbl>
              <c:idx val="3"/>
              <c:layout>
                <c:manualLayout>
                  <c:x val="-2.7619089582616623E-3"/>
                  <c:y val="-4.9363792106216782E-2"/>
                </c:manualLayout>
              </c:layout>
              <c:dLblPos val="r"/>
              <c:showLegendKey val="0"/>
              <c:showVal val="1"/>
              <c:showCatName val="0"/>
              <c:showSerName val="1"/>
              <c:showPercent val="0"/>
              <c:showBubbleSize val="0"/>
              <c:extLst>
                <c:ext xmlns:c15="http://schemas.microsoft.com/office/drawing/2012/chart" uri="{CE6537A1-D6FC-4f65-9D91-7224C49458BB}">
                  <c15:layout>
                    <c:manualLayout>
                      <c:w val="0.20232815494821899"/>
                      <c:h val="7.6885332261965297E-2"/>
                    </c:manualLayout>
                  </c15:layout>
                </c:ext>
                <c:ext xmlns:c16="http://schemas.microsoft.com/office/drawing/2014/chart" uri="{C3380CC4-5D6E-409C-BE32-E72D297353CC}">
                  <c16:uniqueId val="{00000005-B70B-43B9-AE0C-486FA71C2BD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numRef>
              <c:f>'Eje 1-2'!$C$47:$F$47</c:f>
              <c:numCache>
                <c:formatCode>General</c:formatCode>
                <c:ptCount val="4"/>
                <c:pt idx="0">
                  <c:v>2020</c:v>
                </c:pt>
                <c:pt idx="1">
                  <c:v>2030</c:v>
                </c:pt>
                <c:pt idx="2">
                  <c:v>2040</c:v>
                </c:pt>
                <c:pt idx="3">
                  <c:v>2050</c:v>
                </c:pt>
              </c:numCache>
            </c:numRef>
          </c:cat>
          <c:val>
            <c:numRef>
              <c:f>'Eje 1-2'!$C$52:$F$52</c:f>
              <c:numCache>
                <c:formatCode>_(* #,##0_);_(* \(#,##0\);_(* "-"_);_(@_)</c:formatCode>
                <c:ptCount val="4"/>
                <c:pt idx="0">
                  <c:v>53</c:v>
                </c:pt>
                <c:pt idx="1">
                  <c:v>47</c:v>
                </c:pt>
                <c:pt idx="2">
                  <c:v>45</c:v>
                </c:pt>
                <c:pt idx="3">
                  <c:v>43</c:v>
                </c:pt>
              </c:numCache>
            </c:numRef>
          </c:val>
          <c:smooth val="0"/>
          <c:extLst>
            <c:ext xmlns:c16="http://schemas.microsoft.com/office/drawing/2014/chart" uri="{C3380CC4-5D6E-409C-BE32-E72D297353CC}">
              <c16:uniqueId val="{00000006-B70B-43B9-AE0C-486FA71C2BDB}"/>
            </c:ext>
          </c:extLst>
        </c:ser>
        <c:ser>
          <c:idx val="3"/>
          <c:order val="3"/>
          <c:tx>
            <c:strRef>
              <c:f>'Eje 1-2'!$B$50</c:f>
              <c:strCache>
                <c:ptCount val="1"/>
                <c:pt idx="0">
                  <c:v>Colombia</c:v>
                </c:pt>
              </c:strCache>
            </c:strRef>
          </c:tx>
          <c:spPr>
            <a:ln w="15875" cap="rnd">
              <a:solidFill>
                <a:schemeClr val="bg1"/>
              </a:solidFill>
              <a:prstDash val="lgDashDotDot"/>
              <a:round/>
            </a:ln>
            <a:effectLst/>
          </c:spPr>
          <c:marker>
            <c:symbol val="none"/>
          </c:marker>
          <c:cat>
            <c:numRef>
              <c:f>'Eje 1-2'!$C$47:$F$47</c:f>
              <c:numCache>
                <c:formatCode>General</c:formatCode>
                <c:ptCount val="4"/>
                <c:pt idx="0">
                  <c:v>2020</c:v>
                </c:pt>
                <c:pt idx="1">
                  <c:v>2030</c:v>
                </c:pt>
                <c:pt idx="2">
                  <c:v>2040</c:v>
                </c:pt>
                <c:pt idx="3">
                  <c:v>2050</c:v>
                </c:pt>
              </c:numCache>
            </c:numRef>
          </c:cat>
          <c:val>
            <c:numRef>
              <c:f>'Eje 1-2'!$C$50:$F$50</c:f>
              <c:numCache>
                <c:formatCode>_(* #,##0_);_(* \(#,##0\);_(* "-"_);_(@_)</c:formatCode>
                <c:ptCount val="4"/>
                <c:pt idx="0">
                  <c:v>69</c:v>
                </c:pt>
                <c:pt idx="1">
                  <c:v>64</c:v>
                </c:pt>
                <c:pt idx="2">
                  <c:v>57</c:v>
                </c:pt>
                <c:pt idx="3">
                  <c:v>50</c:v>
                </c:pt>
              </c:numCache>
            </c:numRef>
          </c:val>
          <c:smooth val="0"/>
          <c:extLst>
            <c:ext xmlns:c16="http://schemas.microsoft.com/office/drawing/2014/chart" uri="{C3380CC4-5D6E-409C-BE32-E72D297353CC}">
              <c16:uniqueId val="{00000009-B70B-43B9-AE0C-486FA71C2BDB}"/>
            </c:ext>
          </c:extLst>
        </c:ser>
        <c:ser>
          <c:idx val="4"/>
          <c:order val="4"/>
          <c:tx>
            <c:strRef>
              <c:f>'Eje 1-2'!$B$51</c:f>
              <c:strCache>
                <c:ptCount val="1"/>
                <c:pt idx="0">
                  <c:v>Chile</c:v>
                </c:pt>
              </c:strCache>
            </c:strRef>
          </c:tx>
          <c:spPr>
            <a:ln w="15875" cap="rnd">
              <a:solidFill>
                <a:schemeClr val="bg1"/>
              </a:solidFill>
              <a:prstDash val="dash"/>
              <a:round/>
            </a:ln>
            <a:effectLst/>
          </c:spPr>
          <c:marker>
            <c:symbol val="none"/>
          </c:marker>
          <c:cat>
            <c:numRef>
              <c:f>'Eje 1-2'!$C$47:$F$47</c:f>
              <c:numCache>
                <c:formatCode>General</c:formatCode>
                <c:ptCount val="4"/>
                <c:pt idx="0">
                  <c:v>2020</c:v>
                </c:pt>
                <c:pt idx="1">
                  <c:v>2030</c:v>
                </c:pt>
                <c:pt idx="2">
                  <c:v>2040</c:v>
                </c:pt>
                <c:pt idx="3">
                  <c:v>2050</c:v>
                </c:pt>
              </c:numCache>
            </c:numRef>
          </c:cat>
          <c:val>
            <c:numRef>
              <c:f>'Eje 1-2'!$C$51:$F$51</c:f>
              <c:numCache>
                <c:formatCode>_(* #,##0_);_(* \(#,##0\);_(* "-"_);_(@_)</c:formatCode>
                <c:ptCount val="4"/>
                <c:pt idx="0">
                  <c:v>30</c:v>
                </c:pt>
                <c:pt idx="1">
                  <c:v>25</c:v>
                </c:pt>
                <c:pt idx="2">
                  <c:v>17.5</c:v>
                </c:pt>
                <c:pt idx="3">
                  <c:v>10</c:v>
                </c:pt>
              </c:numCache>
            </c:numRef>
          </c:val>
          <c:smooth val="0"/>
          <c:extLst>
            <c:ext xmlns:c16="http://schemas.microsoft.com/office/drawing/2014/chart" uri="{C3380CC4-5D6E-409C-BE32-E72D297353CC}">
              <c16:uniqueId val="{0000000C-B70B-43B9-AE0C-486FA71C2BDB}"/>
            </c:ext>
          </c:extLst>
        </c:ser>
        <c:ser>
          <c:idx val="5"/>
          <c:order val="5"/>
          <c:tx>
            <c:strRef>
              <c:f>'Eje 1-2'!$B$49</c:f>
              <c:strCache>
                <c:ptCount val="1"/>
                <c:pt idx="0">
                  <c:v>Perú</c:v>
                </c:pt>
              </c:strCache>
            </c:strRef>
          </c:tx>
          <c:spPr>
            <a:ln w="28575" cap="rnd">
              <a:solidFill>
                <a:schemeClr val="bg1">
                  <a:lumMod val="85000"/>
                </a:schemeClr>
              </a:solidFill>
              <a:prstDash val="lgDashDot"/>
              <a:round/>
            </a:ln>
            <a:effectLst/>
          </c:spPr>
          <c:marker>
            <c:symbol val="circle"/>
            <c:size val="5"/>
            <c:spPr>
              <a:solidFill>
                <a:schemeClr val="accent2">
                  <a:shade val="50000"/>
                </a:schemeClr>
              </a:solidFill>
              <a:ln w="9525">
                <a:solidFill>
                  <a:schemeClr val="accent2">
                    <a:shade val="50000"/>
                  </a:schemeClr>
                </a:solidFill>
              </a:ln>
              <a:effectLst/>
            </c:spPr>
          </c:marker>
          <c:cat>
            <c:numRef>
              <c:f>'Eje 1-2'!$C$47:$F$47</c:f>
              <c:numCache>
                <c:formatCode>General</c:formatCode>
                <c:ptCount val="4"/>
                <c:pt idx="0">
                  <c:v>2020</c:v>
                </c:pt>
                <c:pt idx="1">
                  <c:v>2030</c:v>
                </c:pt>
                <c:pt idx="2">
                  <c:v>2040</c:v>
                </c:pt>
                <c:pt idx="3">
                  <c:v>2050</c:v>
                </c:pt>
              </c:numCache>
            </c:numRef>
          </c:cat>
          <c:val>
            <c:numRef>
              <c:f>'Eje 1-2'!$C$49:$F$49</c:f>
              <c:numCache>
                <c:formatCode>_(* #,##0_);_(* \(#,##0\);_(* "-"_);_(@_)</c:formatCode>
                <c:ptCount val="4"/>
                <c:pt idx="0">
                  <c:v>78.099999999999994</c:v>
                </c:pt>
                <c:pt idx="1">
                  <c:v>75</c:v>
                </c:pt>
                <c:pt idx="2">
                  <c:v>72.5</c:v>
                </c:pt>
                <c:pt idx="3">
                  <c:v>70</c:v>
                </c:pt>
              </c:numCache>
            </c:numRef>
          </c:val>
          <c:smooth val="0"/>
          <c:extLst>
            <c:ext xmlns:c16="http://schemas.microsoft.com/office/drawing/2014/chart" uri="{C3380CC4-5D6E-409C-BE32-E72D297353CC}">
              <c16:uniqueId val="{0000000F-B70B-43B9-AE0C-486FA71C2BDB}"/>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accent1">
                  <a:lumMod val="7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layout>
        <c:manualLayout>
          <c:xMode val="edge"/>
          <c:yMode val="edge"/>
          <c:x val="9.4141253896822777E-2"/>
          <c:y val="0.93887676008057486"/>
          <c:w val="0.86831161340717111"/>
          <c:h val="4.777931316602523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1"/>
          <c:order val="0"/>
          <c:tx>
            <c:strRef>
              <c:f>'Eje 1-2'!$L$48</c:f>
              <c:strCache>
                <c:ptCount val="1"/>
                <c:pt idx="0">
                  <c:v>FICEM</c:v>
                </c:pt>
              </c:strCache>
            </c:strRef>
          </c:tx>
          <c:spPr>
            <a:ln w="28575" cap="rnd">
              <a:solidFill>
                <a:srgbClr val="92D050"/>
              </a:solidFill>
              <a:round/>
            </a:ln>
            <a:effectLst/>
          </c:spPr>
          <c:marker>
            <c:symbol val="none"/>
          </c:marker>
          <c:dLbls>
            <c:dLbl>
              <c:idx val="3"/>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2828-4692-88F1-CD5C74433B3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1-2'!$M$47:$P$47</c:f>
              <c:numCache>
                <c:formatCode>General</c:formatCode>
                <c:ptCount val="4"/>
                <c:pt idx="0">
                  <c:v>2020</c:v>
                </c:pt>
                <c:pt idx="1">
                  <c:v>2030</c:v>
                </c:pt>
                <c:pt idx="2">
                  <c:v>2040</c:v>
                </c:pt>
                <c:pt idx="3">
                  <c:v>2050</c:v>
                </c:pt>
              </c:numCache>
            </c:numRef>
          </c:cat>
          <c:val>
            <c:numRef>
              <c:f>'Eje 1-2'!$M$48:$P$48</c:f>
              <c:numCache>
                <c:formatCode>_(* #,##0_);_(* \(#,##0\);_(* "-"_);_(@_)</c:formatCode>
                <c:ptCount val="4"/>
                <c:pt idx="0">
                  <c:v>28</c:v>
                </c:pt>
                <c:pt idx="1">
                  <c:v>33</c:v>
                </c:pt>
                <c:pt idx="2">
                  <c:v>39</c:v>
                </c:pt>
                <c:pt idx="3">
                  <c:v>45</c:v>
                </c:pt>
              </c:numCache>
            </c:numRef>
          </c:val>
          <c:smooth val="0"/>
          <c:extLst>
            <c:ext xmlns:c16="http://schemas.microsoft.com/office/drawing/2014/chart" uri="{C3380CC4-5D6E-409C-BE32-E72D297353CC}">
              <c16:uniqueId val="{00000003-C291-4027-B29C-90AD2AB02309}"/>
            </c:ext>
          </c:extLst>
        </c:ser>
        <c:ser>
          <c:idx val="2"/>
          <c:order val="1"/>
          <c:tx>
            <c:strRef>
              <c:f>'Eje 1-2'!$L$52</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3"/>
              <c:layout>
                <c:manualLayout>
                  <c:x val="-9.5824096807935986E-3"/>
                  <c:y val="3.1562302590494279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828-4692-88F1-CD5C74433B3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1-2'!$M$47:$P$47</c:f>
              <c:numCache>
                <c:formatCode>General</c:formatCode>
                <c:ptCount val="4"/>
                <c:pt idx="0">
                  <c:v>2020</c:v>
                </c:pt>
                <c:pt idx="1">
                  <c:v>2030</c:v>
                </c:pt>
                <c:pt idx="2">
                  <c:v>2040</c:v>
                </c:pt>
                <c:pt idx="3">
                  <c:v>2050</c:v>
                </c:pt>
              </c:numCache>
            </c:numRef>
          </c:cat>
          <c:val>
            <c:numRef>
              <c:f>'Eje 1-2'!$M$52:$P$52</c:f>
              <c:numCache>
                <c:formatCode>_(* #,##0_);_(* \(#,##0\);_(* "-"_);_(@_)</c:formatCode>
                <c:ptCount val="4"/>
                <c:pt idx="0">
                  <c:v>35</c:v>
                </c:pt>
                <c:pt idx="1">
                  <c:v>39</c:v>
                </c:pt>
                <c:pt idx="2">
                  <c:v>40.5</c:v>
                </c:pt>
                <c:pt idx="3">
                  <c:v>42</c:v>
                </c:pt>
              </c:numCache>
            </c:numRef>
          </c:val>
          <c:smooth val="0"/>
          <c:extLst>
            <c:ext xmlns:c16="http://schemas.microsoft.com/office/drawing/2014/chart" uri="{C3380CC4-5D6E-409C-BE32-E72D297353CC}">
              <c16:uniqueId val="{00000006-C291-4027-B29C-90AD2AB02309}"/>
            </c:ext>
          </c:extLst>
        </c:ser>
        <c:ser>
          <c:idx val="3"/>
          <c:order val="2"/>
          <c:tx>
            <c:strRef>
              <c:f>'Eje 1-2'!$L$50</c:f>
              <c:strCache>
                <c:ptCount val="1"/>
                <c:pt idx="0">
                  <c:v>Colombia</c:v>
                </c:pt>
              </c:strCache>
            </c:strRef>
          </c:tx>
          <c:spPr>
            <a:ln w="15875" cap="rnd">
              <a:solidFill>
                <a:schemeClr val="bg1"/>
              </a:solidFill>
              <a:prstDash val="lgDashDotDot"/>
              <a:round/>
            </a:ln>
            <a:effectLst/>
          </c:spPr>
          <c:marker>
            <c:symbol val="none"/>
          </c:marker>
          <c:cat>
            <c:numRef>
              <c:f>'Eje 1-2'!$M$47:$P$47</c:f>
              <c:numCache>
                <c:formatCode>General</c:formatCode>
                <c:ptCount val="4"/>
                <c:pt idx="0">
                  <c:v>2020</c:v>
                </c:pt>
                <c:pt idx="1">
                  <c:v>2030</c:v>
                </c:pt>
                <c:pt idx="2">
                  <c:v>2040</c:v>
                </c:pt>
                <c:pt idx="3">
                  <c:v>2050</c:v>
                </c:pt>
              </c:numCache>
            </c:numRef>
          </c:cat>
          <c:val>
            <c:numRef>
              <c:f>'Eje 1-2'!$M$50:$P$50</c:f>
              <c:numCache>
                <c:formatCode>_(* #,##0_);_(* \(#,##0\);_(* "-"_);_(@_)</c:formatCode>
                <c:ptCount val="4"/>
                <c:pt idx="0">
                  <c:v>23</c:v>
                </c:pt>
                <c:pt idx="1">
                  <c:v>26</c:v>
                </c:pt>
                <c:pt idx="2">
                  <c:v>30.5</c:v>
                </c:pt>
                <c:pt idx="3">
                  <c:v>35</c:v>
                </c:pt>
              </c:numCache>
            </c:numRef>
          </c:val>
          <c:smooth val="0"/>
          <c:extLst>
            <c:ext xmlns:c16="http://schemas.microsoft.com/office/drawing/2014/chart" uri="{C3380CC4-5D6E-409C-BE32-E72D297353CC}">
              <c16:uniqueId val="{00000009-C291-4027-B29C-90AD2AB02309}"/>
            </c:ext>
          </c:extLst>
        </c:ser>
        <c:ser>
          <c:idx val="4"/>
          <c:order val="3"/>
          <c:tx>
            <c:strRef>
              <c:f>'Eje 1-2'!$L$51</c:f>
              <c:strCache>
                <c:ptCount val="1"/>
                <c:pt idx="0">
                  <c:v>Chile</c:v>
                </c:pt>
              </c:strCache>
            </c:strRef>
          </c:tx>
          <c:spPr>
            <a:ln w="15875" cap="rnd">
              <a:solidFill>
                <a:schemeClr val="bg1"/>
              </a:solidFill>
              <a:prstDash val="dash"/>
              <a:round/>
            </a:ln>
            <a:effectLst/>
          </c:spPr>
          <c:marker>
            <c:symbol val="none"/>
          </c:marker>
          <c:cat>
            <c:numRef>
              <c:f>'Eje 1-2'!$M$47:$P$47</c:f>
              <c:numCache>
                <c:formatCode>General</c:formatCode>
                <c:ptCount val="4"/>
                <c:pt idx="0">
                  <c:v>2020</c:v>
                </c:pt>
                <c:pt idx="1">
                  <c:v>2030</c:v>
                </c:pt>
                <c:pt idx="2">
                  <c:v>2040</c:v>
                </c:pt>
                <c:pt idx="3">
                  <c:v>2050</c:v>
                </c:pt>
              </c:numCache>
            </c:numRef>
          </c:cat>
          <c:val>
            <c:numRef>
              <c:f>'Eje 1-2'!$M$51:$P$51</c:f>
              <c:numCache>
                <c:formatCode>_(* #,##0_);_(* \(#,##0\);_(* "-"_);_(@_)</c:formatCode>
                <c:ptCount val="4"/>
                <c:pt idx="0">
                  <c:v>55</c:v>
                </c:pt>
                <c:pt idx="1">
                  <c:v>60</c:v>
                </c:pt>
                <c:pt idx="2">
                  <c:v>65</c:v>
                </c:pt>
                <c:pt idx="3">
                  <c:v>70</c:v>
                </c:pt>
              </c:numCache>
            </c:numRef>
          </c:val>
          <c:smooth val="0"/>
          <c:extLst>
            <c:ext xmlns:c16="http://schemas.microsoft.com/office/drawing/2014/chart" uri="{C3380CC4-5D6E-409C-BE32-E72D297353CC}">
              <c16:uniqueId val="{0000000C-C291-4027-B29C-90AD2AB02309}"/>
            </c:ext>
          </c:extLst>
        </c:ser>
        <c:ser>
          <c:idx val="5"/>
          <c:order val="4"/>
          <c:tx>
            <c:strRef>
              <c:f>'Eje 1-2'!$L$49</c:f>
              <c:strCache>
                <c:ptCount val="1"/>
                <c:pt idx="0">
                  <c:v>Perú</c:v>
                </c:pt>
              </c:strCache>
            </c:strRef>
          </c:tx>
          <c:spPr>
            <a:ln w="28575" cap="rnd">
              <a:solidFill>
                <a:schemeClr val="bg1"/>
              </a:solidFill>
              <a:prstDash val="lgDashDot"/>
              <a:round/>
            </a:ln>
            <a:effectLst/>
          </c:spPr>
          <c:marker>
            <c:symbol val="none"/>
          </c:marker>
          <c:cat>
            <c:numRef>
              <c:f>'Eje 1-2'!$M$47:$P$47</c:f>
              <c:numCache>
                <c:formatCode>General</c:formatCode>
                <c:ptCount val="4"/>
                <c:pt idx="0">
                  <c:v>2020</c:v>
                </c:pt>
                <c:pt idx="1">
                  <c:v>2030</c:v>
                </c:pt>
                <c:pt idx="2">
                  <c:v>2040</c:v>
                </c:pt>
                <c:pt idx="3">
                  <c:v>2050</c:v>
                </c:pt>
              </c:numCache>
            </c:numRef>
          </c:cat>
          <c:val>
            <c:numRef>
              <c:f>'Eje 1-2'!$M$49:$P$49</c:f>
              <c:numCache>
                <c:formatCode>_(* #,##0_);_(* \(#,##0\);_(* "-"_);_(@_)</c:formatCode>
                <c:ptCount val="4"/>
                <c:pt idx="0">
                  <c:v>17</c:v>
                </c:pt>
                <c:pt idx="1">
                  <c:v>24</c:v>
                </c:pt>
                <c:pt idx="2">
                  <c:v>29</c:v>
                </c:pt>
                <c:pt idx="3">
                  <c:v>34</c:v>
                </c:pt>
              </c:numCache>
            </c:numRef>
          </c:val>
          <c:smooth val="0"/>
          <c:extLst>
            <c:ext xmlns:c16="http://schemas.microsoft.com/office/drawing/2014/chart" uri="{C3380CC4-5D6E-409C-BE32-E72D297353CC}">
              <c16:uniqueId val="{0000000D-C291-4027-B29C-90AD2AB02309}"/>
            </c:ext>
          </c:extLst>
        </c:ser>
        <c:dLbls>
          <c:showLegendKey val="0"/>
          <c:showVal val="0"/>
          <c:showCatName val="0"/>
          <c:showSerName val="0"/>
          <c:showPercent val="0"/>
          <c:showBubbleSize val="0"/>
        </c:dLbls>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accent1">
                  <a:lumMod val="7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1"/>
          <c:order val="0"/>
          <c:tx>
            <c:strRef>
              <c:f>'Eje 1-2'!$U$48</c:f>
              <c:strCache>
                <c:ptCount val="1"/>
                <c:pt idx="0">
                  <c:v>FICEM</c:v>
                </c:pt>
              </c:strCache>
            </c:strRef>
          </c:tx>
          <c:spPr>
            <a:ln w="28575" cap="rnd">
              <a:solidFill>
                <a:srgbClr val="92D05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616E-4FF4-87A6-674781FCF368}"/>
                </c:ext>
              </c:extLst>
            </c:dLbl>
            <c:dLbl>
              <c:idx val="1"/>
              <c:delete val="1"/>
              <c:extLst>
                <c:ext xmlns:c15="http://schemas.microsoft.com/office/drawing/2012/chart" uri="{CE6537A1-D6FC-4f65-9D91-7224C49458BB}"/>
                <c:ext xmlns:c16="http://schemas.microsoft.com/office/drawing/2014/chart" uri="{C3380CC4-5D6E-409C-BE32-E72D297353CC}">
                  <c16:uniqueId val="{00000003-616E-4FF4-87A6-674781FCF368}"/>
                </c:ext>
              </c:extLst>
            </c:dLbl>
            <c:dLbl>
              <c:idx val="2"/>
              <c:delete val="1"/>
              <c:extLst>
                <c:ext xmlns:c15="http://schemas.microsoft.com/office/drawing/2012/chart" uri="{CE6537A1-D6FC-4f65-9D91-7224C49458BB}"/>
                <c:ext xmlns:c16="http://schemas.microsoft.com/office/drawing/2014/chart" uri="{C3380CC4-5D6E-409C-BE32-E72D297353CC}">
                  <c16:uniqueId val="{00000002-616E-4FF4-87A6-674781FCF368}"/>
                </c:ext>
              </c:extLst>
            </c:dLbl>
            <c:dLbl>
              <c:idx val="3"/>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616E-4FF4-87A6-674781FCF36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1-2'!$V$47:$Y$47</c:f>
              <c:numCache>
                <c:formatCode>General</c:formatCode>
                <c:ptCount val="4"/>
                <c:pt idx="0">
                  <c:v>2020</c:v>
                </c:pt>
                <c:pt idx="1">
                  <c:v>2030</c:v>
                </c:pt>
                <c:pt idx="2">
                  <c:v>2040</c:v>
                </c:pt>
                <c:pt idx="3">
                  <c:v>2050</c:v>
                </c:pt>
              </c:numCache>
            </c:numRef>
          </c:cat>
          <c:val>
            <c:numRef>
              <c:f>'Eje 1-2'!$V$48:$Y$48</c:f>
              <c:numCache>
                <c:formatCode>_(* #,##0_);_(* \(#,##0\);_(* "-"_);_(@_)</c:formatCode>
                <c:ptCount val="4"/>
                <c:pt idx="0">
                  <c:v>5</c:v>
                </c:pt>
                <c:pt idx="1">
                  <c:v>5</c:v>
                </c:pt>
                <c:pt idx="2">
                  <c:v>5</c:v>
                </c:pt>
                <c:pt idx="3">
                  <c:v>5</c:v>
                </c:pt>
              </c:numCache>
            </c:numRef>
          </c:val>
          <c:smooth val="0"/>
          <c:extLst>
            <c:ext xmlns:c16="http://schemas.microsoft.com/office/drawing/2014/chart" uri="{C3380CC4-5D6E-409C-BE32-E72D297353CC}">
              <c16:uniqueId val="{00000000-F248-4E9E-B8E0-E9544AAD37FA}"/>
            </c:ext>
          </c:extLst>
        </c:ser>
        <c:ser>
          <c:idx val="2"/>
          <c:order val="1"/>
          <c:tx>
            <c:strRef>
              <c:f>'Eje 1-2'!$U$52</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3"/>
              <c:dLblPos val="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616E-4FF4-87A6-674781FCF36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1-2'!$V$47:$Y$47</c:f>
              <c:numCache>
                <c:formatCode>General</c:formatCode>
                <c:ptCount val="4"/>
                <c:pt idx="0">
                  <c:v>2020</c:v>
                </c:pt>
                <c:pt idx="1">
                  <c:v>2030</c:v>
                </c:pt>
                <c:pt idx="2">
                  <c:v>2040</c:v>
                </c:pt>
                <c:pt idx="3">
                  <c:v>2050</c:v>
                </c:pt>
              </c:numCache>
            </c:numRef>
          </c:cat>
          <c:val>
            <c:numRef>
              <c:f>'Eje 1-2'!$V$52:$Y$52</c:f>
              <c:numCache>
                <c:formatCode>_(* #,##0_);_(* \(#,##0\);_(* "-"_);_(@_)</c:formatCode>
                <c:ptCount val="4"/>
                <c:pt idx="0">
                  <c:v>7</c:v>
                </c:pt>
                <c:pt idx="1">
                  <c:v>7</c:v>
                </c:pt>
                <c:pt idx="2">
                  <c:v>7</c:v>
                </c:pt>
                <c:pt idx="3">
                  <c:v>7</c:v>
                </c:pt>
              </c:numCache>
            </c:numRef>
          </c:val>
          <c:smooth val="0"/>
          <c:extLst>
            <c:ext xmlns:c16="http://schemas.microsoft.com/office/drawing/2014/chart" uri="{C3380CC4-5D6E-409C-BE32-E72D297353CC}">
              <c16:uniqueId val="{00000001-F248-4E9E-B8E0-E9544AAD37FA}"/>
            </c:ext>
          </c:extLst>
        </c:ser>
        <c:ser>
          <c:idx val="3"/>
          <c:order val="2"/>
          <c:tx>
            <c:strRef>
              <c:f>'Eje 1-2'!$U$50</c:f>
              <c:strCache>
                <c:ptCount val="1"/>
                <c:pt idx="0">
                  <c:v>Colombia</c:v>
                </c:pt>
              </c:strCache>
            </c:strRef>
          </c:tx>
          <c:spPr>
            <a:ln w="15875" cap="rnd">
              <a:solidFill>
                <a:schemeClr val="bg1"/>
              </a:solidFill>
              <a:prstDash val="lgDashDotDot"/>
              <a:round/>
            </a:ln>
            <a:effectLst/>
          </c:spPr>
          <c:marker>
            <c:symbol val="none"/>
          </c:marker>
          <c:cat>
            <c:numRef>
              <c:f>'Eje 1-2'!$V$47:$Y$47</c:f>
              <c:numCache>
                <c:formatCode>General</c:formatCode>
                <c:ptCount val="4"/>
                <c:pt idx="0">
                  <c:v>2020</c:v>
                </c:pt>
                <c:pt idx="1">
                  <c:v>2030</c:v>
                </c:pt>
                <c:pt idx="2">
                  <c:v>2040</c:v>
                </c:pt>
                <c:pt idx="3">
                  <c:v>2050</c:v>
                </c:pt>
              </c:numCache>
            </c:numRef>
          </c:cat>
          <c:val>
            <c:numRef>
              <c:f>'Eje 1-2'!$V$50:$Y$50</c:f>
              <c:numCache>
                <c:formatCode>_(* #,##0_);_(* \(#,##0\);_(* "-"_);_(@_)</c:formatCode>
                <c:ptCount val="4"/>
                <c:pt idx="0">
                  <c:v>6</c:v>
                </c:pt>
                <c:pt idx="1">
                  <c:v>5</c:v>
                </c:pt>
                <c:pt idx="2">
                  <c:v>7.5</c:v>
                </c:pt>
                <c:pt idx="3">
                  <c:v>10</c:v>
                </c:pt>
              </c:numCache>
            </c:numRef>
          </c:val>
          <c:smooth val="0"/>
          <c:extLst>
            <c:ext xmlns:c16="http://schemas.microsoft.com/office/drawing/2014/chart" uri="{C3380CC4-5D6E-409C-BE32-E72D297353CC}">
              <c16:uniqueId val="{00000002-F248-4E9E-B8E0-E9544AAD37FA}"/>
            </c:ext>
          </c:extLst>
        </c:ser>
        <c:ser>
          <c:idx val="4"/>
          <c:order val="3"/>
          <c:tx>
            <c:strRef>
              <c:f>'Eje 1-2'!$U$51</c:f>
              <c:strCache>
                <c:ptCount val="1"/>
                <c:pt idx="0">
                  <c:v>Chile</c:v>
                </c:pt>
              </c:strCache>
            </c:strRef>
          </c:tx>
          <c:spPr>
            <a:ln w="15875" cap="rnd">
              <a:solidFill>
                <a:schemeClr val="bg1"/>
              </a:solidFill>
              <a:prstDash val="dash"/>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6E-4FF4-87A6-674781FCF36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1-2'!$V$47:$Y$47</c:f>
              <c:numCache>
                <c:formatCode>General</c:formatCode>
                <c:ptCount val="4"/>
                <c:pt idx="0">
                  <c:v>2020</c:v>
                </c:pt>
                <c:pt idx="1">
                  <c:v>2030</c:v>
                </c:pt>
                <c:pt idx="2">
                  <c:v>2040</c:v>
                </c:pt>
                <c:pt idx="3">
                  <c:v>2050</c:v>
                </c:pt>
              </c:numCache>
            </c:numRef>
          </c:cat>
          <c:val>
            <c:numRef>
              <c:f>'Eje 1-2'!$V$51:$Y$51</c:f>
              <c:numCache>
                <c:formatCode>_(* #,##0_);_(* \(#,##0\);_(* "-"_);_(@_)</c:formatCode>
                <c:ptCount val="4"/>
                <c:pt idx="0">
                  <c:v>10</c:v>
                </c:pt>
                <c:pt idx="1">
                  <c:v>5</c:v>
                </c:pt>
                <c:pt idx="2">
                  <c:v>7.5</c:v>
                </c:pt>
                <c:pt idx="3">
                  <c:v>10</c:v>
                </c:pt>
              </c:numCache>
            </c:numRef>
          </c:val>
          <c:smooth val="0"/>
          <c:extLst>
            <c:ext xmlns:c16="http://schemas.microsoft.com/office/drawing/2014/chart" uri="{C3380CC4-5D6E-409C-BE32-E72D297353CC}">
              <c16:uniqueId val="{00000003-F248-4E9E-B8E0-E9544AAD37FA}"/>
            </c:ext>
          </c:extLst>
        </c:ser>
        <c:ser>
          <c:idx val="5"/>
          <c:order val="4"/>
          <c:tx>
            <c:strRef>
              <c:f>'Eje 1-2'!$U$49</c:f>
              <c:strCache>
                <c:ptCount val="1"/>
                <c:pt idx="0">
                  <c:v>Perú</c:v>
                </c:pt>
              </c:strCache>
            </c:strRef>
          </c:tx>
          <c:spPr>
            <a:ln w="28575" cap="rnd">
              <a:solidFill>
                <a:schemeClr val="bg1"/>
              </a:solidFill>
              <a:prstDash val="lgDashDot"/>
              <a:round/>
            </a:ln>
            <a:effectLst/>
          </c:spPr>
          <c:marker>
            <c:symbol val="none"/>
          </c:marker>
          <c:cat>
            <c:numRef>
              <c:f>'Eje 1-2'!$V$47:$Y$47</c:f>
              <c:numCache>
                <c:formatCode>General</c:formatCode>
                <c:ptCount val="4"/>
                <c:pt idx="0">
                  <c:v>2020</c:v>
                </c:pt>
                <c:pt idx="1">
                  <c:v>2030</c:v>
                </c:pt>
                <c:pt idx="2">
                  <c:v>2040</c:v>
                </c:pt>
                <c:pt idx="3">
                  <c:v>2050</c:v>
                </c:pt>
              </c:numCache>
            </c:numRef>
          </c:cat>
          <c:val>
            <c:numRef>
              <c:f>'Eje 1-2'!$V$49:$Y$49</c:f>
              <c:numCache>
                <c:formatCode>_(* #,##0_);_(* \(#,##0\);_(* "-"_);_(@_)</c:formatCode>
                <c:ptCount val="4"/>
                <c:pt idx="0">
                  <c:v>3</c:v>
                </c:pt>
                <c:pt idx="1">
                  <c:v>6</c:v>
                </c:pt>
                <c:pt idx="2">
                  <c:v>6.5</c:v>
                </c:pt>
                <c:pt idx="3">
                  <c:v>7</c:v>
                </c:pt>
              </c:numCache>
            </c:numRef>
          </c:val>
          <c:smooth val="0"/>
          <c:extLst>
            <c:ext xmlns:c16="http://schemas.microsoft.com/office/drawing/2014/chart" uri="{C3380CC4-5D6E-409C-BE32-E72D297353CC}">
              <c16:uniqueId val="{00000004-F248-4E9E-B8E0-E9544AAD37FA}"/>
            </c:ext>
          </c:extLst>
        </c:ser>
        <c:dLbls>
          <c:showLegendKey val="0"/>
          <c:showVal val="0"/>
          <c:showCatName val="0"/>
          <c:showSerName val="0"/>
          <c:showPercent val="0"/>
          <c:showBubbleSize val="0"/>
        </c:dLbls>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20"/>
          <c:min val="0"/>
        </c:scaling>
        <c:delete val="0"/>
        <c:axPos val="l"/>
        <c:majorGridlines>
          <c:spPr>
            <a:ln w="9525" cap="flat" cmpd="sng" algn="ctr">
              <a:solidFill>
                <a:schemeClr val="accent1">
                  <a:lumMod val="7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1"/>
          <c:order val="0"/>
          <c:tx>
            <c:strRef>
              <c:f>'Eje 1-2'!$AF$48</c:f>
              <c:strCache>
                <c:ptCount val="1"/>
                <c:pt idx="0">
                  <c:v>FICEM</c:v>
                </c:pt>
              </c:strCache>
            </c:strRef>
          </c:tx>
          <c:spPr>
            <a:ln w="28575" cap="rnd">
              <a:solidFill>
                <a:srgbClr val="92D050"/>
              </a:solidFill>
              <a:round/>
            </a:ln>
            <a:effectLst/>
          </c:spPr>
          <c:marker>
            <c:symbol val="none"/>
          </c:marker>
          <c:dLbls>
            <c:dLbl>
              <c:idx val="3"/>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999C-4CB3-8245-522FC6675A9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1-2'!$AG$47:$AJ$47</c:f>
              <c:numCache>
                <c:formatCode>General</c:formatCode>
                <c:ptCount val="4"/>
                <c:pt idx="0">
                  <c:v>2020</c:v>
                </c:pt>
                <c:pt idx="1">
                  <c:v>2030</c:v>
                </c:pt>
                <c:pt idx="2">
                  <c:v>2040</c:v>
                </c:pt>
                <c:pt idx="3">
                  <c:v>2050</c:v>
                </c:pt>
              </c:numCache>
            </c:numRef>
          </c:cat>
          <c:val>
            <c:numRef>
              <c:f>'Eje 1-2'!$AG$48:$AJ$48</c:f>
              <c:numCache>
                <c:formatCode>_(* #,##0_);_(* \(#,##0\);_(* "-"_);_(@_)</c:formatCode>
                <c:ptCount val="4"/>
                <c:pt idx="0">
                  <c:v>3</c:v>
                </c:pt>
                <c:pt idx="1">
                  <c:v>3</c:v>
                </c:pt>
                <c:pt idx="2">
                  <c:v>6.5</c:v>
                </c:pt>
                <c:pt idx="3">
                  <c:v>10</c:v>
                </c:pt>
              </c:numCache>
            </c:numRef>
          </c:val>
          <c:smooth val="0"/>
          <c:extLst>
            <c:ext xmlns:c16="http://schemas.microsoft.com/office/drawing/2014/chart" uri="{C3380CC4-5D6E-409C-BE32-E72D297353CC}">
              <c16:uniqueId val="{00000000-B0BD-4983-8354-0FB5C58947F4}"/>
            </c:ext>
          </c:extLst>
        </c:ser>
        <c:ser>
          <c:idx val="2"/>
          <c:order val="1"/>
          <c:tx>
            <c:strRef>
              <c:f>'Eje 1-2'!$AF$52</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3"/>
              <c:layout>
                <c:manualLayout>
                  <c:x val="-1.6521211158585625E-2"/>
                  <c:y val="-3.536962634121512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999C-4CB3-8245-522FC6675A9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1-2'!$AG$47:$AJ$47</c:f>
              <c:numCache>
                <c:formatCode>General</c:formatCode>
                <c:ptCount val="4"/>
                <c:pt idx="0">
                  <c:v>2020</c:v>
                </c:pt>
                <c:pt idx="1">
                  <c:v>2030</c:v>
                </c:pt>
                <c:pt idx="2">
                  <c:v>2040</c:v>
                </c:pt>
                <c:pt idx="3">
                  <c:v>2050</c:v>
                </c:pt>
              </c:numCache>
            </c:numRef>
          </c:cat>
          <c:val>
            <c:numRef>
              <c:f>'Eje 1-2'!$AG$52:$AJ$52</c:f>
              <c:numCache>
                <c:formatCode>_(* #,##0_);_(* \(#,##0\);_(* "-"_);_(@_)</c:formatCode>
                <c:ptCount val="4"/>
                <c:pt idx="0">
                  <c:v>5</c:v>
                </c:pt>
                <c:pt idx="1">
                  <c:v>7</c:v>
                </c:pt>
                <c:pt idx="2">
                  <c:v>7</c:v>
                </c:pt>
                <c:pt idx="3">
                  <c:v>7</c:v>
                </c:pt>
              </c:numCache>
            </c:numRef>
          </c:val>
          <c:smooth val="0"/>
          <c:extLst>
            <c:ext xmlns:c16="http://schemas.microsoft.com/office/drawing/2014/chart" uri="{C3380CC4-5D6E-409C-BE32-E72D297353CC}">
              <c16:uniqueId val="{00000001-B0BD-4983-8354-0FB5C58947F4}"/>
            </c:ext>
          </c:extLst>
        </c:ser>
        <c:ser>
          <c:idx val="3"/>
          <c:order val="2"/>
          <c:tx>
            <c:strRef>
              <c:f>'Eje 1-2'!$AF$50</c:f>
              <c:strCache>
                <c:ptCount val="1"/>
                <c:pt idx="0">
                  <c:v>Colombia</c:v>
                </c:pt>
              </c:strCache>
            </c:strRef>
          </c:tx>
          <c:spPr>
            <a:ln w="15875" cap="rnd">
              <a:solidFill>
                <a:schemeClr val="bg1"/>
              </a:solidFill>
              <a:prstDash val="lgDashDotDot"/>
              <a:round/>
            </a:ln>
            <a:effectLst/>
          </c:spPr>
          <c:marker>
            <c:symbol val="none"/>
          </c:marker>
          <c:cat>
            <c:numRef>
              <c:f>'Eje 1-2'!$AG$47:$AJ$47</c:f>
              <c:numCache>
                <c:formatCode>General</c:formatCode>
                <c:ptCount val="4"/>
                <c:pt idx="0">
                  <c:v>2020</c:v>
                </c:pt>
                <c:pt idx="1">
                  <c:v>2030</c:v>
                </c:pt>
                <c:pt idx="2">
                  <c:v>2040</c:v>
                </c:pt>
                <c:pt idx="3">
                  <c:v>2050</c:v>
                </c:pt>
              </c:numCache>
            </c:numRef>
          </c:cat>
          <c:val>
            <c:numRef>
              <c:f>'Eje 1-2'!$AG$50:$AJ$50</c:f>
              <c:numCache>
                <c:formatCode>_(* #,##0_);_(* \(#,##0\);_(* "-"_);_(@_)</c:formatCode>
                <c:ptCount val="4"/>
                <c:pt idx="0">
                  <c:v>3</c:v>
                </c:pt>
                <c:pt idx="1">
                  <c:v>5</c:v>
                </c:pt>
                <c:pt idx="2">
                  <c:v>5</c:v>
                </c:pt>
                <c:pt idx="3">
                  <c:v>5</c:v>
                </c:pt>
              </c:numCache>
            </c:numRef>
          </c:val>
          <c:smooth val="0"/>
          <c:extLst>
            <c:ext xmlns:c16="http://schemas.microsoft.com/office/drawing/2014/chart" uri="{C3380CC4-5D6E-409C-BE32-E72D297353CC}">
              <c16:uniqueId val="{00000002-B0BD-4983-8354-0FB5C58947F4}"/>
            </c:ext>
          </c:extLst>
        </c:ser>
        <c:ser>
          <c:idx val="4"/>
          <c:order val="3"/>
          <c:tx>
            <c:strRef>
              <c:f>'Eje 1-2'!$AF$51</c:f>
              <c:strCache>
                <c:ptCount val="1"/>
                <c:pt idx="0">
                  <c:v>Chile</c:v>
                </c:pt>
              </c:strCache>
            </c:strRef>
          </c:tx>
          <c:spPr>
            <a:ln w="15875" cap="rnd">
              <a:solidFill>
                <a:schemeClr val="bg1"/>
              </a:solidFill>
              <a:prstDash val="dash"/>
              <a:round/>
            </a:ln>
            <a:effectLst/>
          </c:spPr>
          <c:marker>
            <c:symbol val="none"/>
          </c:marker>
          <c:cat>
            <c:numRef>
              <c:f>'Eje 1-2'!$AG$47:$AJ$47</c:f>
              <c:numCache>
                <c:formatCode>General</c:formatCode>
                <c:ptCount val="4"/>
                <c:pt idx="0">
                  <c:v>2020</c:v>
                </c:pt>
                <c:pt idx="1">
                  <c:v>2030</c:v>
                </c:pt>
                <c:pt idx="2">
                  <c:v>2040</c:v>
                </c:pt>
                <c:pt idx="3">
                  <c:v>2050</c:v>
                </c:pt>
              </c:numCache>
            </c:numRef>
          </c:cat>
          <c:val>
            <c:numRef>
              <c:f>'Eje 1-2'!$AG$51:$AJ$51</c:f>
              <c:numCache>
                <c:formatCode>_(* #,##0_);_(* \(#,##0\);_(* "-"_);_(@_)</c:formatCode>
                <c:ptCount val="4"/>
                <c:pt idx="0">
                  <c:v>5</c:v>
                </c:pt>
                <c:pt idx="1">
                  <c:v>10</c:v>
                </c:pt>
                <c:pt idx="2">
                  <c:v>12.5</c:v>
                </c:pt>
                <c:pt idx="3">
                  <c:v>15</c:v>
                </c:pt>
              </c:numCache>
            </c:numRef>
          </c:val>
          <c:smooth val="0"/>
          <c:extLst>
            <c:ext xmlns:c16="http://schemas.microsoft.com/office/drawing/2014/chart" uri="{C3380CC4-5D6E-409C-BE32-E72D297353CC}">
              <c16:uniqueId val="{00000003-B0BD-4983-8354-0FB5C58947F4}"/>
            </c:ext>
          </c:extLst>
        </c:ser>
        <c:ser>
          <c:idx val="5"/>
          <c:order val="4"/>
          <c:tx>
            <c:strRef>
              <c:f>'Eje 1-2'!$AF$49</c:f>
              <c:strCache>
                <c:ptCount val="1"/>
                <c:pt idx="0">
                  <c:v>Perú</c:v>
                </c:pt>
              </c:strCache>
            </c:strRef>
          </c:tx>
          <c:spPr>
            <a:ln w="28575" cap="rnd">
              <a:solidFill>
                <a:schemeClr val="bg1"/>
              </a:solidFill>
              <a:prstDash val="lgDashDot"/>
              <a:round/>
            </a:ln>
            <a:effectLst/>
          </c:spPr>
          <c:marker>
            <c:symbol val="none"/>
          </c:marker>
          <c:cat>
            <c:numRef>
              <c:f>'Eje 1-2'!$AG$47:$AJ$47</c:f>
              <c:numCache>
                <c:formatCode>General</c:formatCode>
                <c:ptCount val="4"/>
                <c:pt idx="0">
                  <c:v>2020</c:v>
                </c:pt>
                <c:pt idx="1">
                  <c:v>2030</c:v>
                </c:pt>
                <c:pt idx="2">
                  <c:v>2040</c:v>
                </c:pt>
                <c:pt idx="3">
                  <c:v>2050</c:v>
                </c:pt>
              </c:numCache>
            </c:numRef>
          </c:cat>
          <c:val>
            <c:numRef>
              <c:f>'Eje 1-2'!$AG$49:$AJ$49</c:f>
              <c:numCache>
                <c:formatCode>_(* #,##0_);_(* \(#,##0\);_(* "-"_);_(@_)</c:formatCode>
                <c:ptCount val="4"/>
                <c:pt idx="0">
                  <c:v>1</c:v>
                </c:pt>
                <c:pt idx="1">
                  <c:v>2</c:v>
                </c:pt>
                <c:pt idx="2">
                  <c:v>3</c:v>
                </c:pt>
                <c:pt idx="3">
                  <c:v>4</c:v>
                </c:pt>
              </c:numCache>
            </c:numRef>
          </c:val>
          <c:smooth val="0"/>
          <c:extLst>
            <c:ext xmlns:c16="http://schemas.microsoft.com/office/drawing/2014/chart" uri="{C3380CC4-5D6E-409C-BE32-E72D297353CC}">
              <c16:uniqueId val="{00000004-B0BD-4983-8354-0FB5C58947F4}"/>
            </c:ext>
          </c:extLst>
        </c:ser>
        <c:dLbls>
          <c:showLegendKey val="0"/>
          <c:showVal val="0"/>
          <c:showCatName val="0"/>
          <c:showSerName val="0"/>
          <c:showPercent val="0"/>
          <c:showBubbleSize val="0"/>
        </c:dLbls>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20"/>
          <c:min val="0"/>
        </c:scaling>
        <c:delete val="0"/>
        <c:axPos val="l"/>
        <c:majorGridlines>
          <c:spPr>
            <a:ln w="9525" cap="flat" cmpd="sng" algn="ctr">
              <a:solidFill>
                <a:schemeClr val="accent1">
                  <a:lumMod val="7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1713038211261727"/>
          <c:y val="2.3258067608553395E-2"/>
          <c:w val="0.85784379147255896"/>
          <c:h val="0.83498307076932476"/>
        </c:manualLayout>
      </c:layout>
      <c:lineChart>
        <c:grouping val="standard"/>
        <c:varyColors val="0"/>
        <c:ser>
          <c:idx val="0"/>
          <c:order val="0"/>
          <c:tx>
            <c:strRef>
              <c:f>'Eje 2'!$C$40</c:f>
              <c:strCache>
                <c:ptCount val="1"/>
                <c:pt idx="0">
                  <c:v>FICEM</c:v>
                </c:pt>
              </c:strCache>
            </c:strRef>
          </c:tx>
          <c:spPr>
            <a:ln w="28575" cap="rnd">
              <a:solidFill>
                <a:srgbClr val="92D050"/>
              </a:solidFill>
              <a:round/>
            </a:ln>
            <a:effectLst/>
          </c:spPr>
          <c:marker>
            <c:symbol val="none"/>
          </c:marker>
          <c:dPt>
            <c:idx val="1"/>
            <c:marker>
              <c:symbol val="none"/>
            </c:marker>
            <c:bubble3D val="0"/>
            <c:extLst>
              <c:ext xmlns:c16="http://schemas.microsoft.com/office/drawing/2014/chart" uri="{C3380CC4-5D6E-409C-BE32-E72D297353CC}">
                <c16:uniqueId val="{00000000-AEF3-43BB-B3F2-D9D094FEB5D5}"/>
              </c:ext>
            </c:extLst>
          </c:dPt>
          <c:dLbls>
            <c:dLbl>
              <c:idx val="3"/>
              <c:layout>
                <c:manualLayout>
                  <c:x val="-2.6101141924959336E-2"/>
                  <c:y val="-4.722892641584512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F661-49E4-B3AB-BF32EF5775B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'Eje 2'!$D$39:$G$39</c:f>
              <c:numCache>
                <c:formatCode>General</c:formatCode>
                <c:ptCount val="4"/>
                <c:pt idx="0">
                  <c:v>2020</c:v>
                </c:pt>
                <c:pt idx="1">
                  <c:v>2030</c:v>
                </c:pt>
                <c:pt idx="2">
                  <c:v>2040</c:v>
                </c:pt>
                <c:pt idx="3">
                  <c:v>2050</c:v>
                </c:pt>
              </c:numCache>
            </c:numRef>
          </c:cat>
          <c:val>
            <c:numRef>
              <c:f>'Eje 2'!$D$40:$G$40</c:f>
              <c:numCache>
                <c:formatCode>_(* #,##0_);_(* \(#,##0\);_(* "-"_);_(@_)</c:formatCode>
                <c:ptCount val="4"/>
                <c:pt idx="0">
                  <c:v>451</c:v>
                </c:pt>
                <c:pt idx="1">
                  <c:v>447</c:v>
                </c:pt>
                <c:pt idx="2">
                  <c:v>401.5</c:v>
                </c:pt>
                <c:pt idx="3">
                  <c:v>356</c:v>
                </c:pt>
              </c:numCache>
            </c:numRef>
          </c:val>
          <c:smooth val="0"/>
          <c:extLst>
            <c:ext xmlns:c16="http://schemas.microsoft.com/office/drawing/2014/chart" uri="{C3380CC4-5D6E-409C-BE32-E72D297353CC}">
              <c16:uniqueId val="{00000001-AEF3-43BB-B3F2-D9D094FEB5D5}"/>
            </c:ext>
          </c:extLst>
        </c:ser>
        <c:ser>
          <c:idx val="1"/>
          <c:order val="1"/>
          <c:tx>
            <c:strRef>
              <c:f>'Eje 2'!$C$41</c:f>
              <c:strCache>
                <c:ptCount val="1"/>
                <c:pt idx="0">
                  <c:v>Perú</c:v>
                </c:pt>
              </c:strCache>
            </c:strRef>
          </c:tx>
          <c:spPr>
            <a:ln w="28575" cap="rnd">
              <a:solidFill>
                <a:schemeClr val="bg1"/>
              </a:solidFill>
              <a:prstDash val="lgDashDot"/>
              <a:round/>
            </a:ln>
            <a:effectLst/>
          </c:spPr>
          <c:marker>
            <c:symbol val="none"/>
          </c:marker>
          <c:cat>
            <c:numRef>
              <c:f>'Eje 2'!$D$39:$G$39</c:f>
              <c:numCache>
                <c:formatCode>General</c:formatCode>
                <c:ptCount val="4"/>
                <c:pt idx="0">
                  <c:v>2020</c:v>
                </c:pt>
                <c:pt idx="1">
                  <c:v>2030</c:v>
                </c:pt>
                <c:pt idx="2">
                  <c:v>2040</c:v>
                </c:pt>
                <c:pt idx="3">
                  <c:v>2050</c:v>
                </c:pt>
              </c:numCache>
            </c:numRef>
          </c:cat>
          <c:val>
            <c:numRef>
              <c:f>'Eje 2'!$D$41:$G$41</c:f>
              <c:numCache>
                <c:formatCode>_(* #,##0_);_(* \(#,##0\);_(* "-"_);_(@_)</c:formatCode>
                <c:ptCount val="4"/>
                <c:pt idx="0">
                  <c:v>366</c:v>
                </c:pt>
                <c:pt idx="1">
                  <c:v>322</c:v>
                </c:pt>
                <c:pt idx="2">
                  <c:v>316</c:v>
                </c:pt>
                <c:pt idx="3">
                  <c:v>310</c:v>
                </c:pt>
              </c:numCache>
            </c:numRef>
          </c:val>
          <c:smooth val="0"/>
          <c:extLst>
            <c:ext xmlns:c16="http://schemas.microsoft.com/office/drawing/2014/chart" uri="{C3380CC4-5D6E-409C-BE32-E72D297353CC}">
              <c16:uniqueId val="{00000002-AEF3-43BB-B3F2-D9D094FEB5D5}"/>
            </c:ext>
          </c:extLst>
        </c:ser>
        <c:ser>
          <c:idx val="2"/>
          <c:order val="2"/>
          <c:tx>
            <c:strRef>
              <c:f>'Eje 2'!$C$42</c:f>
              <c:strCache>
                <c:ptCount val="1"/>
                <c:pt idx="0">
                  <c:v>Colombia</c:v>
                </c:pt>
              </c:strCache>
            </c:strRef>
          </c:tx>
          <c:spPr>
            <a:ln w="12700" cap="rnd">
              <a:solidFill>
                <a:schemeClr val="bg1">
                  <a:lumMod val="95000"/>
                </a:schemeClr>
              </a:solidFill>
              <a:prstDash val="lgDashDotDot"/>
              <a:round/>
            </a:ln>
            <a:effectLst/>
          </c:spPr>
          <c:marker>
            <c:symbol val="none"/>
          </c:marker>
          <c:cat>
            <c:numRef>
              <c:f>'Eje 2'!$D$39:$G$39</c:f>
              <c:numCache>
                <c:formatCode>General</c:formatCode>
                <c:ptCount val="4"/>
                <c:pt idx="0">
                  <c:v>2020</c:v>
                </c:pt>
                <c:pt idx="1">
                  <c:v>2030</c:v>
                </c:pt>
                <c:pt idx="2">
                  <c:v>2040</c:v>
                </c:pt>
                <c:pt idx="3">
                  <c:v>2050</c:v>
                </c:pt>
              </c:numCache>
            </c:numRef>
          </c:cat>
          <c:val>
            <c:numRef>
              <c:f>'Eje 2'!$D$42:$G$42</c:f>
              <c:numCache>
                <c:formatCode>_(* #,##0_);_(* \(#,##0\);_(* "-"_);_(@_)</c:formatCode>
                <c:ptCount val="4"/>
                <c:pt idx="0">
                  <c:v>366</c:v>
                </c:pt>
                <c:pt idx="1">
                  <c:v>333</c:v>
                </c:pt>
                <c:pt idx="2">
                  <c:v>316.5</c:v>
                </c:pt>
                <c:pt idx="3">
                  <c:v>300</c:v>
                </c:pt>
              </c:numCache>
            </c:numRef>
          </c:val>
          <c:smooth val="0"/>
          <c:extLst>
            <c:ext xmlns:c16="http://schemas.microsoft.com/office/drawing/2014/chart" uri="{C3380CC4-5D6E-409C-BE32-E72D297353CC}">
              <c16:uniqueId val="{00000004-AEF3-43BB-B3F2-D9D094FEB5D5}"/>
            </c:ext>
          </c:extLst>
        </c:ser>
        <c:ser>
          <c:idx val="3"/>
          <c:order val="3"/>
          <c:tx>
            <c:strRef>
              <c:f>'Eje 2'!$C$43</c:f>
              <c:strCache>
                <c:ptCount val="1"/>
                <c:pt idx="0">
                  <c:v>Chile</c:v>
                </c:pt>
              </c:strCache>
            </c:strRef>
          </c:tx>
          <c:spPr>
            <a:ln w="12700" cap="rnd">
              <a:solidFill>
                <a:schemeClr val="bg1">
                  <a:lumMod val="95000"/>
                </a:schemeClr>
              </a:solidFill>
              <a:prstDash val="dash"/>
              <a:round/>
            </a:ln>
            <a:effectLst/>
          </c:spPr>
          <c:marker>
            <c:symbol val="none"/>
          </c:marker>
          <c:cat>
            <c:numRef>
              <c:f>'Eje 2'!$D$39:$G$39</c:f>
              <c:numCache>
                <c:formatCode>General</c:formatCode>
                <c:ptCount val="4"/>
                <c:pt idx="0">
                  <c:v>2020</c:v>
                </c:pt>
                <c:pt idx="1">
                  <c:v>2030</c:v>
                </c:pt>
                <c:pt idx="2">
                  <c:v>2040</c:v>
                </c:pt>
                <c:pt idx="3">
                  <c:v>2050</c:v>
                </c:pt>
              </c:numCache>
            </c:numRef>
          </c:cat>
          <c:val>
            <c:numRef>
              <c:f>'Eje 2'!$D$43:$G$43</c:f>
              <c:numCache>
                <c:formatCode>_(* #,##0_);_(* \(#,##0\);_(* "-"_);_(@_)</c:formatCode>
                <c:ptCount val="4"/>
                <c:pt idx="0">
                  <c:v>354</c:v>
                </c:pt>
                <c:pt idx="1">
                  <c:v>347</c:v>
                </c:pt>
                <c:pt idx="2">
                  <c:v>336.5</c:v>
                </c:pt>
                <c:pt idx="3">
                  <c:v>326</c:v>
                </c:pt>
              </c:numCache>
            </c:numRef>
          </c:val>
          <c:smooth val="0"/>
          <c:extLst>
            <c:ext xmlns:c16="http://schemas.microsoft.com/office/drawing/2014/chart" uri="{C3380CC4-5D6E-409C-BE32-E72D297353CC}">
              <c16:uniqueId val="{00000008-AEF3-43BB-B3F2-D9D094FEB5D5}"/>
            </c:ext>
          </c:extLst>
        </c:ser>
        <c:ser>
          <c:idx val="4"/>
          <c:order val="4"/>
          <c:tx>
            <c:strRef>
              <c:f>'Eje 2'!$C$44</c:f>
              <c:strCache>
                <c:ptCount val="1"/>
                <c:pt idx="0">
                  <c:v>ARGENTINA</c:v>
                </c:pt>
              </c:strCache>
            </c:strRef>
          </c:tx>
          <c:spPr>
            <a:ln w="31750" cap="rnd">
              <a:solidFill>
                <a:srgbClr val="00B0F0"/>
              </a:solidFill>
              <a:round/>
            </a:ln>
            <a:effectLst/>
          </c:spPr>
          <c:marker>
            <c:symbol val="circle"/>
            <c:size val="9"/>
            <c:spPr>
              <a:solidFill>
                <a:srgbClr val="002060"/>
              </a:solidFill>
              <a:ln w="9525">
                <a:solidFill>
                  <a:srgbClr val="00B0F0"/>
                </a:solidFill>
              </a:ln>
              <a:effectLst/>
            </c:spPr>
          </c:marker>
          <c:dLbls>
            <c:dLbl>
              <c:idx val="0"/>
              <c:layout>
                <c:manualLayout>
                  <c:x val="-7.7134544267527722E-2"/>
                  <c:y val="-5.09857812482814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F3-43BB-B3F2-D9D094FEB5D5}"/>
                </c:ext>
              </c:extLst>
            </c:dLbl>
            <c:dLbl>
              <c:idx val="3"/>
              <c:layout>
                <c:manualLayout>
                  <c:x val="-1.1962885186002473E-16"/>
                  <c:y val="1.8848715672477319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AEF3-43BB-B3F2-D9D094FEB5D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2'!$D$39:$G$39</c:f>
              <c:numCache>
                <c:formatCode>General</c:formatCode>
                <c:ptCount val="4"/>
                <c:pt idx="0">
                  <c:v>2020</c:v>
                </c:pt>
                <c:pt idx="1">
                  <c:v>2030</c:v>
                </c:pt>
                <c:pt idx="2">
                  <c:v>2040</c:v>
                </c:pt>
                <c:pt idx="3">
                  <c:v>2050</c:v>
                </c:pt>
              </c:numCache>
            </c:numRef>
          </c:cat>
          <c:val>
            <c:numRef>
              <c:f>'Eje 2'!$D$44:$G$44</c:f>
              <c:numCache>
                <c:formatCode>_(* #,##0_);_(* \(#,##0\);_(* "-"_);_(@_)</c:formatCode>
                <c:ptCount val="4"/>
                <c:pt idx="0">
                  <c:v>381.5</c:v>
                </c:pt>
                <c:pt idx="1">
                  <c:v>377.1</c:v>
                </c:pt>
                <c:pt idx="2">
                  <c:v>356.05</c:v>
                </c:pt>
                <c:pt idx="3">
                  <c:v>335</c:v>
                </c:pt>
              </c:numCache>
            </c:numRef>
          </c:val>
          <c:smooth val="0"/>
          <c:extLst>
            <c:ext xmlns:c16="http://schemas.microsoft.com/office/drawing/2014/chart" uri="{C3380CC4-5D6E-409C-BE32-E72D297353CC}">
              <c16:uniqueId val="{0000000B-AEF3-43BB-B3F2-D9D094FEB5D5}"/>
            </c:ext>
          </c:extLst>
        </c:ser>
        <c:ser>
          <c:idx val="5"/>
          <c:order val="5"/>
          <c:tx>
            <c:strRef>
              <c:f>'Eje 2'!$C$45</c:f>
              <c:strCache>
                <c:ptCount val="1"/>
              </c:strCache>
            </c:strRef>
          </c:tx>
          <c:spPr>
            <a:ln w="28575" cap="rnd">
              <a:solidFill>
                <a:schemeClr val="accent2">
                  <a:shade val="50000"/>
                </a:schemeClr>
              </a:solidFill>
              <a:round/>
            </a:ln>
            <a:effectLst/>
          </c:spPr>
          <c:marker>
            <c:symbol val="circle"/>
            <c:size val="5"/>
            <c:spPr>
              <a:solidFill>
                <a:schemeClr val="accent2">
                  <a:shade val="50000"/>
                </a:schemeClr>
              </a:solidFill>
              <a:ln w="9525">
                <a:solidFill>
                  <a:schemeClr val="accent2">
                    <a:shade val="50000"/>
                  </a:schemeClr>
                </a:solidFill>
              </a:ln>
              <a:effectLst/>
            </c:spPr>
          </c:marker>
          <c:cat>
            <c:numRef>
              <c:f>'Eje 2'!$D$39:$G$39</c:f>
              <c:numCache>
                <c:formatCode>General</c:formatCode>
                <c:ptCount val="4"/>
                <c:pt idx="0">
                  <c:v>2020</c:v>
                </c:pt>
                <c:pt idx="1">
                  <c:v>2030</c:v>
                </c:pt>
                <c:pt idx="2">
                  <c:v>2040</c:v>
                </c:pt>
                <c:pt idx="3">
                  <c:v>2050</c:v>
                </c:pt>
              </c:numCache>
            </c:numRef>
          </c:cat>
          <c:val>
            <c:numRef>
              <c:f>'Eje 2'!$D$45:$G$45</c:f>
              <c:numCache>
                <c:formatCode>_(* #,##0_);_(* \(#,##0\);_(* "-"_);_(@_)</c:formatCode>
                <c:ptCount val="4"/>
              </c:numCache>
            </c:numRef>
          </c:val>
          <c:smooth val="0"/>
          <c:extLst>
            <c:ext xmlns:c16="http://schemas.microsoft.com/office/drawing/2014/chart" uri="{C3380CC4-5D6E-409C-BE32-E72D297353CC}">
              <c16:uniqueId val="{0000000C-AEF3-43BB-B3F2-D9D094FEB5D5}"/>
            </c:ext>
          </c:extLst>
        </c:ser>
        <c:dLbls>
          <c:showLegendKey val="0"/>
          <c:showVal val="0"/>
          <c:showCatName val="0"/>
          <c:showSerName val="0"/>
          <c:showPercent val="0"/>
          <c:showBubbleSize val="0"/>
        </c:dLbls>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in val="25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kgcem/m3</a:t>
                </a:r>
              </a:p>
            </c:rich>
          </c:tx>
          <c:layout>
            <c:manualLayout>
              <c:xMode val="edge"/>
              <c:yMode val="edge"/>
              <c:x val="2.4504531432448934E-3"/>
              <c:y val="0.3634280853061104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ayout>
        <c:manualLayout>
          <c:xMode val="edge"/>
          <c:yMode val="edge"/>
          <c:x val="4.8297181243149204E-2"/>
          <c:y val="0.92810561272390557"/>
          <c:w val="0.89999993574854553"/>
          <c:h val="4.479088192770767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'Eje 2'!$O$39</c:f>
              <c:strCache>
                <c:ptCount val="1"/>
                <c:pt idx="0">
                  <c:v>CEMENTO BAU</c:v>
                </c:pt>
              </c:strCache>
            </c:strRef>
          </c:tx>
          <c:spPr>
            <a:ln w="28575" cap="rnd">
              <a:solidFill>
                <a:schemeClr val="accent1"/>
              </a:solidFill>
              <a:round/>
            </a:ln>
            <a:effectLst/>
          </c:spPr>
          <c:marker>
            <c:symbol val="none"/>
          </c:marker>
          <c:cat>
            <c:numRef>
              <c:f>'Eje 2'!$P$38:$S$38</c:f>
              <c:numCache>
                <c:formatCode>General</c:formatCode>
                <c:ptCount val="4"/>
                <c:pt idx="0">
                  <c:v>2020</c:v>
                </c:pt>
                <c:pt idx="1">
                  <c:v>2030</c:v>
                </c:pt>
                <c:pt idx="2">
                  <c:v>2040</c:v>
                </c:pt>
                <c:pt idx="3">
                  <c:v>2050</c:v>
                </c:pt>
              </c:numCache>
            </c:numRef>
          </c:cat>
          <c:val>
            <c:numRef>
              <c:f>'Eje 2'!$P$39:$S$39</c:f>
              <c:numCache>
                <c:formatCode>_(* #,##0_);_(* \(#,##0\);_(* "-"_);_(@_)</c:formatCode>
                <c:ptCount val="4"/>
                <c:pt idx="0">
                  <c:v>12.5</c:v>
                </c:pt>
                <c:pt idx="1">
                  <c:v>14.8</c:v>
                </c:pt>
                <c:pt idx="2">
                  <c:v>17.100000000000001</c:v>
                </c:pt>
                <c:pt idx="3">
                  <c:v>19.399999999999999</c:v>
                </c:pt>
              </c:numCache>
            </c:numRef>
          </c:val>
          <c:smooth val="0"/>
          <c:extLst>
            <c:ext xmlns:c16="http://schemas.microsoft.com/office/drawing/2014/chart" uri="{C3380CC4-5D6E-409C-BE32-E72D297353CC}">
              <c16:uniqueId val="{00000000-7BDD-4651-B7FC-5F47CA494330}"/>
            </c:ext>
          </c:extLst>
        </c:ser>
        <c:ser>
          <c:idx val="1"/>
          <c:order val="1"/>
          <c:tx>
            <c:strRef>
              <c:f>'Eje 2'!$O$40</c:f>
              <c:strCache>
                <c:ptCount val="1"/>
                <c:pt idx="0">
                  <c:v>CEMENTO NZA</c:v>
                </c:pt>
              </c:strCache>
            </c:strRef>
          </c:tx>
          <c:spPr>
            <a:ln w="28575" cap="rnd">
              <a:solidFill>
                <a:schemeClr val="bg1"/>
              </a:solidFill>
              <a:round/>
            </a:ln>
            <a:effectLst/>
          </c:spPr>
          <c:marker>
            <c:symbol val="none"/>
          </c:marker>
          <c:cat>
            <c:numRef>
              <c:f>'Eje 2'!$P$38:$S$38</c:f>
              <c:numCache>
                <c:formatCode>General</c:formatCode>
                <c:ptCount val="4"/>
                <c:pt idx="0">
                  <c:v>2020</c:v>
                </c:pt>
                <c:pt idx="1">
                  <c:v>2030</c:v>
                </c:pt>
                <c:pt idx="2">
                  <c:v>2040</c:v>
                </c:pt>
                <c:pt idx="3">
                  <c:v>2050</c:v>
                </c:pt>
              </c:numCache>
            </c:numRef>
          </c:cat>
          <c:val>
            <c:numRef>
              <c:f>'Eje 2'!$P$40:$S$40</c:f>
              <c:numCache>
                <c:formatCode>_(* #,##0_);_(* \(#,##0\);_(* "-"_);_(@_)</c:formatCode>
                <c:ptCount val="4"/>
                <c:pt idx="0">
                  <c:v>12.5</c:v>
                </c:pt>
                <c:pt idx="1">
                  <c:v>14.1</c:v>
                </c:pt>
                <c:pt idx="2">
                  <c:v>15.7</c:v>
                </c:pt>
                <c:pt idx="3">
                  <c:v>17.3</c:v>
                </c:pt>
              </c:numCache>
            </c:numRef>
          </c:val>
          <c:smooth val="0"/>
          <c:extLst>
            <c:ext xmlns:c16="http://schemas.microsoft.com/office/drawing/2014/chart" uri="{C3380CC4-5D6E-409C-BE32-E72D297353CC}">
              <c16:uniqueId val="{00000001-7BDD-4651-B7FC-5F47CA494330}"/>
            </c:ext>
          </c:extLst>
        </c:ser>
        <c:ser>
          <c:idx val="2"/>
          <c:order val="2"/>
          <c:tx>
            <c:strRef>
              <c:f>'Eje 2'!$O$43</c:f>
              <c:strCache>
                <c:ptCount val="1"/>
                <c:pt idx="0">
                  <c:v>Mm3</c:v>
                </c:pt>
              </c:strCache>
            </c:strRef>
          </c:tx>
          <c:spPr>
            <a:ln w="28575" cap="rnd">
              <a:solidFill>
                <a:schemeClr val="accent3"/>
              </a:solidFill>
              <a:round/>
            </a:ln>
            <a:effectLst/>
          </c:spPr>
          <c:marker>
            <c:symbol val="none"/>
          </c:marker>
          <c:cat>
            <c:numRef>
              <c:f>'Eje 2'!$P$38:$S$38</c:f>
              <c:numCache>
                <c:formatCode>General</c:formatCode>
                <c:ptCount val="4"/>
                <c:pt idx="0">
                  <c:v>2020</c:v>
                </c:pt>
                <c:pt idx="1">
                  <c:v>2030</c:v>
                </c:pt>
                <c:pt idx="2">
                  <c:v>2040</c:v>
                </c:pt>
                <c:pt idx="3">
                  <c:v>2050</c:v>
                </c:pt>
              </c:numCache>
            </c:numRef>
          </c:cat>
          <c:val>
            <c:numRef>
              <c:f>'Eje 2'!$P$43:$S$43</c:f>
              <c:numCache>
                <c:formatCode>_(* #,##0_);_(* \(#,##0\);_(* "-"_);_(@_)</c:formatCode>
                <c:ptCount val="4"/>
                <c:pt idx="0">
                  <c:v>34</c:v>
                </c:pt>
                <c:pt idx="1">
                  <c:v>46</c:v>
                </c:pt>
                <c:pt idx="2">
                  <c:v>51.5</c:v>
                </c:pt>
                <c:pt idx="3">
                  <c:v>57</c:v>
                </c:pt>
              </c:numCache>
            </c:numRef>
          </c:val>
          <c:smooth val="0"/>
          <c:extLst>
            <c:ext xmlns:c16="http://schemas.microsoft.com/office/drawing/2014/chart" uri="{C3380CC4-5D6E-409C-BE32-E72D297353CC}">
              <c16:uniqueId val="{00000002-7BDD-4651-B7FC-5F47CA494330}"/>
            </c:ext>
          </c:extLst>
        </c:ser>
        <c:dLbls>
          <c:showLegendKey val="0"/>
          <c:showVal val="0"/>
          <c:showCatName val="0"/>
          <c:showSerName val="0"/>
          <c:showPercent val="0"/>
          <c:showBubbleSize val="0"/>
        </c:dLbls>
        <c:marker val="1"/>
        <c:smooth val="0"/>
        <c:axId val="1095238584"/>
        <c:axId val="1095242904"/>
      </c:lineChart>
      <c:lineChart>
        <c:grouping val="standard"/>
        <c:varyColors val="0"/>
        <c:ser>
          <c:idx val="3"/>
          <c:order val="3"/>
          <c:tx>
            <c:strRef>
              <c:f>'Eje 2'!$O$46</c:f>
              <c:strCache>
                <c:ptCount val="1"/>
                <c:pt idx="0">
                  <c:v>kgCem/m3</c:v>
                </c:pt>
              </c:strCache>
            </c:strRef>
          </c:tx>
          <c:spPr>
            <a:ln w="28575" cap="rnd">
              <a:solidFill>
                <a:schemeClr val="bg1">
                  <a:lumMod val="50000"/>
                </a:schemeClr>
              </a:solidFill>
              <a:round/>
            </a:ln>
            <a:effectLst/>
          </c:spPr>
          <c:marker>
            <c:symbol val="none"/>
          </c:marker>
          <c:cat>
            <c:numRef>
              <c:f>'Eje 2'!$P$38:$S$38</c:f>
              <c:numCache>
                <c:formatCode>General</c:formatCode>
                <c:ptCount val="4"/>
                <c:pt idx="0">
                  <c:v>2020</c:v>
                </c:pt>
                <c:pt idx="1">
                  <c:v>2030</c:v>
                </c:pt>
                <c:pt idx="2">
                  <c:v>2040</c:v>
                </c:pt>
                <c:pt idx="3">
                  <c:v>2050</c:v>
                </c:pt>
              </c:numCache>
            </c:numRef>
          </c:cat>
          <c:val>
            <c:numRef>
              <c:f>'Eje 2'!$P$46:$S$46</c:f>
              <c:numCache>
                <c:formatCode>_(* #,##0_);_(* \(#,##0\);_(* "-"_);_(@_)</c:formatCode>
                <c:ptCount val="4"/>
                <c:pt idx="0">
                  <c:v>367.64705882352945</c:v>
                </c:pt>
                <c:pt idx="1">
                  <c:v>306.52173913043481</c:v>
                </c:pt>
                <c:pt idx="2">
                  <c:v>304.85436893203882</c:v>
                </c:pt>
                <c:pt idx="3">
                  <c:v>303.50877192982455</c:v>
                </c:pt>
              </c:numCache>
            </c:numRef>
          </c:val>
          <c:smooth val="0"/>
          <c:extLst>
            <c:ext xmlns:c16="http://schemas.microsoft.com/office/drawing/2014/chart" uri="{C3380CC4-5D6E-409C-BE32-E72D297353CC}">
              <c16:uniqueId val="{00000003-7BDD-4651-B7FC-5F47CA494330}"/>
            </c:ext>
          </c:extLst>
        </c:ser>
        <c:dLbls>
          <c:showLegendKey val="0"/>
          <c:showVal val="0"/>
          <c:showCatName val="0"/>
          <c:showSerName val="0"/>
          <c:showPercent val="0"/>
          <c:showBubbleSize val="0"/>
        </c:dLbls>
        <c:marker val="1"/>
        <c:smooth val="0"/>
        <c:axId val="1266913664"/>
        <c:axId val="1266913304"/>
      </c:lineChart>
      <c:catAx>
        <c:axId val="109523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1095242904"/>
        <c:crosses val="autoZero"/>
        <c:auto val="1"/>
        <c:lblAlgn val="ctr"/>
        <c:lblOffset val="100"/>
        <c:noMultiLvlLbl val="0"/>
      </c:catAx>
      <c:valAx>
        <c:axId val="1095242904"/>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1095238584"/>
        <c:crosses val="autoZero"/>
        <c:crossBetween val="between"/>
      </c:valAx>
      <c:valAx>
        <c:axId val="1266913304"/>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1266913664"/>
        <c:crosses val="max"/>
        <c:crossBetween val="between"/>
      </c:valAx>
      <c:catAx>
        <c:axId val="1266913664"/>
        <c:scaling>
          <c:orientation val="minMax"/>
        </c:scaling>
        <c:delete val="1"/>
        <c:axPos val="b"/>
        <c:numFmt formatCode="General" sourceLinked="1"/>
        <c:majorTickMark val="out"/>
        <c:minorTickMark val="none"/>
        <c:tickLblPos val="nextTo"/>
        <c:crossAx val="1266913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1713038211261727"/>
          <c:y val="2.3258067608553395E-2"/>
          <c:w val="0.85784379147255896"/>
          <c:h val="0.83498307076932476"/>
        </c:manualLayout>
      </c:layout>
      <c:lineChart>
        <c:grouping val="standard"/>
        <c:varyColors val="0"/>
        <c:ser>
          <c:idx val="0"/>
          <c:order val="0"/>
          <c:tx>
            <c:strRef>
              <c:f>'Eje 3'!$C$48</c:f>
              <c:strCache>
                <c:ptCount val="1"/>
                <c:pt idx="0">
                  <c:v>FICEM</c:v>
                </c:pt>
              </c:strCache>
            </c:strRef>
          </c:tx>
          <c:spPr>
            <a:ln w="28575" cap="rnd">
              <a:solidFill>
                <a:srgbClr val="92D050"/>
              </a:solidFill>
              <a:round/>
            </a:ln>
            <a:effectLst/>
          </c:spPr>
          <c:marker>
            <c:symbol val="circle"/>
            <c:size val="5"/>
            <c:spPr>
              <a:solidFill>
                <a:schemeClr val="bg1"/>
              </a:solidFill>
              <a:ln w="9525">
                <a:solidFill>
                  <a:schemeClr val="accent2">
                    <a:tint val="58000"/>
                  </a:schemeClr>
                </a:solidFill>
              </a:ln>
              <a:effectLst/>
            </c:spPr>
          </c:marker>
          <c:dPt>
            <c:idx val="1"/>
            <c:marker>
              <c:symbol val="none"/>
            </c:marker>
            <c:bubble3D val="0"/>
            <c:extLst>
              <c:ext xmlns:c16="http://schemas.microsoft.com/office/drawing/2014/chart" uri="{C3380CC4-5D6E-409C-BE32-E72D297353CC}">
                <c16:uniqueId val="{00000001-D608-444E-8DA0-281123BCCCDA}"/>
              </c:ext>
            </c:extLst>
          </c:dPt>
          <c:dLbls>
            <c:dLbl>
              <c:idx val="3"/>
              <c:layout>
                <c:manualLayout>
                  <c:x val="-1.6337008559949295E-3"/>
                  <c:y val="2.223987792233309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B0DF-48E3-BE54-1675EB40BB3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3'!$D$47:$G$47</c:f>
              <c:numCache>
                <c:formatCode>General</c:formatCode>
                <c:ptCount val="4"/>
                <c:pt idx="0">
                  <c:v>2020</c:v>
                </c:pt>
                <c:pt idx="1">
                  <c:v>2030</c:v>
                </c:pt>
                <c:pt idx="2">
                  <c:v>2040</c:v>
                </c:pt>
                <c:pt idx="3">
                  <c:v>2050</c:v>
                </c:pt>
              </c:numCache>
            </c:numRef>
          </c:cat>
          <c:val>
            <c:numRef>
              <c:f>'Eje 3'!$D$48:$G$48</c:f>
              <c:numCache>
                <c:formatCode>_(* #,##0_);_(* \(#,##0\);_(* "-"_);_(@_)</c:formatCode>
                <c:ptCount val="4"/>
                <c:pt idx="0">
                  <c:v>67</c:v>
                </c:pt>
                <c:pt idx="1">
                  <c:v>66</c:v>
                </c:pt>
                <c:pt idx="2">
                  <c:v>63</c:v>
                </c:pt>
                <c:pt idx="3">
                  <c:v>60</c:v>
                </c:pt>
              </c:numCache>
            </c:numRef>
          </c:val>
          <c:smooth val="0"/>
          <c:extLst>
            <c:ext xmlns:c16="http://schemas.microsoft.com/office/drawing/2014/chart" uri="{C3380CC4-5D6E-409C-BE32-E72D297353CC}">
              <c16:uniqueId val="{00000004-D608-444E-8DA0-281123BCCCDA}"/>
            </c:ext>
          </c:extLst>
        </c:ser>
        <c:ser>
          <c:idx val="1"/>
          <c:order val="1"/>
          <c:tx>
            <c:strRef>
              <c:f>'Eje 3'!$C$49</c:f>
              <c:strCache>
                <c:ptCount val="1"/>
                <c:pt idx="0">
                  <c:v>Perú</c:v>
                </c:pt>
              </c:strCache>
            </c:strRef>
          </c:tx>
          <c:spPr>
            <a:ln w="28575" cap="rnd">
              <a:solidFill>
                <a:schemeClr val="bg1"/>
              </a:solidFill>
              <a:prstDash val="lgDashDot"/>
              <a:round/>
            </a:ln>
            <a:effectLst/>
          </c:spPr>
          <c:marker>
            <c:symbol val="none"/>
          </c:marker>
          <c:cat>
            <c:numRef>
              <c:f>'Eje 3'!$D$47:$G$47</c:f>
              <c:numCache>
                <c:formatCode>General</c:formatCode>
                <c:ptCount val="4"/>
                <c:pt idx="0">
                  <c:v>2020</c:v>
                </c:pt>
                <c:pt idx="1">
                  <c:v>2030</c:v>
                </c:pt>
                <c:pt idx="2">
                  <c:v>2040</c:v>
                </c:pt>
                <c:pt idx="3">
                  <c:v>2050</c:v>
                </c:pt>
              </c:numCache>
            </c:numRef>
          </c:cat>
          <c:val>
            <c:numRef>
              <c:f>'Eje 3'!$D$49:$G$49</c:f>
              <c:numCache>
                <c:formatCode>_(* #,##0_);_(* \(#,##0\);_(* "-"_);_(@_)</c:formatCode>
                <c:ptCount val="4"/>
                <c:pt idx="0">
                  <c:v>75</c:v>
                </c:pt>
                <c:pt idx="1">
                  <c:v>70</c:v>
                </c:pt>
                <c:pt idx="2">
                  <c:v>68.5</c:v>
                </c:pt>
                <c:pt idx="3">
                  <c:v>67</c:v>
                </c:pt>
              </c:numCache>
            </c:numRef>
          </c:val>
          <c:smooth val="0"/>
          <c:extLst>
            <c:ext xmlns:c16="http://schemas.microsoft.com/office/drawing/2014/chart" uri="{C3380CC4-5D6E-409C-BE32-E72D297353CC}">
              <c16:uniqueId val="{00000005-D608-444E-8DA0-281123BCCCDA}"/>
            </c:ext>
          </c:extLst>
        </c:ser>
        <c:ser>
          <c:idx val="2"/>
          <c:order val="2"/>
          <c:tx>
            <c:strRef>
              <c:f>'Eje 3'!$C$50</c:f>
              <c:strCache>
                <c:ptCount val="1"/>
                <c:pt idx="0">
                  <c:v>Colombia</c:v>
                </c:pt>
              </c:strCache>
            </c:strRef>
          </c:tx>
          <c:spPr>
            <a:ln w="12700" cap="rnd">
              <a:solidFill>
                <a:schemeClr val="bg1">
                  <a:lumMod val="95000"/>
                </a:schemeClr>
              </a:solidFill>
              <a:prstDash val="lgDashDotDot"/>
              <a:round/>
            </a:ln>
            <a:effectLst/>
          </c:spPr>
          <c:marker>
            <c:symbol val="none"/>
          </c:marker>
          <c:cat>
            <c:numRef>
              <c:f>'Eje 3'!$D$47:$G$47</c:f>
              <c:numCache>
                <c:formatCode>General</c:formatCode>
                <c:ptCount val="4"/>
                <c:pt idx="0">
                  <c:v>2020</c:v>
                </c:pt>
                <c:pt idx="1">
                  <c:v>2030</c:v>
                </c:pt>
                <c:pt idx="2">
                  <c:v>2040</c:v>
                </c:pt>
                <c:pt idx="3">
                  <c:v>2050</c:v>
                </c:pt>
              </c:numCache>
            </c:numRef>
          </c:cat>
          <c:val>
            <c:numRef>
              <c:f>'Eje 3'!$D$50:$G$50</c:f>
              <c:numCache>
                <c:formatCode>_(* #,##0_);_(* \(#,##0\);_(* "-"_);_(@_)</c:formatCode>
                <c:ptCount val="4"/>
                <c:pt idx="0">
                  <c:v>69</c:v>
                </c:pt>
                <c:pt idx="1">
                  <c:v>64</c:v>
                </c:pt>
                <c:pt idx="2">
                  <c:v>59.5</c:v>
                </c:pt>
                <c:pt idx="3">
                  <c:v>55</c:v>
                </c:pt>
              </c:numCache>
            </c:numRef>
          </c:val>
          <c:smooth val="0"/>
          <c:extLst>
            <c:ext xmlns:c16="http://schemas.microsoft.com/office/drawing/2014/chart" uri="{C3380CC4-5D6E-409C-BE32-E72D297353CC}">
              <c16:uniqueId val="{00000007-D608-444E-8DA0-281123BCCCDA}"/>
            </c:ext>
          </c:extLst>
        </c:ser>
        <c:ser>
          <c:idx val="3"/>
          <c:order val="3"/>
          <c:tx>
            <c:strRef>
              <c:f>'Eje 3'!$C$51</c:f>
              <c:strCache>
                <c:ptCount val="1"/>
                <c:pt idx="0">
                  <c:v>Chile</c:v>
                </c:pt>
              </c:strCache>
            </c:strRef>
          </c:tx>
          <c:spPr>
            <a:ln w="12700" cap="rnd">
              <a:solidFill>
                <a:schemeClr val="bg1">
                  <a:lumMod val="95000"/>
                </a:schemeClr>
              </a:solidFill>
              <a:prstDash val="dash"/>
              <a:round/>
            </a:ln>
            <a:effectLst/>
          </c:spPr>
          <c:marker>
            <c:symbol val="none"/>
          </c:marker>
          <c:cat>
            <c:numRef>
              <c:f>'Eje 3'!$D$47:$G$47</c:f>
              <c:numCache>
                <c:formatCode>General</c:formatCode>
                <c:ptCount val="4"/>
                <c:pt idx="0">
                  <c:v>2020</c:v>
                </c:pt>
                <c:pt idx="1">
                  <c:v>2030</c:v>
                </c:pt>
                <c:pt idx="2">
                  <c:v>2040</c:v>
                </c:pt>
                <c:pt idx="3">
                  <c:v>2050</c:v>
                </c:pt>
              </c:numCache>
            </c:numRef>
          </c:cat>
          <c:val>
            <c:numRef>
              <c:f>'Eje 3'!$D$51:$G$51</c:f>
              <c:numCache>
                <c:formatCode>_(* #,##0_);_(* \(#,##0\);_(* "-"_);_(@_)</c:formatCode>
                <c:ptCount val="4"/>
                <c:pt idx="0">
                  <c:v>71</c:v>
                </c:pt>
                <c:pt idx="1">
                  <c:v>68</c:v>
                </c:pt>
                <c:pt idx="2">
                  <c:v>65.5</c:v>
                </c:pt>
                <c:pt idx="3">
                  <c:v>63</c:v>
                </c:pt>
              </c:numCache>
            </c:numRef>
          </c:val>
          <c:smooth val="0"/>
          <c:extLst>
            <c:ext xmlns:c16="http://schemas.microsoft.com/office/drawing/2014/chart" uri="{C3380CC4-5D6E-409C-BE32-E72D297353CC}">
              <c16:uniqueId val="{0000000B-D608-444E-8DA0-281123BCCCDA}"/>
            </c:ext>
          </c:extLst>
        </c:ser>
        <c:ser>
          <c:idx val="4"/>
          <c:order val="4"/>
          <c:tx>
            <c:strRef>
              <c:f>'Eje 3'!$C$52</c:f>
              <c:strCache>
                <c:ptCount val="1"/>
                <c:pt idx="0">
                  <c:v>ARGENTINA</c:v>
                </c:pt>
              </c:strCache>
            </c:strRef>
          </c:tx>
          <c:spPr>
            <a:ln w="31750" cap="rnd">
              <a:solidFill>
                <a:srgbClr val="00B0F0"/>
              </a:solidFill>
              <a:round/>
            </a:ln>
            <a:effectLst/>
          </c:spPr>
          <c:marker>
            <c:symbol val="circle"/>
            <c:size val="5"/>
            <c:spPr>
              <a:solidFill>
                <a:srgbClr val="00B0F0"/>
              </a:solidFill>
              <a:ln w="9525">
                <a:solidFill>
                  <a:srgbClr val="00B0F0"/>
                </a:solidFill>
              </a:ln>
              <a:effectLst/>
            </c:spPr>
          </c:marker>
          <c:dLbls>
            <c:dLbl>
              <c:idx val="0"/>
              <c:layout>
                <c:manualLayout>
                  <c:x val="-7.7134544267527722E-2"/>
                  <c:y val="-5.09857812482814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608-444E-8DA0-281123BCCCDA}"/>
                </c:ext>
              </c:extLst>
            </c:dLbl>
            <c:dLbl>
              <c:idx val="3"/>
              <c:layout>
                <c:manualLayout>
                  <c:x val="0"/>
                  <c:y val="-3.6910184272241672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D608-444E-8DA0-281123BCCCD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3'!$D$47:$G$47</c:f>
              <c:numCache>
                <c:formatCode>General</c:formatCode>
                <c:ptCount val="4"/>
                <c:pt idx="0">
                  <c:v>2020</c:v>
                </c:pt>
                <c:pt idx="1">
                  <c:v>2030</c:v>
                </c:pt>
                <c:pt idx="2">
                  <c:v>2040</c:v>
                </c:pt>
                <c:pt idx="3">
                  <c:v>2050</c:v>
                </c:pt>
              </c:numCache>
            </c:numRef>
          </c:cat>
          <c:val>
            <c:numRef>
              <c:f>'Eje 3'!$D$52:$G$52</c:f>
              <c:numCache>
                <c:formatCode>_(* #,##0_);_(* \(#,##0\);_(* "-"_);_(@_)</c:formatCode>
                <c:ptCount val="4"/>
                <c:pt idx="0">
                  <c:v>68</c:v>
                </c:pt>
                <c:pt idx="1">
                  <c:v>65</c:v>
                </c:pt>
                <c:pt idx="2">
                  <c:v>63</c:v>
                </c:pt>
                <c:pt idx="3">
                  <c:v>61</c:v>
                </c:pt>
              </c:numCache>
            </c:numRef>
          </c:val>
          <c:smooth val="0"/>
          <c:extLst>
            <c:ext xmlns:c16="http://schemas.microsoft.com/office/drawing/2014/chart" uri="{C3380CC4-5D6E-409C-BE32-E72D297353CC}">
              <c16:uniqueId val="{0000000E-D608-444E-8DA0-281123BCCCDA}"/>
            </c:ext>
          </c:extLst>
        </c:ser>
        <c:ser>
          <c:idx val="5"/>
          <c:order val="5"/>
          <c:tx>
            <c:strRef>
              <c:f>'Eje 3'!$C$53</c:f>
              <c:strCache>
                <c:ptCount val="1"/>
                <c:pt idx="0">
                  <c:v>GCCA Roadmap</c:v>
                </c:pt>
              </c:strCache>
            </c:strRef>
          </c:tx>
          <c:spPr>
            <a:ln w="28575" cap="rnd">
              <a:solidFill>
                <a:schemeClr val="accent2">
                  <a:shade val="50000"/>
                </a:schemeClr>
              </a:solidFill>
              <a:round/>
            </a:ln>
            <a:effectLst/>
          </c:spPr>
          <c:marker>
            <c:symbol val="circle"/>
            <c:size val="5"/>
            <c:spPr>
              <a:solidFill>
                <a:schemeClr val="accent2">
                  <a:shade val="50000"/>
                </a:schemeClr>
              </a:solidFill>
              <a:ln w="9525">
                <a:solidFill>
                  <a:schemeClr val="accent2">
                    <a:shade val="50000"/>
                  </a:schemeClr>
                </a:solidFill>
              </a:ln>
              <a:effectLst/>
            </c:spPr>
          </c:marker>
          <c:cat>
            <c:numRef>
              <c:f>'Eje 3'!$D$47:$G$47</c:f>
              <c:numCache>
                <c:formatCode>General</c:formatCode>
                <c:ptCount val="4"/>
                <c:pt idx="0">
                  <c:v>2020</c:v>
                </c:pt>
                <c:pt idx="1">
                  <c:v>2030</c:v>
                </c:pt>
                <c:pt idx="2">
                  <c:v>2040</c:v>
                </c:pt>
                <c:pt idx="3">
                  <c:v>2050</c:v>
                </c:pt>
              </c:numCache>
            </c:numRef>
          </c:cat>
          <c:val>
            <c:numRef>
              <c:f>'Eje 3'!$D$53:$G$53</c:f>
              <c:numCache>
                <c:formatCode>_(* #,##0_);_(* \(#,##0\);_(* "-"_);_(@_)</c:formatCode>
                <c:ptCount val="4"/>
                <c:pt idx="0">
                  <c:v>63</c:v>
                </c:pt>
                <c:pt idx="1">
                  <c:v>58</c:v>
                </c:pt>
                <c:pt idx="2">
                  <c:v>56</c:v>
                </c:pt>
                <c:pt idx="3">
                  <c:v>54</c:v>
                </c:pt>
              </c:numCache>
            </c:numRef>
          </c:val>
          <c:smooth val="0"/>
          <c:extLst>
            <c:ext xmlns:c16="http://schemas.microsoft.com/office/drawing/2014/chart" uri="{C3380CC4-5D6E-409C-BE32-E72D297353CC}">
              <c16:uniqueId val="{0000000F-D608-444E-8DA0-281123BCCCDA}"/>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in val="5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ayout>
        <c:manualLayout>
          <c:xMode val="edge"/>
          <c:yMode val="edge"/>
          <c:x val="4.8297181243149204E-2"/>
          <c:y val="0.92810561272390557"/>
          <c:w val="0.89999993574854553"/>
          <c:h val="4.479088192770767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'Eje 3'!$M$47</c:f>
              <c:strCache>
                <c:ptCount val="1"/>
                <c:pt idx="0">
                  <c:v>FCk Readymix</c:v>
                </c:pt>
              </c:strCache>
            </c:strRef>
          </c:tx>
          <c:spPr>
            <a:ln w="28575" cap="rnd">
              <a:solidFill>
                <a:schemeClr val="accent1"/>
              </a:solidFill>
              <a:round/>
            </a:ln>
            <a:effectLst/>
          </c:spPr>
          <c:marker>
            <c:symbol val="none"/>
          </c:marker>
          <c:dLbls>
            <c:dLbl>
              <c:idx val="0"/>
              <c:layout>
                <c:manualLayout>
                  <c:x val="-0.14471097860575538"/>
                  <c:y val="-7.0855239544065874E-3"/>
                </c:manualLayout>
              </c:layout>
              <c:tx>
                <c:rich>
                  <a:bodyPr/>
                  <a:lstStyle/>
                  <a:p>
                    <a:fld id="{87CF6B50-6CC5-4810-875A-437425BF5A95}" type="SERIESNAME">
                      <a:rPr lang="en-US" sz="1200"/>
                      <a:pPr/>
                      <a:t>[NOMBRE DE LA SERIE]</a:t>
                    </a:fld>
                    <a:r>
                      <a:rPr lang="en-US" baseline="0"/>
                      <a:t>; </a:t>
                    </a:r>
                    <a:fld id="{D8C6BA9F-1777-4AC5-8853-4659D5E9C8F7}" type="VALUE">
                      <a:rPr lang="en-US" baseline="0"/>
                      <a:pPr/>
                      <a:t>[VALOR]</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19918434911961291"/>
                      <c:h val="8.313790544699827E-2"/>
                    </c:manualLayout>
                  </c15:layout>
                  <c15:dlblFieldTable/>
                  <c15:showDataLabelsRange val="0"/>
                </c:ext>
                <c:ext xmlns:c16="http://schemas.microsoft.com/office/drawing/2014/chart" uri="{C3380CC4-5D6E-409C-BE32-E72D297353CC}">
                  <c16:uniqueId val="{00000001-FAD9-4CB1-AC7B-155C3C0445C1}"/>
                </c:ext>
              </c:extLst>
            </c:dLbl>
            <c:dLbl>
              <c:idx val="1"/>
              <c:delete val="1"/>
              <c:extLst>
                <c:ext xmlns:c15="http://schemas.microsoft.com/office/drawing/2012/chart" uri="{CE6537A1-D6FC-4f65-9D91-7224C49458BB}"/>
                <c:ext xmlns:c16="http://schemas.microsoft.com/office/drawing/2014/chart" uri="{C3380CC4-5D6E-409C-BE32-E72D297353CC}">
                  <c16:uniqueId val="{00000006-1F74-469C-AD88-D3347AE84248}"/>
                </c:ext>
              </c:extLst>
            </c:dLbl>
            <c:dLbl>
              <c:idx val="2"/>
              <c:delete val="1"/>
              <c:extLst>
                <c:ext xmlns:c15="http://schemas.microsoft.com/office/drawing/2012/chart" uri="{CE6537A1-D6FC-4f65-9D91-7224C49458BB}"/>
                <c:ext xmlns:c16="http://schemas.microsoft.com/office/drawing/2014/chart" uri="{C3380CC4-5D6E-409C-BE32-E72D297353CC}">
                  <c16:uniqueId val="{00000007-1F74-469C-AD88-D3347AE8424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3'!$N$46:$Q$46</c:f>
              <c:numCache>
                <c:formatCode>General</c:formatCode>
                <c:ptCount val="4"/>
                <c:pt idx="0">
                  <c:v>2020</c:v>
                </c:pt>
                <c:pt idx="1">
                  <c:v>2030</c:v>
                </c:pt>
                <c:pt idx="2">
                  <c:v>2040</c:v>
                </c:pt>
                <c:pt idx="3">
                  <c:v>2050</c:v>
                </c:pt>
              </c:numCache>
            </c:numRef>
          </c:cat>
          <c:val>
            <c:numRef>
              <c:f>'Eje 3'!$N$47:$Q$47</c:f>
              <c:numCache>
                <c:formatCode>0%</c:formatCode>
                <c:ptCount val="4"/>
                <c:pt idx="0">
                  <c:v>0.78</c:v>
                </c:pt>
                <c:pt idx="1">
                  <c:v>0.75</c:v>
                </c:pt>
                <c:pt idx="2">
                  <c:v>0.72</c:v>
                </c:pt>
                <c:pt idx="3">
                  <c:v>0.69</c:v>
                </c:pt>
              </c:numCache>
            </c:numRef>
          </c:val>
          <c:smooth val="0"/>
          <c:extLst>
            <c:ext xmlns:c16="http://schemas.microsoft.com/office/drawing/2014/chart" uri="{C3380CC4-5D6E-409C-BE32-E72D297353CC}">
              <c16:uniqueId val="{00000000-1F74-469C-AD88-D3347AE84248}"/>
            </c:ext>
          </c:extLst>
        </c:ser>
        <c:ser>
          <c:idx val="1"/>
          <c:order val="1"/>
          <c:tx>
            <c:strRef>
              <c:f>'Eje 3'!$M$48</c:f>
              <c:strCache>
                <c:ptCount val="1"/>
                <c:pt idx="0">
                  <c:v>FCk Sacos</c:v>
                </c:pt>
              </c:strCache>
            </c:strRef>
          </c:tx>
          <c:spPr>
            <a:ln w="28575" cap="rnd">
              <a:solidFill>
                <a:schemeClr val="bg1">
                  <a:lumMod val="50000"/>
                </a:schemeClr>
              </a:solidFill>
              <a:round/>
            </a:ln>
            <a:effectLst/>
          </c:spPr>
          <c:marker>
            <c:symbol val="none"/>
          </c:marker>
          <c:dLbls>
            <c:dLbl>
              <c:idx val="0"/>
              <c:layout>
                <c:manualLayout>
                  <c:x val="-7.1560404995579904E-2"/>
                  <c:y val="-2.598059545218705E-2"/>
                </c:manualLayout>
              </c:layout>
              <c:tx>
                <c:rich>
                  <a:bodyPr/>
                  <a:lstStyle/>
                  <a:p>
                    <a:fld id="{A4412FED-5762-43E9-9ED7-2C7CCE8C2A15}" type="SERIESNAME">
                      <a:rPr lang="en-US" sz="1050"/>
                      <a:pPr/>
                      <a:t>[NOMBRE DE LA SERIE]</a:t>
                    </a:fld>
                    <a:r>
                      <a:rPr lang="en-US" sz="1050" baseline="0"/>
                      <a:t>; </a:t>
                    </a:r>
                    <a:fld id="{C07CDDB7-2AE5-4EB7-AD72-02C259776179}" type="VALUE">
                      <a:rPr lang="en-US" baseline="0"/>
                      <a:pPr/>
                      <a:t>[VALOR]</a:t>
                    </a:fld>
                    <a:endParaRPr lang="en-US" sz="1050" baseline="0"/>
                  </a:p>
                </c:rich>
              </c:tx>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AD9-4CB1-AC7B-155C3C0445C1}"/>
                </c:ext>
              </c:extLst>
            </c:dLbl>
            <c:dLbl>
              <c:idx val="1"/>
              <c:delete val="1"/>
              <c:extLst>
                <c:ext xmlns:c15="http://schemas.microsoft.com/office/drawing/2012/chart" uri="{CE6537A1-D6FC-4f65-9D91-7224C49458BB}"/>
                <c:ext xmlns:c16="http://schemas.microsoft.com/office/drawing/2014/chart" uri="{C3380CC4-5D6E-409C-BE32-E72D297353CC}">
                  <c16:uniqueId val="{0000000A-1F74-469C-AD88-D3347AE84248}"/>
                </c:ext>
              </c:extLst>
            </c:dLbl>
            <c:dLbl>
              <c:idx val="2"/>
              <c:delete val="1"/>
              <c:extLst>
                <c:ext xmlns:c15="http://schemas.microsoft.com/office/drawing/2012/chart" uri="{CE6537A1-D6FC-4f65-9D91-7224C49458BB}"/>
                <c:ext xmlns:c16="http://schemas.microsoft.com/office/drawing/2014/chart" uri="{C3380CC4-5D6E-409C-BE32-E72D297353CC}">
                  <c16:uniqueId val="{0000000B-1F74-469C-AD88-D3347AE8424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3'!$N$46:$Q$46</c:f>
              <c:numCache>
                <c:formatCode>General</c:formatCode>
                <c:ptCount val="4"/>
                <c:pt idx="0">
                  <c:v>2020</c:v>
                </c:pt>
                <c:pt idx="1">
                  <c:v>2030</c:v>
                </c:pt>
                <c:pt idx="2">
                  <c:v>2040</c:v>
                </c:pt>
                <c:pt idx="3">
                  <c:v>2050</c:v>
                </c:pt>
              </c:numCache>
            </c:numRef>
          </c:cat>
          <c:val>
            <c:numRef>
              <c:f>'Eje 3'!$N$48:$Q$48</c:f>
              <c:numCache>
                <c:formatCode>0%</c:formatCode>
                <c:ptCount val="4"/>
                <c:pt idx="0">
                  <c:v>0.57999999999999996</c:v>
                </c:pt>
                <c:pt idx="1">
                  <c:v>0.55000000000000004</c:v>
                </c:pt>
                <c:pt idx="2">
                  <c:v>0.53500000000000003</c:v>
                </c:pt>
                <c:pt idx="3">
                  <c:v>0.52</c:v>
                </c:pt>
              </c:numCache>
            </c:numRef>
          </c:val>
          <c:smooth val="0"/>
          <c:extLst>
            <c:ext xmlns:c16="http://schemas.microsoft.com/office/drawing/2014/chart" uri="{C3380CC4-5D6E-409C-BE32-E72D297353CC}">
              <c16:uniqueId val="{00000001-1F74-469C-AD88-D3347AE84248}"/>
            </c:ext>
          </c:extLst>
        </c:ser>
        <c:ser>
          <c:idx val="2"/>
          <c:order val="2"/>
          <c:tx>
            <c:strRef>
              <c:f>'Eje 3'!$M$49</c:f>
              <c:strCache>
                <c:ptCount val="1"/>
                <c:pt idx="0">
                  <c:v>FCk Silos</c:v>
                </c:pt>
              </c:strCache>
            </c:strRef>
          </c:tx>
          <c:spPr>
            <a:ln w="28575" cap="rnd">
              <a:solidFill>
                <a:schemeClr val="accent3"/>
              </a:solidFill>
              <a:round/>
            </a:ln>
            <a:effectLst/>
          </c:spPr>
          <c:marker>
            <c:symbol val="none"/>
          </c:marker>
          <c:dLbls>
            <c:dLbl>
              <c:idx val="0"/>
              <c:layout>
                <c:manualLayout>
                  <c:x val="-0.12562826654779585"/>
                  <c:y val="4.4875573962868391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48CD2B6B-8A61-4F53-AF15-8B14B7751609}" type="SERIESNAME">
                      <a:rPr lang="en-US" sz="1200"/>
                      <a:pPr>
                        <a:defRPr sz="1400"/>
                      </a:pPr>
                      <a:t>[NOMBRE DE LA SERIE]</a:t>
                    </a:fld>
                    <a:r>
                      <a:rPr lang="en-US" sz="1400" baseline="0"/>
                      <a:t>; </a:t>
                    </a:r>
                    <a:fld id="{44988C8F-271C-4D44-A0B6-CF499A787A78}" type="VALUE">
                      <a:rPr lang="en-US" sz="1400" baseline="0"/>
                      <a:pPr>
                        <a:defRPr sz="1400"/>
                      </a:pPr>
                      <a:t>[VALOR]</a:t>
                    </a:fld>
                    <a:endParaRPr lang="en-US" sz="1400"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AD9-4CB1-AC7B-155C3C0445C1}"/>
                </c:ext>
              </c:extLst>
            </c:dLbl>
            <c:dLbl>
              <c:idx val="1"/>
              <c:delete val="1"/>
              <c:extLst>
                <c:ext xmlns:c15="http://schemas.microsoft.com/office/drawing/2012/chart" uri="{CE6537A1-D6FC-4f65-9D91-7224C49458BB}"/>
                <c:ext xmlns:c16="http://schemas.microsoft.com/office/drawing/2014/chart" uri="{C3380CC4-5D6E-409C-BE32-E72D297353CC}">
                  <c16:uniqueId val="{00000009-1F74-469C-AD88-D3347AE84248}"/>
                </c:ext>
              </c:extLst>
            </c:dLbl>
            <c:dLbl>
              <c:idx val="2"/>
              <c:delete val="1"/>
              <c:extLst>
                <c:ext xmlns:c15="http://schemas.microsoft.com/office/drawing/2012/chart" uri="{CE6537A1-D6FC-4f65-9D91-7224C49458BB}"/>
                <c:ext xmlns:c16="http://schemas.microsoft.com/office/drawing/2014/chart" uri="{C3380CC4-5D6E-409C-BE32-E72D297353CC}">
                  <c16:uniqueId val="{00000008-1F74-469C-AD88-D3347AE84248}"/>
                </c:ext>
              </c:extLst>
            </c:dLbl>
            <c:dLbl>
              <c:idx val="3"/>
              <c:delete val="1"/>
              <c:extLst>
                <c:ext xmlns:c15="http://schemas.microsoft.com/office/drawing/2012/chart" uri="{CE6537A1-D6FC-4f65-9D91-7224C49458BB}"/>
                <c:ext xmlns:c16="http://schemas.microsoft.com/office/drawing/2014/chart" uri="{C3380CC4-5D6E-409C-BE32-E72D297353CC}">
                  <c16:uniqueId val="{00000005-FAD9-4CB1-AC7B-155C3C0445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3'!$N$46:$Q$46</c:f>
              <c:numCache>
                <c:formatCode>General</c:formatCode>
                <c:ptCount val="4"/>
                <c:pt idx="0">
                  <c:v>2020</c:v>
                </c:pt>
                <c:pt idx="1">
                  <c:v>2030</c:v>
                </c:pt>
                <c:pt idx="2">
                  <c:v>2040</c:v>
                </c:pt>
                <c:pt idx="3">
                  <c:v>2050</c:v>
                </c:pt>
              </c:numCache>
            </c:numRef>
          </c:cat>
          <c:val>
            <c:numRef>
              <c:f>'Eje 3'!$N$49:$Q$49</c:f>
              <c:numCache>
                <c:formatCode>0%</c:formatCode>
                <c:ptCount val="4"/>
                <c:pt idx="0">
                  <c:v>0.77</c:v>
                </c:pt>
                <c:pt idx="1">
                  <c:v>0.72</c:v>
                </c:pt>
                <c:pt idx="2">
                  <c:v>0.69500000000000006</c:v>
                </c:pt>
                <c:pt idx="3">
                  <c:v>0.67</c:v>
                </c:pt>
              </c:numCache>
            </c:numRef>
          </c:val>
          <c:smooth val="0"/>
          <c:extLst>
            <c:ext xmlns:c16="http://schemas.microsoft.com/office/drawing/2014/chart" uri="{C3380CC4-5D6E-409C-BE32-E72D297353CC}">
              <c16:uniqueId val="{00000002-1F74-469C-AD88-D3347AE84248}"/>
            </c:ext>
          </c:extLst>
        </c:ser>
        <c:ser>
          <c:idx val="3"/>
          <c:order val="3"/>
          <c:tx>
            <c:strRef>
              <c:f>'Eje 3'!$M$50</c:f>
              <c:strCache>
                <c:ptCount val="1"/>
                <c:pt idx="0">
                  <c:v>FCk Precast</c:v>
                </c:pt>
              </c:strCache>
            </c:strRef>
          </c:tx>
          <c:spPr>
            <a:ln w="28575" cap="rnd">
              <a:solidFill>
                <a:schemeClr val="bg1"/>
              </a:solidFill>
              <a:round/>
            </a:ln>
            <a:effectLst/>
          </c:spPr>
          <c:marker>
            <c:symbol val="none"/>
          </c:marker>
          <c:dLbls>
            <c:dLbl>
              <c:idx val="0"/>
              <c:layout>
                <c:manualLayout>
                  <c:x val="-0.12244780410354784"/>
                  <c:y val="-1.8894978510681427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234DFAC6-7124-4942-8BB1-FBC5FA24C442}" type="SERIESNAME">
                      <a:rPr lang="en-US" sz="1100"/>
                      <a:pPr>
                        <a:defRPr sz="1400"/>
                      </a:pPr>
                      <a:t>[NOMBRE DE LA SERIE]</a:t>
                    </a:fld>
                    <a:r>
                      <a:rPr lang="en-US" sz="1100" baseline="0"/>
                      <a:t>; </a:t>
                    </a:r>
                    <a:fld id="{CFD7202B-9A93-4A6E-AAE7-F7EE68E8DA48}" type="VALUE">
                      <a:rPr lang="en-US" sz="1400" baseline="0"/>
                      <a:pPr>
                        <a:defRPr sz="1400"/>
                      </a:pPr>
                      <a:t>[VALOR]</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AD9-4CB1-AC7B-155C3C0445C1}"/>
                </c:ext>
              </c:extLst>
            </c:dLbl>
            <c:dLbl>
              <c:idx val="1"/>
              <c:delete val="1"/>
              <c:extLst>
                <c:ext xmlns:c15="http://schemas.microsoft.com/office/drawing/2012/chart" uri="{CE6537A1-D6FC-4f65-9D91-7224C49458BB}"/>
                <c:ext xmlns:c16="http://schemas.microsoft.com/office/drawing/2014/chart" uri="{C3380CC4-5D6E-409C-BE32-E72D297353CC}">
                  <c16:uniqueId val="{00000004-1F74-469C-AD88-D3347AE84248}"/>
                </c:ext>
              </c:extLst>
            </c:dLbl>
            <c:dLbl>
              <c:idx val="2"/>
              <c:delete val="1"/>
              <c:extLst>
                <c:ext xmlns:c15="http://schemas.microsoft.com/office/drawing/2012/chart" uri="{CE6537A1-D6FC-4f65-9D91-7224C49458BB}"/>
                <c:ext xmlns:c16="http://schemas.microsoft.com/office/drawing/2014/chart" uri="{C3380CC4-5D6E-409C-BE32-E72D297353CC}">
                  <c16:uniqueId val="{00000005-1F74-469C-AD88-D3347AE84248}"/>
                </c:ext>
              </c:extLst>
            </c:dLbl>
            <c:dLbl>
              <c:idx val="3"/>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extLst>
                <c:ext xmlns:c16="http://schemas.microsoft.com/office/drawing/2014/chart" uri="{C3380CC4-5D6E-409C-BE32-E72D297353CC}">
                  <c16:uniqueId val="{00000004-FAD9-4CB1-AC7B-155C3C0445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3'!$N$46:$Q$46</c:f>
              <c:numCache>
                <c:formatCode>General</c:formatCode>
                <c:ptCount val="4"/>
                <c:pt idx="0">
                  <c:v>2020</c:v>
                </c:pt>
                <c:pt idx="1">
                  <c:v>2030</c:v>
                </c:pt>
                <c:pt idx="2">
                  <c:v>2040</c:v>
                </c:pt>
                <c:pt idx="3">
                  <c:v>2050</c:v>
                </c:pt>
              </c:numCache>
            </c:numRef>
          </c:cat>
          <c:val>
            <c:numRef>
              <c:f>'Eje 3'!$N$50:$Q$50</c:f>
              <c:numCache>
                <c:formatCode>0%</c:formatCode>
                <c:ptCount val="4"/>
                <c:pt idx="0">
                  <c:v>0.8</c:v>
                </c:pt>
                <c:pt idx="1">
                  <c:v>0.75</c:v>
                </c:pt>
                <c:pt idx="2">
                  <c:v>0.71</c:v>
                </c:pt>
                <c:pt idx="3">
                  <c:v>0.67</c:v>
                </c:pt>
              </c:numCache>
            </c:numRef>
          </c:val>
          <c:smooth val="0"/>
          <c:extLst>
            <c:ext xmlns:c16="http://schemas.microsoft.com/office/drawing/2014/chart" uri="{C3380CC4-5D6E-409C-BE32-E72D297353CC}">
              <c16:uniqueId val="{00000003-1F74-469C-AD88-D3347AE84248}"/>
            </c:ext>
          </c:extLst>
        </c:ser>
        <c:dLbls>
          <c:showLegendKey val="0"/>
          <c:showVal val="0"/>
          <c:showCatName val="0"/>
          <c:showSerName val="0"/>
          <c:showPercent val="0"/>
          <c:showBubbleSize val="0"/>
        </c:dLbls>
        <c:smooth val="0"/>
        <c:axId val="1095298344"/>
        <c:axId val="1095297264"/>
      </c:lineChart>
      <c:catAx>
        <c:axId val="109529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s-CL"/>
          </a:p>
        </c:txPr>
        <c:crossAx val="1095297264"/>
        <c:crosses val="autoZero"/>
        <c:auto val="1"/>
        <c:lblAlgn val="ctr"/>
        <c:lblOffset val="100"/>
        <c:noMultiLvlLbl val="0"/>
      </c:catAx>
      <c:valAx>
        <c:axId val="1095297264"/>
        <c:scaling>
          <c:orientation val="minMax"/>
          <c:min val="0.45"/>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095298344"/>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s-C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'Eje 3'!$X$48</c:f>
              <c:strCache>
                <c:ptCount val="1"/>
                <c:pt idx="0">
                  <c:v>Premezclado [%]</c:v>
                </c:pt>
              </c:strCache>
            </c:strRef>
          </c:tx>
          <c:spPr>
            <a:ln w="28575" cap="rnd">
              <a:solidFill>
                <a:schemeClr val="accent1"/>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0-3E26-4015-94AC-E10066C74EED}"/>
                </c:ext>
              </c:extLst>
            </c:dLbl>
            <c:dLbl>
              <c:idx val="2"/>
              <c:delete val="1"/>
              <c:extLst>
                <c:ext xmlns:c15="http://schemas.microsoft.com/office/drawing/2012/chart" uri="{CE6537A1-D6FC-4f65-9D91-7224C49458BB}"/>
                <c:ext xmlns:c16="http://schemas.microsoft.com/office/drawing/2014/chart" uri="{C3380CC4-5D6E-409C-BE32-E72D297353CC}">
                  <c16:uniqueId val="{00000001-3E26-4015-94AC-E10066C74E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3'!$Y$46:$AB$46</c:f>
              <c:numCache>
                <c:formatCode>General</c:formatCode>
                <c:ptCount val="4"/>
                <c:pt idx="0">
                  <c:v>2020</c:v>
                </c:pt>
                <c:pt idx="1">
                  <c:v>2030</c:v>
                </c:pt>
                <c:pt idx="2">
                  <c:v>2040</c:v>
                </c:pt>
                <c:pt idx="3">
                  <c:v>2050</c:v>
                </c:pt>
              </c:numCache>
            </c:numRef>
          </c:cat>
          <c:val>
            <c:numRef>
              <c:f>'Eje 3'!$Y$48:$AB$48</c:f>
              <c:numCache>
                <c:formatCode>0%</c:formatCode>
                <c:ptCount val="4"/>
                <c:pt idx="0">
                  <c:v>0.35</c:v>
                </c:pt>
                <c:pt idx="1">
                  <c:v>0.39</c:v>
                </c:pt>
                <c:pt idx="2">
                  <c:v>0.40500000000000003</c:v>
                </c:pt>
                <c:pt idx="3">
                  <c:v>0.42</c:v>
                </c:pt>
              </c:numCache>
            </c:numRef>
          </c:val>
          <c:smooth val="0"/>
          <c:extLst>
            <c:ext xmlns:c16="http://schemas.microsoft.com/office/drawing/2014/chart" uri="{C3380CC4-5D6E-409C-BE32-E72D297353CC}">
              <c16:uniqueId val="{00000002-3E26-4015-94AC-E10066C74EED}"/>
            </c:ext>
          </c:extLst>
        </c:ser>
        <c:ser>
          <c:idx val="1"/>
          <c:order val="1"/>
          <c:tx>
            <c:strRef>
              <c:f>'Eje 3'!$X$49</c:f>
              <c:strCache>
                <c:ptCount val="1"/>
                <c:pt idx="0">
                  <c:v>Sacos [%]</c:v>
                </c:pt>
              </c:strCache>
            </c:strRef>
          </c:tx>
          <c:spPr>
            <a:ln w="28575" cap="rnd">
              <a:solidFill>
                <a:schemeClr val="bg1">
                  <a:lumMod val="50000"/>
                </a:schemeClr>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3-3E26-4015-94AC-E10066C74EED}"/>
                </c:ext>
              </c:extLst>
            </c:dLbl>
            <c:dLbl>
              <c:idx val="2"/>
              <c:delete val="1"/>
              <c:extLst>
                <c:ext xmlns:c15="http://schemas.microsoft.com/office/drawing/2012/chart" uri="{CE6537A1-D6FC-4f65-9D91-7224C49458BB}"/>
                <c:ext xmlns:c16="http://schemas.microsoft.com/office/drawing/2014/chart" uri="{C3380CC4-5D6E-409C-BE32-E72D297353CC}">
                  <c16:uniqueId val="{00000004-3E26-4015-94AC-E10066C74E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3'!$Y$46:$AB$46</c:f>
              <c:numCache>
                <c:formatCode>General</c:formatCode>
                <c:ptCount val="4"/>
                <c:pt idx="0">
                  <c:v>2020</c:v>
                </c:pt>
                <c:pt idx="1">
                  <c:v>2030</c:v>
                </c:pt>
                <c:pt idx="2">
                  <c:v>2040</c:v>
                </c:pt>
                <c:pt idx="3">
                  <c:v>2050</c:v>
                </c:pt>
              </c:numCache>
            </c:numRef>
          </c:cat>
          <c:val>
            <c:numRef>
              <c:f>'Eje 3'!$Y$49:$AB$49</c:f>
              <c:numCache>
                <c:formatCode>0%</c:formatCode>
                <c:ptCount val="4"/>
                <c:pt idx="0">
                  <c:v>0.53</c:v>
                </c:pt>
                <c:pt idx="1">
                  <c:v>0.47</c:v>
                </c:pt>
                <c:pt idx="2">
                  <c:v>0.44999999999999996</c:v>
                </c:pt>
                <c:pt idx="3">
                  <c:v>0.43</c:v>
                </c:pt>
              </c:numCache>
            </c:numRef>
          </c:val>
          <c:smooth val="0"/>
          <c:extLst>
            <c:ext xmlns:c16="http://schemas.microsoft.com/office/drawing/2014/chart" uri="{C3380CC4-5D6E-409C-BE32-E72D297353CC}">
              <c16:uniqueId val="{00000005-3E26-4015-94AC-E10066C74EED}"/>
            </c:ext>
          </c:extLst>
        </c:ser>
        <c:ser>
          <c:idx val="2"/>
          <c:order val="2"/>
          <c:tx>
            <c:strRef>
              <c:f>'Eje 3'!$X$50</c:f>
              <c:strCache>
                <c:ptCount val="1"/>
                <c:pt idx="0">
                  <c:v>Silos [%]</c:v>
                </c:pt>
              </c:strCache>
            </c:strRef>
          </c:tx>
          <c:spPr>
            <a:ln w="28575" cap="rnd">
              <a:solidFill>
                <a:schemeClr val="accent3"/>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6-3E26-4015-94AC-E10066C74EED}"/>
                </c:ext>
              </c:extLst>
            </c:dLbl>
            <c:dLbl>
              <c:idx val="2"/>
              <c:delete val="1"/>
              <c:extLst>
                <c:ext xmlns:c15="http://schemas.microsoft.com/office/drawing/2012/chart" uri="{CE6537A1-D6FC-4f65-9D91-7224C49458BB}"/>
                <c:ext xmlns:c16="http://schemas.microsoft.com/office/drawing/2014/chart" uri="{C3380CC4-5D6E-409C-BE32-E72D297353CC}">
                  <c16:uniqueId val="{00000007-3E26-4015-94AC-E10066C74E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3'!$Y$46:$AB$46</c:f>
              <c:numCache>
                <c:formatCode>General</c:formatCode>
                <c:ptCount val="4"/>
                <c:pt idx="0">
                  <c:v>2020</c:v>
                </c:pt>
                <c:pt idx="1">
                  <c:v>2030</c:v>
                </c:pt>
                <c:pt idx="2">
                  <c:v>2040</c:v>
                </c:pt>
                <c:pt idx="3">
                  <c:v>2050</c:v>
                </c:pt>
              </c:numCache>
            </c:numRef>
          </c:cat>
          <c:val>
            <c:numRef>
              <c:f>'Eje 3'!$Y$50:$AB$50</c:f>
              <c:numCache>
                <c:formatCode>0%</c:formatCode>
                <c:ptCount val="4"/>
                <c:pt idx="0">
                  <c:v>7.0000000000000007E-2</c:v>
                </c:pt>
                <c:pt idx="1">
                  <c:v>7.0000000000000007E-2</c:v>
                </c:pt>
                <c:pt idx="2">
                  <c:v>7.0000000000000007E-2</c:v>
                </c:pt>
                <c:pt idx="3">
                  <c:v>7.0000000000000007E-2</c:v>
                </c:pt>
              </c:numCache>
            </c:numRef>
          </c:val>
          <c:smooth val="0"/>
          <c:extLst>
            <c:ext xmlns:c16="http://schemas.microsoft.com/office/drawing/2014/chart" uri="{C3380CC4-5D6E-409C-BE32-E72D297353CC}">
              <c16:uniqueId val="{00000008-3E26-4015-94AC-E10066C74EED}"/>
            </c:ext>
          </c:extLst>
        </c:ser>
        <c:ser>
          <c:idx val="3"/>
          <c:order val="3"/>
          <c:tx>
            <c:strRef>
              <c:f>'Eje 3'!$X$51</c:f>
              <c:strCache>
                <c:ptCount val="1"/>
                <c:pt idx="0">
                  <c:v>Prefabricados [%]</c:v>
                </c:pt>
              </c:strCache>
            </c:strRef>
          </c:tx>
          <c:spPr>
            <a:ln w="28575" cap="rnd">
              <a:solidFill>
                <a:schemeClr val="bg1"/>
              </a:solidFill>
              <a:round/>
            </a:ln>
            <a:effectLst/>
          </c:spPr>
          <c:marker>
            <c:symbol val="none"/>
          </c:marker>
          <c:cat>
            <c:numRef>
              <c:f>'Eje 3'!$Y$46:$AB$46</c:f>
              <c:numCache>
                <c:formatCode>General</c:formatCode>
                <c:ptCount val="4"/>
                <c:pt idx="0">
                  <c:v>2020</c:v>
                </c:pt>
                <c:pt idx="1">
                  <c:v>2030</c:v>
                </c:pt>
                <c:pt idx="2">
                  <c:v>2040</c:v>
                </c:pt>
                <c:pt idx="3">
                  <c:v>2050</c:v>
                </c:pt>
              </c:numCache>
            </c:numRef>
          </c:cat>
          <c:val>
            <c:numRef>
              <c:f>'Eje 3'!$Y$51:$AB$51</c:f>
              <c:numCache>
                <c:formatCode>0%</c:formatCode>
                <c:ptCount val="4"/>
                <c:pt idx="0">
                  <c:v>0.05</c:v>
                </c:pt>
                <c:pt idx="1">
                  <c:v>7.0000000000000007E-2</c:v>
                </c:pt>
                <c:pt idx="2">
                  <c:v>7.0000000000000007E-2</c:v>
                </c:pt>
                <c:pt idx="3">
                  <c:v>7.0000000000000007E-2</c:v>
                </c:pt>
              </c:numCache>
            </c:numRef>
          </c:val>
          <c:smooth val="0"/>
          <c:extLst>
            <c:ext xmlns:c16="http://schemas.microsoft.com/office/drawing/2014/chart" uri="{C3380CC4-5D6E-409C-BE32-E72D297353CC}">
              <c16:uniqueId val="{0000000C-3E26-4015-94AC-E10066C74EED}"/>
            </c:ext>
          </c:extLst>
        </c:ser>
        <c:dLbls>
          <c:showLegendKey val="0"/>
          <c:showVal val="0"/>
          <c:showCatName val="0"/>
          <c:showSerName val="0"/>
          <c:showPercent val="0"/>
          <c:showBubbleSize val="0"/>
        </c:dLbls>
        <c:smooth val="0"/>
        <c:axId val="1095298344"/>
        <c:axId val="1095297264"/>
      </c:lineChart>
      <c:catAx>
        <c:axId val="109529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s-CL"/>
          </a:p>
        </c:txPr>
        <c:crossAx val="1095297264"/>
        <c:crosses val="autoZero"/>
        <c:auto val="1"/>
        <c:lblAlgn val="ctr"/>
        <c:lblOffset val="100"/>
        <c:noMultiLvlLbl val="0"/>
      </c:catAx>
      <c:valAx>
        <c:axId val="1095297264"/>
        <c:scaling>
          <c:orientation val="minMax"/>
          <c:max val="0.70000000000000007"/>
          <c:min val="4.0000000000000008E-2"/>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095298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s-C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9.9599295750755323E-2"/>
          <c:y val="2.8061291759772563E-2"/>
          <c:w val="0.83411169685318598"/>
          <c:h val="0.81855677743431887"/>
        </c:manualLayout>
      </c:layout>
      <c:lineChart>
        <c:grouping val="standard"/>
        <c:varyColors val="0"/>
        <c:ser>
          <c:idx val="0"/>
          <c:order val="0"/>
          <c:tx>
            <c:strRef>
              <c:f>'Eje 4'!$D$44</c:f>
              <c:strCache>
                <c:ptCount val="1"/>
                <c:pt idx="0">
                  <c:v>Eficiencia Térmica</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'Eje 4'!$E$44:$H$44</c:f>
              <c:numCache>
                <c:formatCode>General</c:formatCode>
                <c:ptCount val="4"/>
                <c:pt idx="0">
                  <c:v>2020</c:v>
                </c:pt>
                <c:pt idx="1">
                  <c:v>2030</c:v>
                </c:pt>
                <c:pt idx="2">
                  <c:v>2040</c:v>
                </c:pt>
                <c:pt idx="3">
                  <c:v>2050</c:v>
                </c:pt>
              </c:numCache>
            </c:numRef>
          </c:cat>
          <c:val>
            <c:numRef>
              <c:f>'Eje 4'!$E$44:$H$44</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5109-47B1-BB36-11DA1C1178FF}"/>
            </c:ext>
          </c:extLst>
        </c:ser>
        <c:ser>
          <c:idx val="1"/>
          <c:order val="1"/>
          <c:tx>
            <c:strRef>
              <c:f>'Eje 4'!$D$45</c:f>
              <c:strCache>
                <c:ptCount val="1"/>
                <c:pt idx="0">
                  <c:v>FICEM</c:v>
                </c:pt>
              </c:strCache>
            </c:strRef>
          </c:tx>
          <c:spPr>
            <a:ln w="28575" cap="rnd">
              <a:solidFill>
                <a:srgbClr val="92D050"/>
              </a:solidFill>
              <a:round/>
            </a:ln>
            <a:effectLst/>
          </c:spPr>
          <c:marker>
            <c:symbol val="none"/>
          </c:marker>
          <c:dLbls>
            <c:dLbl>
              <c:idx val="3"/>
              <c:layout>
                <c:manualLayout>
                  <c:x val="-1.7176595144407735E-3"/>
                  <c:y val="2.223987792233309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CB4-448B-A310-275966F2B1E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4'!$E$44:$H$44</c:f>
              <c:numCache>
                <c:formatCode>General</c:formatCode>
                <c:ptCount val="4"/>
                <c:pt idx="0">
                  <c:v>2020</c:v>
                </c:pt>
                <c:pt idx="1">
                  <c:v>2030</c:v>
                </c:pt>
                <c:pt idx="2">
                  <c:v>2040</c:v>
                </c:pt>
                <c:pt idx="3">
                  <c:v>2050</c:v>
                </c:pt>
              </c:numCache>
            </c:numRef>
          </c:cat>
          <c:val>
            <c:numRef>
              <c:f>'Eje 4'!$E$45:$H$45</c:f>
              <c:numCache>
                <c:formatCode>_ * #,##0.0_ ;_ * \-#,##0.0_ ;_ * "-"_ ;_ @_ </c:formatCode>
                <c:ptCount val="4"/>
                <c:pt idx="0">
                  <c:v>3.6</c:v>
                </c:pt>
                <c:pt idx="1">
                  <c:v>3.5</c:v>
                </c:pt>
                <c:pt idx="2">
                  <c:v>3.45</c:v>
                </c:pt>
                <c:pt idx="3">
                  <c:v>3.4</c:v>
                </c:pt>
              </c:numCache>
            </c:numRef>
          </c:val>
          <c:smooth val="0"/>
          <c:extLst>
            <c:ext xmlns:c16="http://schemas.microsoft.com/office/drawing/2014/chart" uri="{C3380CC4-5D6E-409C-BE32-E72D297353CC}">
              <c16:uniqueId val="{00000003-5109-47B1-BB36-11DA1C1178FF}"/>
            </c:ext>
          </c:extLst>
        </c:ser>
        <c:ser>
          <c:idx val="2"/>
          <c:order val="2"/>
          <c:tx>
            <c:strRef>
              <c:f>'Eje 4'!$D$46</c:f>
              <c:strCache>
                <c:ptCount val="1"/>
                <c:pt idx="0">
                  <c:v>Perú</c:v>
                </c:pt>
              </c:strCache>
            </c:strRef>
          </c:tx>
          <c:spPr>
            <a:ln w="28575" cap="rnd">
              <a:solidFill>
                <a:schemeClr val="bg1"/>
              </a:solidFill>
              <a:prstDash val="lgDashDot"/>
              <a:round/>
            </a:ln>
            <a:effectLst/>
          </c:spPr>
          <c:marker>
            <c:symbol val="none"/>
          </c:marker>
          <c:cat>
            <c:numRef>
              <c:f>'Eje 4'!$E$44:$H$44</c:f>
              <c:numCache>
                <c:formatCode>General</c:formatCode>
                <c:ptCount val="4"/>
                <c:pt idx="0">
                  <c:v>2020</c:v>
                </c:pt>
                <c:pt idx="1">
                  <c:v>2030</c:v>
                </c:pt>
                <c:pt idx="2">
                  <c:v>2040</c:v>
                </c:pt>
                <c:pt idx="3">
                  <c:v>2050</c:v>
                </c:pt>
              </c:numCache>
            </c:numRef>
          </c:cat>
          <c:val>
            <c:numRef>
              <c:f>'Eje 4'!$E$46:$H$46</c:f>
              <c:numCache>
                <c:formatCode>_ * #,##0.0_ ;_ * \-#,##0.0_ ;_ * "-"_ ;_ @_ </c:formatCode>
                <c:ptCount val="4"/>
                <c:pt idx="0">
                  <c:v>3.4</c:v>
                </c:pt>
                <c:pt idx="1">
                  <c:v>3.2</c:v>
                </c:pt>
                <c:pt idx="2">
                  <c:v>3.1500000000000004</c:v>
                </c:pt>
                <c:pt idx="3">
                  <c:v>3.1</c:v>
                </c:pt>
              </c:numCache>
            </c:numRef>
          </c:val>
          <c:smooth val="0"/>
          <c:extLst>
            <c:ext xmlns:c16="http://schemas.microsoft.com/office/drawing/2014/chart" uri="{C3380CC4-5D6E-409C-BE32-E72D297353CC}">
              <c16:uniqueId val="{00000004-5109-47B1-BB36-11DA1C1178FF}"/>
            </c:ext>
          </c:extLst>
        </c:ser>
        <c:ser>
          <c:idx val="3"/>
          <c:order val="3"/>
          <c:tx>
            <c:strRef>
              <c:f>'Eje 4'!$D$47</c:f>
              <c:strCache>
                <c:ptCount val="1"/>
                <c:pt idx="0">
                  <c:v>Colombia</c:v>
                </c:pt>
              </c:strCache>
            </c:strRef>
          </c:tx>
          <c:spPr>
            <a:ln w="15875" cap="rnd">
              <a:solidFill>
                <a:schemeClr val="bg1"/>
              </a:solidFill>
              <a:prstDash val="lgDashDotDot"/>
              <a:round/>
            </a:ln>
            <a:effectLst/>
          </c:spPr>
          <c:marker>
            <c:symbol val="none"/>
          </c:marker>
          <c:cat>
            <c:numRef>
              <c:f>'Eje 4'!$E$44:$H$44</c:f>
              <c:numCache>
                <c:formatCode>General</c:formatCode>
                <c:ptCount val="4"/>
                <c:pt idx="0">
                  <c:v>2020</c:v>
                </c:pt>
                <c:pt idx="1">
                  <c:v>2030</c:v>
                </c:pt>
                <c:pt idx="2">
                  <c:v>2040</c:v>
                </c:pt>
                <c:pt idx="3">
                  <c:v>2050</c:v>
                </c:pt>
              </c:numCache>
            </c:numRef>
          </c:cat>
          <c:val>
            <c:numRef>
              <c:f>'Eje 4'!$E$47:$H$47</c:f>
              <c:numCache>
                <c:formatCode>_ * #,##0.0_ ;_ * \-#,##0.0_ ;_ * "-"_ ;_ @_ </c:formatCode>
                <c:ptCount val="4"/>
                <c:pt idx="0">
                  <c:v>4.0999999999999996</c:v>
                </c:pt>
                <c:pt idx="1">
                  <c:v>3.8</c:v>
                </c:pt>
                <c:pt idx="2">
                  <c:v>3.65</c:v>
                </c:pt>
                <c:pt idx="3">
                  <c:v>3.5</c:v>
                </c:pt>
              </c:numCache>
            </c:numRef>
          </c:val>
          <c:smooth val="0"/>
          <c:extLst>
            <c:ext xmlns:c16="http://schemas.microsoft.com/office/drawing/2014/chart" uri="{C3380CC4-5D6E-409C-BE32-E72D297353CC}">
              <c16:uniqueId val="{00000007-5109-47B1-BB36-11DA1C1178FF}"/>
            </c:ext>
          </c:extLst>
        </c:ser>
        <c:ser>
          <c:idx val="4"/>
          <c:order val="4"/>
          <c:tx>
            <c:strRef>
              <c:f>'Eje 4'!$D$48</c:f>
              <c:strCache>
                <c:ptCount val="1"/>
                <c:pt idx="0">
                  <c:v>Chile</c:v>
                </c:pt>
              </c:strCache>
            </c:strRef>
          </c:tx>
          <c:spPr>
            <a:ln w="22225" cap="rnd">
              <a:solidFill>
                <a:schemeClr val="bg1"/>
              </a:solidFill>
              <a:prstDash val="sysDash"/>
              <a:round/>
            </a:ln>
            <a:effectLst/>
          </c:spPr>
          <c:marker>
            <c:symbol val="none"/>
          </c:marker>
          <c:cat>
            <c:numRef>
              <c:f>'Eje 4'!$E$44:$H$44</c:f>
              <c:numCache>
                <c:formatCode>General</c:formatCode>
                <c:ptCount val="4"/>
                <c:pt idx="0">
                  <c:v>2020</c:v>
                </c:pt>
                <c:pt idx="1">
                  <c:v>2030</c:v>
                </c:pt>
                <c:pt idx="2">
                  <c:v>2040</c:v>
                </c:pt>
                <c:pt idx="3">
                  <c:v>2050</c:v>
                </c:pt>
              </c:numCache>
            </c:numRef>
          </c:cat>
          <c:val>
            <c:numRef>
              <c:f>'Eje 4'!$E$48:$H$48</c:f>
              <c:numCache>
                <c:formatCode>_ * #,##0.0_ ;_ * \-#,##0.0_ ;_ * "-"_ ;_ @_ </c:formatCode>
                <c:ptCount val="4"/>
                <c:pt idx="0">
                  <c:v>3.9</c:v>
                </c:pt>
                <c:pt idx="1">
                  <c:v>3.5</c:v>
                </c:pt>
                <c:pt idx="2">
                  <c:v>3.4</c:v>
                </c:pt>
                <c:pt idx="3">
                  <c:v>3.3</c:v>
                </c:pt>
              </c:numCache>
            </c:numRef>
          </c:val>
          <c:smooth val="0"/>
          <c:extLst>
            <c:ext xmlns:c16="http://schemas.microsoft.com/office/drawing/2014/chart" uri="{C3380CC4-5D6E-409C-BE32-E72D297353CC}">
              <c16:uniqueId val="{0000000A-5109-47B1-BB36-11DA1C1178FF}"/>
            </c:ext>
          </c:extLst>
        </c:ser>
        <c:ser>
          <c:idx val="5"/>
          <c:order val="5"/>
          <c:tx>
            <c:strRef>
              <c:f>'Eje 4'!$D$49</c:f>
              <c:strCache>
                <c:ptCount val="1"/>
                <c:pt idx="0">
                  <c:v>ARGENTINA</c:v>
                </c:pt>
              </c:strCache>
            </c:strRef>
          </c:tx>
          <c:spPr>
            <a:ln w="28575" cap="rnd">
              <a:solidFill>
                <a:srgbClr val="00B0F0"/>
              </a:solidFill>
              <a:round/>
            </a:ln>
            <a:effectLst/>
          </c:spPr>
          <c:marker>
            <c:symbol val="circle"/>
            <c:size val="8"/>
            <c:spPr>
              <a:solidFill>
                <a:srgbClr val="002060"/>
              </a:solidFill>
              <a:ln w="9525">
                <a:solidFill>
                  <a:srgbClr val="00B0F0"/>
                </a:solidFill>
              </a:ln>
              <a:effectLst/>
            </c:spPr>
          </c:marker>
          <c:dLbls>
            <c:dLbl>
              <c:idx val="3"/>
              <c:layout>
                <c:manualLayout>
                  <c:x val="-1.0276472852459124E-2"/>
                  <c:y val="4.1254973545927803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9CB4-448B-A310-275966F2B1E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'Eje 4'!$E$44:$H$44</c:f>
              <c:numCache>
                <c:formatCode>General</c:formatCode>
                <c:ptCount val="4"/>
                <c:pt idx="0">
                  <c:v>2020</c:v>
                </c:pt>
                <c:pt idx="1">
                  <c:v>2030</c:v>
                </c:pt>
                <c:pt idx="2">
                  <c:v>2040</c:v>
                </c:pt>
                <c:pt idx="3">
                  <c:v>2050</c:v>
                </c:pt>
              </c:numCache>
            </c:numRef>
          </c:cat>
          <c:val>
            <c:numRef>
              <c:f>'Eje 4'!$E$49:$H$49</c:f>
              <c:numCache>
                <c:formatCode>_ * #,##0.0_ ;_ * \-#,##0.0_ ;_ * "-"_ ;_ @_ </c:formatCode>
                <c:ptCount val="4"/>
                <c:pt idx="0">
                  <c:v>3.4249999999999998</c:v>
                </c:pt>
                <c:pt idx="1">
                  <c:v>3.4</c:v>
                </c:pt>
                <c:pt idx="2">
                  <c:v>3.3499999999999996</c:v>
                </c:pt>
                <c:pt idx="3">
                  <c:v>3.3</c:v>
                </c:pt>
              </c:numCache>
            </c:numRef>
          </c:val>
          <c:smooth val="0"/>
          <c:extLst>
            <c:ext xmlns:c16="http://schemas.microsoft.com/office/drawing/2014/chart" uri="{C3380CC4-5D6E-409C-BE32-E72D297353CC}">
              <c16:uniqueId val="{0000000B-5109-47B1-BB36-11DA1C1178FF}"/>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4.5"/>
          <c:min val="2"/>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GJ /</a:t>
                </a:r>
                <a:r>
                  <a:rPr lang="es-CL" baseline="0"/>
                  <a:t> tCk</a:t>
                </a:r>
                <a:endParaRPr lang="es-CL"/>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'Eje 5'!$C$43</c:f>
              <c:strCache>
                <c:ptCount val="1"/>
                <c:pt idx="0">
                  <c:v>Fosiles Tradicionales</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'Eje 5'!$D$43:$G$43</c:f>
              <c:numCache>
                <c:formatCode>General</c:formatCode>
                <c:ptCount val="4"/>
                <c:pt idx="0">
                  <c:v>2020</c:v>
                </c:pt>
                <c:pt idx="1">
                  <c:v>2030</c:v>
                </c:pt>
                <c:pt idx="2">
                  <c:v>2040</c:v>
                </c:pt>
                <c:pt idx="3">
                  <c:v>2050</c:v>
                </c:pt>
              </c:numCache>
            </c:numRef>
          </c:cat>
          <c:val>
            <c:numRef>
              <c:f>'Eje 5'!$D$43:$G$43</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B7DE-4768-BA19-C5A8F4A95904}"/>
            </c:ext>
          </c:extLst>
        </c:ser>
        <c:ser>
          <c:idx val="1"/>
          <c:order val="1"/>
          <c:tx>
            <c:strRef>
              <c:f>'Eje 5'!$C$44</c:f>
              <c:strCache>
                <c:ptCount val="1"/>
                <c:pt idx="0">
                  <c:v>FICEM</c:v>
                </c:pt>
              </c:strCache>
            </c:strRef>
          </c:tx>
          <c:spPr>
            <a:ln w="28575" cap="rnd">
              <a:solidFill>
                <a:srgbClr val="92D050"/>
              </a:solidFill>
              <a:round/>
            </a:ln>
            <a:effectLst/>
          </c:spPr>
          <c:marker>
            <c:symbol val="none"/>
          </c:marker>
          <c:dLbls>
            <c:dLbl>
              <c:idx val="3"/>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9AD-4746-8960-539DE0DB2AC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5'!$D$43:$G$43</c:f>
              <c:numCache>
                <c:formatCode>General</c:formatCode>
                <c:ptCount val="4"/>
                <c:pt idx="0">
                  <c:v>2020</c:v>
                </c:pt>
                <c:pt idx="1">
                  <c:v>2030</c:v>
                </c:pt>
                <c:pt idx="2">
                  <c:v>2040</c:v>
                </c:pt>
                <c:pt idx="3">
                  <c:v>2050</c:v>
                </c:pt>
              </c:numCache>
            </c:numRef>
          </c:cat>
          <c:val>
            <c:numRef>
              <c:f>'Eje 5'!$D$44:$G$44</c:f>
              <c:numCache>
                <c:formatCode>_(* #,##0_);_(* \(#,##0\);_(* "-"_);_(@_)</c:formatCode>
                <c:ptCount val="4"/>
                <c:pt idx="0">
                  <c:v>89</c:v>
                </c:pt>
                <c:pt idx="1">
                  <c:v>75</c:v>
                </c:pt>
                <c:pt idx="2">
                  <c:v>57.5</c:v>
                </c:pt>
                <c:pt idx="3">
                  <c:v>40</c:v>
                </c:pt>
              </c:numCache>
            </c:numRef>
          </c:val>
          <c:smooth val="0"/>
          <c:extLst>
            <c:ext xmlns:c16="http://schemas.microsoft.com/office/drawing/2014/chart" uri="{C3380CC4-5D6E-409C-BE32-E72D297353CC}">
              <c16:uniqueId val="{00000001-B7DE-4768-BA19-C5A8F4A95904}"/>
            </c:ext>
          </c:extLst>
        </c:ser>
        <c:ser>
          <c:idx val="2"/>
          <c:order val="2"/>
          <c:tx>
            <c:strRef>
              <c:f>'Eje 5'!$C$45</c:f>
              <c:strCache>
                <c:ptCount val="1"/>
                <c:pt idx="0">
                  <c:v>Perú</c:v>
                </c:pt>
              </c:strCache>
            </c:strRef>
          </c:tx>
          <c:spPr>
            <a:ln w="28575" cap="rnd">
              <a:solidFill>
                <a:schemeClr val="bg1"/>
              </a:solidFill>
              <a:prstDash val="dash"/>
              <a:round/>
            </a:ln>
            <a:effectLst/>
          </c:spPr>
          <c:marker>
            <c:symbol val="none"/>
          </c:marker>
          <c:cat>
            <c:numRef>
              <c:f>'Eje 5'!$D$43:$G$43</c:f>
              <c:numCache>
                <c:formatCode>General</c:formatCode>
                <c:ptCount val="4"/>
                <c:pt idx="0">
                  <c:v>2020</c:v>
                </c:pt>
                <c:pt idx="1">
                  <c:v>2030</c:v>
                </c:pt>
                <c:pt idx="2">
                  <c:v>2040</c:v>
                </c:pt>
                <c:pt idx="3">
                  <c:v>2050</c:v>
                </c:pt>
              </c:numCache>
            </c:numRef>
          </c:cat>
          <c:val>
            <c:numRef>
              <c:f>'Eje 5'!$D$45:$G$45</c:f>
              <c:numCache>
                <c:formatCode>_(* #,##0_);_(* \(#,##0\);_(* "-"_);_(@_)</c:formatCode>
                <c:ptCount val="4"/>
                <c:pt idx="0">
                  <c:v>100</c:v>
                </c:pt>
                <c:pt idx="1">
                  <c:v>81</c:v>
                </c:pt>
                <c:pt idx="2">
                  <c:v>67.5</c:v>
                </c:pt>
                <c:pt idx="3">
                  <c:v>54</c:v>
                </c:pt>
              </c:numCache>
            </c:numRef>
          </c:val>
          <c:smooth val="0"/>
          <c:extLst>
            <c:ext xmlns:c16="http://schemas.microsoft.com/office/drawing/2014/chart" uri="{C3380CC4-5D6E-409C-BE32-E72D297353CC}">
              <c16:uniqueId val="{00000003-B7DE-4768-BA19-C5A8F4A95904}"/>
            </c:ext>
          </c:extLst>
        </c:ser>
        <c:ser>
          <c:idx val="3"/>
          <c:order val="3"/>
          <c:tx>
            <c:strRef>
              <c:f>'Eje 5'!$C$46</c:f>
              <c:strCache>
                <c:ptCount val="1"/>
                <c:pt idx="0">
                  <c:v>Colombia</c:v>
                </c:pt>
              </c:strCache>
            </c:strRef>
          </c:tx>
          <c:spPr>
            <a:ln w="15875" cap="rnd">
              <a:solidFill>
                <a:schemeClr val="bg1"/>
              </a:solidFill>
              <a:prstDash val="dashDot"/>
              <a:round/>
            </a:ln>
            <a:effectLst/>
          </c:spPr>
          <c:marker>
            <c:symbol val="none"/>
          </c:marker>
          <c:cat>
            <c:numRef>
              <c:f>'Eje 5'!$D$43:$G$43</c:f>
              <c:numCache>
                <c:formatCode>General</c:formatCode>
                <c:ptCount val="4"/>
                <c:pt idx="0">
                  <c:v>2020</c:v>
                </c:pt>
                <c:pt idx="1">
                  <c:v>2030</c:v>
                </c:pt>
                <c:pt idx="2">
                  <c:v>2040</c:v>
                </c:pt>
                <c:pt idx="3">
                  <c:v>2050</c:v>
                </c:pt>
              </c:numCache>
            </c:numRef>
          </c:cat>
          <c:val>
            <c:numRef>
              <c:f>'Eje 5'!$D$46:$G$46</c:f>
              <c:numCache>
                <c:formatCode>_(* #,##0_);_(* \(#,##0\);_(* "-"_);_(@_)</c:formatCode>
                <c:ptCount val="4"/>
                <c:pt idx="0">
                  <c:v>92</c:v>
                </c:pt>
                <c:pt idx="1">
                  <c:v>85</c:v>
                </c:pt>
                <c:pt idx="2">
                  <c:v>65</c:v>
                </c:pt>
                <c:pt idx="3">
                  <c:v>45</c:v>
                </c:pt>
              </c:numCache>
            </c:numRef>
          </c:val>
          <c:smooth val="0"/>
          <c:extLst>
            <c:ext xmlns:c16="http://schemas.microsoft.com/office/drawing/2014/chart" uri="{C3380CC4-5D6E-409C-BE32-E72D297353CC}">
              <c16:uniqueId val="{00000005-B7DE-4768-BA19-C5A8F4A95904}"/>
            </c:ext>
          </c:extLst>
        </c:ser>
        <c:ser>
          <c:idx val="4"/>
          <c:order val="4"/>
          <c:tx>
            <c:strRef>
              <c:f>'Eje 5'!$C$47</c:f>
              <c:strCache>
                <c:ptCount val="1"/>
                <c:pt idx="0">
                  <c:v>Chile</c:v>
                </c:pt>
              </c:strCache>
            </c:strRef>
          </c:tx>
          <c:spPr>
            <a:ln w="15875" cap="rnd">
              <a:solidFill>
                <a:schemeClr val="bg1"/>
              </a:solidFill>
              <a:prstDash val="dash"/>
              <a:round/>
            </a:ln>
            <a:effectLst/>
          </c:spPr>
          <c:marker>
            <c:symbol val="none"/>
          </c:marker>
          <c:cat>
            <c:numRef>
              <c:f>'Eje 5'!$D$43:$G$43</c:f>
              <c:numCache>
                <c:formatCode>General</c:formatCode>
                <c:ptCount val="4"/>
                <c:pt idx="0">
                  <c:v>2020</c:v>
                </c:pt>
                <c:pt idx="1">
                  <c:v>2030</c:v>
                </c:pt>
                <c:pt idx="2">
                  <c:v>2040</c:v>
                </c:pt>
                <c:pt idx="3">
                  <c:v>2050</c:v>
                </c:pt>
              </c:numCache>
            </c:numRef>
          </c:cat>
          <c:val>
            <c:numRef>
              <c:f>'Eje 5'!$D$47:$G$47</c:f>
              <c:numCache>
                <c:formatCode>_(* #,##0_);_(* \(#,##0\);_(* "-"_);_(@_)</c:formatCode>
                <c:ptCount val="4"/>
                <c:pt idx="0">
                  <c:v>85</c:v>
                </c:pt>
                <c:pt idx="1">
                  <c:v>65</c:v>
                </c:pt>
                <c:pt idx="2">
                  <c:v>43.5</c:v>
                </c:pt>
                <c:pt idx="3">
                  <c:v>22</c:v>
                </c:pt>
              </c:numCache>
            </c:numRef>
          </c:val>
          <c:smooth val="0"/>
          <c:extLst>
            <c:ext xmlns:c16="http://schemas.microsoft.com/office/drawing/2014/chart" uri="{C3380CC4-5D6E-409C-BE32-E72D297353CC}">
              <c16:uniqueId val="{00000007-B7DE-4768-BA19-C5A8F4A95904}"/>
            </c:ext>
          </c:extLst>
        </c:ser>
        <c:ser>
          <c:idx val="5"/>
          <c:order val="5"/>
          <c:tx>
            <c:strRef>
              <c:f>'Eje 5'!$C$48</c:f>
              <c:strCache>
                <c:ptCount val="1"/>
                <c:pt idx="0">
                  <c:v>ARGENTINA</c:v>
                </c:pt>
              </c:strCache>
            </c:strRef>
          </c:tx>
          <c:spPr>
            <a:ln w="31750" cap="rnd">
              <a:solidFill>
                <a:srgbClr val="00B0F0"/>
              </a:solidFill>
              <a:round/>
            </a:ln>
            <a:effectLst/>
          </c:spPr>
          <c:marker>
            <c:symbol val="circle"/>
            <c:size val="8"/>
            <c:spPr>
              <a:solidFill>
                <a:srgbClr val="002060"/>
              </a:solidFill>
              <a:ln w="9525">
                <a:solidFill>
                  <a:srgbClr val="00B0F0"/>
                </a:solidFill>
              </a:ln>
              <a:effectLst/>
            </c:spPr>
          </c:marker>
          <c:dLbls>
            <c:dLbl>
              <c:idx val="3"/>
              <c:dLblPos val="b"/>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29AD-4746-8960-539DE0DB2AC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5'!$D$43:$G$43</c:f>
              <c:numCache>
                <c:formatCode>General</c:formatCode>
                <c:ptCount val="4"/>
                <c:pt idx="0">
                  <c:v>2020</c:v>
                </c:pt>
                <c:pt idx="1">
                  <c:v>2030</c:v>
                </c:pt>
                <c:pt idx="2">
                  <c:v>2040</c:v>
                </c:pt>
                <c:pt idx="3">
                  <c:v>2050</c:v>
                </c:pt>
              </c:numCache>
            </c:numRef>
          </c:cat>
          <c:val>
            <c:numRef>
              <c:f>'Eje 5'!$D$48:$G$48</c:f>
              <c:numCache>
                <c:formatCode>_(* #,##0_);_(* \(#,##0\);_(* "-"_);_(@_)</c:formatCode>
                <c:ptCount val="4"/>
                <c:pt idx="0">
                  <c:v>93</c:v>
                </c:pt>
                <c:pt idx="1">
                  <c:v>90</c:v>
                </c:pt>
                <c:pt idx="2">
                  <c:v>83.5</c:v>
                </c:pt>
                <c:pt idx="3">
                  <c:v>77</c:v>
                </c:pt>
              </c:numCache>
            </c:numRef>
          </c:val>
          <c:smooth val="0"/>
          <c:extLst>
            <c:ext xmlns:c16="http://schemas.microsoft.com/office/drawing/2014/chart" uri="{C3380CC4-5D6E-409C-BE32-E72D297353CC}">
              <c16:uniqueId val="{00000008-B7DE-4768-BA19-C5A8F4A95904}"/>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1"/>
          <c:order val="1"/>
          <c:tx>
            <c:strRef>
              <c:f>'Eje Coproc'!$D$46</c:f>
              <c:strCache>
                <c:ptCount val="1"/>
                <c:pt idx="0">
                  <c:v>FICEM</c:v>
                </c:pt>
              </c:strCache>
            </c:strRef>
          </c:tx>
          <c:spPr>
            <a:ln w="28575" cap="rnd">
              <a:solidFill>
                <a:srgbClr val="92D05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50BA-4BD4-B719-598BCECCAA2D}"/>
                </c:ext>
              </c:extLst>
            </c:dLbl>
            <c:dLbl>
              <c:idx val="1"/>
              <c:delete val="1"/>
              <c:extLst>
                <c:ext xmlns:c15="http://schemas.microsoft.com/office/drawing/2012/chart" uri="{CE6537A1-D6FC-4f65-9D91-7224C49458BB}"/>
                <c:ext xmlns:c16="http://schemas.microsoft.com/office/drawing/2014/chart" uri="{C3380CC4-5D6E-409C-BE32-E72D297353CC}">
                  <c16:uniqueId val="{00000003-50BA-4BD4-B719-598BCECCAA2D}"/>
                </c:ext>
              </c:extLst>
            </c:dLbl>
            <c:dLbl>
              <c:idx val="2"/>
              <c:delete val="1"/>
              <c:extLst>
                <c:ext xmlns:c15="http://schemas.microsoft.com/office/drawing/2012/chart" uri="{CE6537A1-D6FC-4f65-9D91-7224C49458BB}"/>
                <c:ext xmlns:c16="http://schemas.microsoft.com/office/drawing/2014/chart" uri="{C3380CC4-5D6E-409C-BE32-E72D297353CC}">
                  <c16:uniqueId val="{00000002-50BA-4BD4-B719-598BCECCAA2D}"/>
                </c:ext>
              </c:extLst>
            </c:dLbl>
            <c:dLbl>
              <c:idx val="3"/>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50BA-4BD4-B719-598BCECCAA2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Coproc'!$E$45:$H$45</c:f>
              <c:numCache>
                <c:formatCode>General</c:formatCode>
                <c:ptCount val="4"/>
                <c:pt idx="0">
                  <c:v>2020</c:v>
                </c:pt>
                <c:pt idx="1">
                  <c:v>2030</c:v>
                </c:pt>
                <c:pt idx="2">
                  <c:v>2040</c:v>
                </c:pt>
                <c:pt idx="3">
                  <c:v>2050</c:v>
                </c:pt>
              </c:numCache>
            </c:numRef>
          </c:cat>
          <c:val>
            <c:numRef>
              <c:f>'Eje Coproc'!$E$46:$H$46</c:f>
              <c:numCache>
                <c:formatCode>_(* #,##0_);_(* \(#,##0\);_(* "-"_);_(@_)</c:formatCode>
                <c:ptCount val="4"/>
                <c:pt idx="0">
                  <c:v>11</c:v>
                </c:pt>
                <c:pt idx="1">
                  <c:v>24</c:v>
                </c:pt>
                <c:pt idx="2">
                  <c:v>42.5</c:v>
                </c:pt>
                <c:pt idx="3">
                  <c:v>50</c:v>
                </c:pt>
              </c:numCache>
            </c:numRef>
          </c:val>
          <c:smooth val="0"/>
          <c:extLst>
            <c:ext xmlns:c16="http://schemas.microsoft.com/office/drawing/2014/chart" uri="{C3380CC4-5D6E-409C-BE32-E72D297353CC}">
              <c16:uniqueId val="{00000001-B306-4F94-808B-AAD29814489A}"/>
            </c:ext>
          </c:extLst>
        </c:ser>
        <c:ser>
          <c:idx val="2"/>
          <c:order val="2"/>
          <c:tx>
            <c:strRef>
              <c:f>'Eje Coproc'!$D$47</c:f>
              <c:strCache>
                <c:ptCount val="1"/>
                <c:pt idx="0">
                  <c:v>Perú</c:v>
                </c:pt>
              </c:strCache>
            </c:strRef>
          </c:tx>
          <c:spPr>
            <a:ln w="28575" cap="rnd">
              <a:solidFill>
                <a:schemeClr val="bg1"/>
              </a:solidFill>
              <a:prstDash val="dash"/>
              <a:round/>
            </a:ln>
            <a:effectLst/>
          </c:spPr>
          <c:marker>
            <c:symbol val="none"/>
          </c:marker>
          <c:cat>
            <c:numRef>
              <c:f>'Eje Coproc'!$E$45:$H$45</c:f>
              <c:numCache>
                <c:formatCode>General</c:formatCode>
                <c:ptCount val="4"/>
                <c:pt idx="0">
                  <c:v>2020</c:v>
                </c:pt>
                <c:pt idx="1">
                  <c:v>2030</c:v>
                </c:pt>
                <c:pt idx="2">
                  <c:v>2040</c:v>
                </c:pt>
                <c:pt idx="3">
                  <c:v>2050</c:v>
                </c:pt>
              </c:numCache>
            </c:numRef>
          </c:cat>
          <c:val>
            <c:numRef>
              <c:f>'Eje Coproc'!$E$47:$H$47</c:f>
              <c:numCache>
                <c:formatCode>_(* #,##0_);_(* \(#,##0\);_(* "-"_);_(@_)</c:formatCode>
                <c:ptCount val="4"/>
                <c:pt idx="0">
                  <c:v>0</c:v>
                </c:pt>
                <c:pt idx="1">
                  <c:v>19</c:v>
                </c:pt>
                <c:pt idx="2">
                  <c:v>32.5</c:v>
                </c:pt>
                <c:pt idx="3">
                  <c:v>46</c:v>
                </c:pt>
              </c:numCache>
            </c:numRef>
          </c:val>
          <c:smooth val="0"/>
          <c:extLst>
            <c:ext xmlns:c16="http://schemas.microsoft.com/office/drawing/2014/chart" uri="{C3380CC4-5D6E-409C-BE32-E72D297353CC}">
              <c16:uniqueId val="{00000003-B306-4F94-808B-AAD29814489A}"/>
            </c:ext>
          </c:extLst>
        </c:ser>
        <c:ser>
          <c:idx val="3"/>
          <c:order val="3"/>
          <c:tx>
            <c:strRef>
              <c:f>'Eje Coproc'!$D$48</c:f>
              <c:strCache>
                <c:ptCount val="1"/>
                <c:pt idx="0">
                  <c:v>Colombia</c:v>
                </c:pt>
              </c:strCache>
            </c:strRef>
          </c:tx>
          <c:spPr>
            <a:ln w="15875" cap="rnd">
              <a:solidFill>
                <a:schemeClr val="bg1"/>
              </a:solidFill>
              <a:prstDash val="dashDot"/>
              <a:round/>
            </a:ln>
            <a:effectLst/>
          </c:spPr>
          <c:marker>
            <c:symbol val="none"/>
          </c:marker>
          <c:cat>
            <c:numRef>
              <c:f>'Eje Coproc'!$E$45:$H$45</c:f>
              <c:numCache>
                <c:formatCode>General</c:formatCode>
                <c:ptCount val="4"/>
                <c:pt idx="0">
                  <c:v>2020</c:v>
                </c:pt>
                <c:pt idx="1">
                  <c:v>2030</c:v>
                </c:pt>
                <c:pt idx="2">
                  <c:v>2040</c:v>
                </c:pt>
                <c:pt idx="3">
                  <c:v>2050</c:v>
                </c:pt>
              </c:numCache>
            </c:numRef>
          </c:cat>
          <c:val>
            <c:numRef>
              <c:f>'Eje Coproc'!$E$48:$H$48</c:f>
              <c:numCache>
                <c:formatCode>_(* #,##0_);_(* \(#,##0\);_(* "-"_);_(@_)</c:formatCode>
                <c:ptCount val="4"/>
                <c:pt idx="0">
                  <c:v>8</c:v>
                </c:pt>
                <c:pt idx="1">
                  <c:v>15</c:v>
                </c:pt>
                <c:pt idx="2">
                  <c:v>35</c:v>
                </c:pt>
                <c:pt idx="3">
                  <c:v>55</c:v>
                </c:pt>
              </c:numCache>
            </c:numRef>
          </c:val>
          <c:smooth val="0"/>
          <c:extLst>
            <c:ext xmlns:c16="http://schemas.microsoft.com/office/drawing/2014/chart" uri="{C3380CC4-5D6E-409C-BE32-E72D297353CC}">
              <c16:uniqueId val="{00000005-B306-4F94-808B-AAD29814489A}"/>
            </c:ext>
          </c:extLst>
        </c:ser>
        <c:ser>
          <c:idx val="4"/>
          <c:order val="4"/>
          <c:tx>
            <c:strRef>
              <c:f>'Eje Coproc'!$D$49</c:f>
              <c:strCache>
                <c:ptCount val="1"/>
                <c:pt idx="0">
                  <c:v>Chile</c:v>
                </c:pt>
              </c:strCache>
            </c:strRef>
          </c:tx>
          <c:spPr>
            <a:ln w="15875" cap="rnd">
              <a:solidFill>
                <a:schemeClr val="bg1"/>
              </a:solidFill>
              <a:prstDash val="dash"/>
              <a:round/>
            </a:ln>
            <a:effectLst/>
          </c:spPr>
          <c:marker>
            <c:symbol val="none"/>
          </c:marker>
          <c:cat>
            <c:numRef>
              <c:f>'Eje Coproc'!$E$45:$H$45</c:f>
              <c:numCache>
                <c:formatCode>General</c:formatCode>
                <c:ptCount val="4"/>
                <c:pt idx="0">
                  <c:v>2020</c:v>
                </c:pt>
                <c:pt idx="1">
                  <c:v>2030</c:v>
                </c:pt>
                <c:pt idx="2">
                  <c:v>2040</c:v>
                </c:pt>
                <c:pt idx="3">
                  <c:v>2050</c:v>
                </c:pt>
              </c:numCache>
            </c:numRef>
          </c:cat>
          <c:val>
            <c:numRef>
              <c:f>'Eje Coproc'!$E$49:$H$49</c:f>
              <c:numCache>
                <c:formatCode>_(* #,##0_);_(* \(#,##0\);_(* "-"_);_(@_)</c:formatCode>
                <c:ptCount val="4"/>
                <c:pt idx="0">
                  <c:v>15</c:v>
                </c:pt>
                <c:pt idx="1">
                  <c:v>35</c:v>
                </c:pt>
                <c:pt idx="2">
                  <c:v>56.5</c:v>
                </c:pt>
                <c:pt idx="3">
                  <c:v>78</c:v>
                </c:pt>
              </c:numCache>
            </c:numRef>
          </c:val>
          <c:smooth val="0"/>
          <c:extLst>
            <c:ext xmlns:c16="http://schemas.microsoft.com/office/drawing/2014/chart" uri="{C3380CC4-5D6E-409C-BE32-E72D297353CC}">
              <c16:uniqueId val="{00000007-B306-4F94-808B-AAD29814489A}"/>
            </c:ext>
          </c:extLst>
        </c:ser>
        <c:ser>
          <c:idx val="5"/>
          <c:order val="5"/>
          <c:tx>
            <c:strRef>
              <c:f>'Eje Coproc'!$D$50</c:f>
              <c:strCache>
                <c:ptCount val="1"/>
                <c:pt idx="0">
                  <c:v>ARGENTINA</c:v>
                </c:pt>
              </c:strCache>
            </c:strRef>
          </c:tx>
          <c:spPr>
            <a:ln w="28575" cap="rnd">
              <a:solidFill>
                <a:srgbClr val="00B0F0"/>
              </a:solidFill>
              <a:round/>
            </a:ln>
            <a:effectLst/>
          </c:spPr>
          <c:marker>
            <c:symbol val="circle"/>
            <c:size val="9"/>
            <c:spPr>
              <a:solidFill>
                <a:schemeClr val="accent5">
                  <a:lumMod val="10000"/>
                </a:schemeClr>
              </a:solidFill>
              <a:ln w="9525">
                <a:solidFill>
                  <a:srgbClr val="00B0F0"/>
                </a:solidFill>
              </a:ln>
              <a:effectLst/>
            </c:spPr>
          </c:marker>
          <c:dLbls>
            <c:dLbl>
              <c:idx val="0"/>
              <c:layout>
                <c:manualLayout>
                  <c:x val="-4.1601797397029523E-2"/>
                  <c:y val="1.9978980655667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BA-4BD4-B719-598BCECCAA2D}"/>
                </c:ext>
              </c:extLst>
            </c:dLbl>
            <c:dLbl>
              <c:idx val="3"/>
              <c:dLblPos val="b"/>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50BA-4BD4-B719-598BCECCAA2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Coproc'!$E$45:$H$45</c:f>
              <c:numCache>
                <c:formatCode>General</c:formatCode>
                <c:ptCount val="4"/>
                <c:pt idx="0">
                  <c:v>2020</c:v>
                </c:pt>
                <c:pt idx="1">
                  <c:v>2030</c:v>
                </c:pt>
                <c:pt idx="2">
                  <c:v>2040</c:v>
                </c:pt>
                <c:pt idx="3">
                  <c:v>2050</c:v>
                </c:pt>
              </c:numCache>
            </c:numRef>
          </c:cat>
          <c:val>
            <c:numRef>
              <c:f>'Eje Coproc'!$E$50:$H$50</c:f>
              <c:numCache>
                <c:formatCode>_(* #,##0_);_(* \(#,##0\);_(* "-"_);_(@_)</c:formatCode>
                <c:ptCount val="4"/>
                <c:pt idx="0">
                  <c:v>5</c:v>
                </c:pt>
                <c:pt idx="1">
                  <c:v>10</c:v>
                </c:pt>
                <c:pt idx="2">
                  <c:v>14</c:v>
                </c:pt>
                <c:pt idx="3">
                  <c:v>18</c:v>
                </c:pt>
              </c:numCache>
            </c:numRef>
          </c:val>
          <c:smooth val="0"/>
          <c:extLst>
            <c:ext xmlns:c16="http://schemas.microsoft.com/office/drawing/2014/chart" uri="{C3380CC4-5D6E-409C-BE32-E72D297353CC}">
              <c16:uniqueId val="{00000008-B306-4F94-808B-AAD29814489A}"/>
            </c:ext>
          </c:extLst>
        </c:ser>
        <c:ser>
          <c:idx val="6"/>
          <c:order val="6"/>
          <c:tx>
            <c:strRef>
              <c:f>'Eje Coproc'!$D$51</c:f>
              <c:strCache>
                <c:ptCount val="1"/>
                <c:pt idx="0">
                  <c:v>GCCA Roadmap</c:v>
                </c:pt>
              </c:strCache>
            </c:strRef>
          </c:tx>
          <c:spPr>
            <a:ln w="28575" cap="rnd">
              <a:solidFill>
                <a:schemeClr val="accent2">
                  <a:shade val="47000"/>
                </a:schemeClr>
              </a:solidFill>
              <a:round/>
            </a:ln>
            <a:effectLst/>
          </c:spPr>
          <c:marker>
            <c:symbol val="none"/>
          </c:marker>
          <c:cat>
            <c:numRef>
              <c:f>'Eje Coproc'!$E$45:$H$45</c:f>
              <c:numCache>
                <c:formatCode>General</c:formatCode>
                <c:ptCount val="4"/>
                <c:pt idx="0">
                  <c:v>2020</c:v>
                </c:pt>
                <c:pt idx="1">
                  <c:v>2030</c:v>
                </c:pt>
                <c:pt idx="2">
                  <c:v>2040</c:v>
                </c:pt>
                <c:pt idx="3">
                  <c:v>2050</c:v>
                </c:pt>
              </c:numCache>
            </c:numRef>
          </c:cat>
          <c:val>
            <c:numRef>
              <c:f>'Eje Coproc'!$E$51:$H$51</c:f>
              <c:numCache>
                <c:formatCode>_(* #,##0_);_(* \(#,##0\);_(* "-"_);_(@_)</c:formatCode>
                <c:ptCount val="4"/>
                <c:pt idx="0">
                  <c:v>6</c:v>
                </c:pt>
                <c:pt idx="1">
                  <c:v>22</c:v>
                </c:pt>
                <c:pt idx="2">
                  <c:v>32.5</c:v>
                </c:pt>
                <c:pt idx="3">
                  <c:v>43</c:v>
                </c:pt>
              </c:numCache>
            </c:numRef>
          </c:val>
          <c:smooth val="0"/>
          <c:extLst>
            <c:ext xmlns:c16="http://schemas.microsoft.com/office/drawing/2014/chart" uri="{C3380CC4-5D6E-409C-BE32-E72D297353CC}">
              <c16:uniqueId val="{00000006-50BA-4BD4-B719-598BCECCAA2D}"/>
            </c:ext>
          </c:extLst>
        </c:ser>
        <c:dLbls>
          <c:showLegendKey val="0"/>
          <c:showVal val="0"/>
          <c:showCatName val="0"/>
          <c:showSerName val="0"/>
          <c:showPercent val="0"/>
          <c:showBubbleSize val="0"/>
        </c:dLbls>
        <c:smooth val="0"/>
        <c:axId val="1105230752"/>
        <c:axId val="1105707104"/>
        <c:extLst>
          <c:ext xmlns:c15="http://schemas.microsoft.com/office/drawing/2012/chart" uri="{02D57815-91ED-43cb-92C2-25804820EDAC}">
            <c15:filteredLineSeries>
              <c15:ser>
                <c:idx val="0"/>
                <c:order val="0"/>
                <c:tx>
                  <c:strRef>
                    <c:extLst>
                      <c:ext uri="{02D57815-91ED-43cb-92C2-25804820EDAC}">
                        <c15:formulaRef>
                          <c15:sqref>'Eje Coproc'!$D$45</c15:sqref>
                        </c15:formulaRef>
                      </c:ext>
                    </c:extLst>
                    <c:strCache>
                      <c:ptCount val="1"/>
                      <c:pt idx="0">
                        <c:v>Coprocesamiento</c:v>
                      </c:pt>
                    </c:strCache>
                  </c:strRef>
                </c:tx>
                <c:spPr>
                  <a:ln w="28575" cap="rnd">
                    <a:solidFill>
                      <a:schemeClr val="accent2">
                        <a:tint val="48000"/>
                      </a:schemeClr>
                    </a:solidFill>
                    <a:round/>
                  </a:ln>
                  <a:effectLst/>
                </c:spPr>
                <c:marker>
                  <c:symbol val="circle"/>
                  <c:size val="5"/>
                  <c:spPr>
                    <a:solidFill>
                      <a:schemeClr val="bg1"/>
                    </a:solidFill>
                    <a:ln w="9525">
                      <a:solidFill>
                        <a:schemeClr val="accent2">
                          <a:tint val="58000"/>
                        </a:schemeClr>
                      </a:solidFill>
                    </a:ln>
                    <a:effectLst/>
                  </c:spPr>
                </c:marker>
                <c:cat>
                  <c:numRef>
                    <c:extLst>
                      <c:ext uri="{02D57815-91ED-43cb-92C2-25804820EDAC}">
                        <c15:formulaRef>
                          <c15:sqref>'Eje Coproc'!$E$45:$H$45</c15:sqref>
                        </c15:formulaRef>
                      </c:ext>
                    </c:extLst>
                    <c:numCache>
                      <c:formatCode>General</c:formatCode>
                      <c:ptCount val="4"/>
                      <c:pt idx="0">
                        <c:v>2020</c:v>
                      </c:pt>
                      <c:pt idx="1">
                        <c:v>2030</c:v>
                      </c:pt>
                      <c:pt idx="2">
                        <c:v>2040</c:v>
                      </c:pt>
                      <c:pt idx="3">
                        <c:v>2050</c:v>
                      </c:pt>
                    </c:numCache>
                  </c:numRef>
                </c:cat>
                <c:val>
                  <c:numRef>
                    <c:extLst>
                      <c:ext uri="{02D57815-91ED-43cb-92C2-25804820EDAC}">
                        <c15:formulaRef>
                          <c15:sqref>'Eje Coproc'!$E$45:$H$45</c15:sqref>
                        </c15:formulaRef>
                      </c:ext>
                    </c:extLst>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B306-4F94-808B-AAD29814489A}"/>
                  </c:ext>
                </c:extLst>
              </c15:ser>
            </c15:filteredLineSeries>
          </c:ext>
        </c:extLst>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'Eje 6'!$D$45</c:f>
              <c:strCache>
                <c:ptCount val="1"/>
                <c:pt idx="0">
                  <c:v>CDR Fosiles</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'Eje 6'!$E$45:$H$45</c:f>
              <c:numCache>
                <c:formatCode>General</c:formatCode>
                <c:ptCount val="4"/>
                <c:pt idx="0">
                  <c:v>2020</c:v>
                </c:pt>
                <c:pt idx="1">
                  <c:v>2030</c:v>
                </c:pt>
                <c:pt idx="2">
                  <c:v>2040</c:v>
                </c:pt>
                <c:pt idx="3">
                  <c:v>2050</c:v>
                </c:pt>
              </c:numCache>
            </c:numRef>
          </c:cat>
          <c:val>
            <c:numRef>
              <c:f>'Eje 6'!$E$45:$H$45</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5532-478E-BB6F-701F111DA2C7}"/>
            </c:ext>
          </c:extLst>
        </c:ser>
        <c:ser>
          <c:idx val="1"/>
          <c:order val="1"/>
          <c:tx>
            <c:strRef>
              <c:f>'Eje 6'!$D$46</c:f>
              <c:strCache>
                <c:ptCount val="1"/>
                <c:pt idx="0">
                  <c:v>FICEM</c:v>
                </c:pt>
              </c:strCache>
            </c:strRef>
          </c:tx>
          <c:spPr>
            <a:ln w="28575" cap="rnd">
              <a:solidFill>
                <a:srgbClr val="92D05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1CE3-407C-9548-62040E2CEE04}"/>
                </c:ext>
              </c:extLst>
            </c:dLbl>
            <c:dLbl>
              <c:idx val="1"/>
              <c:delete val="1"/>
              <c:extLst>
                <c:ext xmlns:c15="http://schemas.microsoft.com/office/drawing/2012/chart" uri="{CE6537A1-D6FC-4f65-9D91-7224C49458BB}"/>
                <c:ext xmlns:c16="http://schemas.microsoft.com/office/drawing/2014/chart" uri="{C3380CC4-5D6E-409C-BE32-E72D297353CC}">
                  <c16:uniqueId val="{00000001-1CE3-407C-9548-62040E2CEE04}"/>
                </c:ext>
              </c:extLst>
            </c:dLbl>
            <c:dLbl>
              <c:idx val="2"/>
              <c:delete val="1"/>
              <c:extLst>
                <c:ext xmlns:c15="http://schemas.microsoft.com/office/drawing/2012/chart" uri="{CE6537A1-D6FC-4f65-9D91-7224C49458BB}"/>
                <c:ext xmlns:c16="http://schemas.microsoft.com/office/drawing/2014/chart" uri="{C3380CC4-5D6E-409C-BE32-E72D297353CC}">
                  <c16:uniqueId val="{00000000-1CE3-407C-9548-62040E2CEE04}"/>
                </c:ext>
              </c:extLst>
            </c:dLbl>
            <c:dLbl>
              <c:idx val="3"/>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1CE3-407C-9548-62040E2CEE0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6'!$E$45:$H$45</c:f>
              <c:numCache>
                <c:formatCode>General</c:formatCode>
                <c:ptCount val="4"/>
                <c:pt idx="0">
                  <c:v>2020</c:v>
                </c:pt>
                <c:pt idx="1">
                  <c:v>2030</c:v>
                </c:pt>
                <c:pt idx="2">
                  <c:v>2040</c:v>
                </c:pt>
                <c:pt idx="3">
                  <c:v>2050</c:v>
                </c:pt>
              </c:numCache>
            </c:numRef>
          </c:cat>
          <c:val>
            <c:numRef>
              <c:f>'Eje 6'!$E$46:$H$46</c:f>
              <c:numCache>
                <c:formatCode>_(* #,##0_);_(* \(#,##0\);_(* "-"_);_(@_)</c:formatCode>
                <c:ptCount val="4"/>
                <c:pt idx="0">
                  <c:v>8</c:v>
                </c:pt>
                <c:pt idx="1">
                  <c:v>20</c:v>
                </c:pt>
                <c:pt idx="2">
                  <c:v>30</c:v>
                </c:pt>
                <c:pt idx="3">
                  <c:v>40</c:v>
                </c:pt>
              </c:numCache>
            </c:numRef>
          </c:val>
          <c:smooth val="0"/>
          <c:extLst>
            <c:ext xmlns:c16="http://schemas.microsoft.com/office/drawing/2014/chart" uri="{C3380CC4-5D6E-409C-BE32-E72D297353CC}">
              <c16:uniqueId val="{00000001-5532-478E-BB6F-701F111DA2C7}"/>
            </c:ext>
          </c:extLst>
        </c:ser>
        <c:ser>
          <c:idx val="2"/>
          <c:order val="2"/>
          <c:tx>
            <c:strRef>
              <c:f>'Eje 6'!$D$47</c:f>
              <c:strCache>
                <c:ptCount val="1"/>
                <c:pt idx="0">
                  <c:v>Perú</c:v>
                </c:pt>
              </c:strCache>
            </c:strRef>
          </c:tx>
          <c:spPr>
            <a:ln w="28575" cap="rnd">
              <a:solidFill>
                <a:schemeClr val="bg1"/>
              </a:solidFill>
              <a:prstDash val="dash"/>
              <a:round/>
            </a:ln>
            <a:effectLst/>
          </c:spPr>
          <c:marker>
            <c:symbol val="none"/>
          </c:marker>
          <c:cat>
            <c:numRef>
              <c:f>'Eje 6'!$E$45:$H$45</c:f>
              <c:numCache>
                <c:formatCode>General</c:formatCode>
                <c:ptCount val="4"/>
                <c:pt idx="0">
                  <c:v>2020</c:v>
                </c:pt>
                <c:pt idx="1">
                  <c:v>2030</c:v>
                </c:pt>
                <c:pt idx="2">
                  <c:v>2040</c:v>
                </c:pt>
                <c:pt idx="3">
                  <c:v>2050</c:v>
                </c:pt>
              </c:numCache>
            </c:numRef>
          </c:cat>
          <c:val>
            <c:numRef>
              <c:f>'Eje 6'!$E$47:$H$47</c:f>
              <c:numCache>
                <c:formatCode>_(* #,##0_);_(* \(#,##0\);_(* "-"_);_(@_)</c:formatCode>
                <c:ptCount val="4"/>
                <c:pt idx="0">
                  <c:v>0</c:v>
                </c:pt>
                <c:pt idx="1">
                  <c:v>4</c:v>
                </c:pt>
                <c:pt idx="2">
                  <c:v>11</c:v>
                </c:pt>
                <c:pt idx="3">
                  <c:v>18</c:v>
                </c:pt>
              </c:numCache>
            </c:numRef>
          </c:val>
          <c:smooth val="0"/>
          <c:extLst>
            <c:ext xmlns:c16="http://schemas.microsoft.com/office/drawing/2014/chart" uri="{C3380CC4-5D6E-409C-BE32-E72D297353CC}">
              <c16:uniqueId val="{00000003-5532-478E-BB6F-701F111DA2C7}"/>
            </c:ext>
          </c:extLst>
        </c:ser>
        <c:ser>
          <c:idx val="3"/>
          <c:order val="3"/>
          <c:tx>
            <c:strRef>
              <c:f>'Eje 6'!$D$48</c:f>
              <c:strCache>
                <c:ptCount val="1"/>
                <c:pt idx="0">
                  <c:v>Colombia</c:v>
                </c:pt>
              </c:strCache>
            </c:strRef>
          </c:tx>
          <c:spPr>
            <a:ln w="15875" cap="rnd">
              <a:solidFill>
                <a:schemeClr val="bg1"/>
              </a:solidFill>
              <a:prstDash val="dashDot"/>
              <a:round/>
            </a:ln>
            <a:effectLst/>
          </c:spPr>
          <c:marker>
            <c:symbol val="none"/>
          </c:marker>
          <c:cat>
            <c:numRef>
              <c:f>'Eje 6'!$E$45:$H$45</c:f>
              <c:numCache>
                <c:formatCode>General</c:formatCode>
                <c:ptCount val="4"/>
                <c:pt idx="0">
                  <c:v>2020</c:v>
                </c:pt>
                <c:pt idx="1">
                  <c:v>2030</c:v>
                </c:pt>
                <c:pt idx="2">
                  <c:v>2040</c:v>
                </c:pt>
                <c:pt idx="3">
                  <c:v>2050</c:v>
                </c:pt>
              </c:numCache>
            </c:numRef>
          </c:cat>
          <c:val>
            <c:numRef>
              <c:f>'Eje 6'!$E$48:$H$48</c:f>
              <c:numCache>
                <c:formatCode>_(* #,##0_);_(* \(#,##0\);_(* "-"_);_(@_)</c:formatCode>
                <c:ptCount val="4"/>
                <c:pt idx="0">
                  <c:v>7</c:v>
                </c:pt>
                <c:pt idx="1">
                  <c:v>12</c:v>
                </c:pt>
                <c:pt idx="2">
                  <c:v>26</c:v>
                </c:pt>
                <c:pt idx="3">
                  <c:v>40</c:v>
                </c:pt>
              </c:numCache>
            </c:numRef>
          </c:val>
          <c:smooth val="0"/>
          <c:extLst>
            <c:ext xmlns:c16="http://schemas.microsoft.com/office/drawing/2014/chart" uri="{C3380CC4-5D6E-409C-BE32-E72D297353CC}">
              <c16:uniqueId val="{00000005-5532-478E-BB6F-701F111DA2C7}"/>
            </c:ext>
          </c:extLst>
        </c:ser>
        <c:ser>
          <c:idx val="4"/>
          <c:order val="4"/>
          <c:tx>
            <c:strRef>
              <c:f>'Eje 6'!$D$49</c:f>
              <c:strCache>
                <c:ptCount val="1"/>
                <c:pt idx="0">
                  <c:v>Chile</c:v>
                </c:pt>
              </c:strCache>
            </c:strRef>
          </c:tx>
          <c:spPr>
            <a:ln w="15875" cap="rnd">
              <a:solidFill>
                <a:schemeClr val="bg1"/>
              </a:solidFill>
              <a:prstDash val="dash"/>
              <a:round/>
            </a:ln>
            <a:effectLst/>
          </c:spPr>
          <c:marker>
            <c:symbol val="none"/>
          </c:marker>
          <c:cat>
            <c:numRef>
              <c:f>'Eje 6'!$E$45:$H$45</c:f>
              <c:numCache>
                <c:formatCode>General</c:formatCode>
                <c:ptCount val="4"/>
                <c:pt idx="0">
                  <c:v>2020</c:v>
                </c:pt>
                <c:pt idx="1">
                  <c:v>2030</c:v>
                </c:pt>
                <c:pt idx="2">
                  <c:v>2040</c:v>
                </c:pt>
                <c:pt idx="3">
                  <c:v>2050</c:v>
                </c:pt>
              </c:numCache>
            </c:numRef>
          </c:cat>
          <c:val>
            <c:numRef>
              <c:f>'Eje 6'!$E$49:$H$49</c:f>
              <c:numCache>
                <c:formatCode>_(* #,##0_);_(* \(#,##0\);_(* "-"_);_(@_)</c:formatCode>
                <c:ptCount val="4"/>
                <c:pt idx="0">
                  <c:v>14</c:v>
                </c:pt>
                <c:pt idx="1">
                  <c:v>23</c:v>
                </c:pt>
                <c:pt idx="2">
                  <c:v>33</c:v>
                </c:pt>
                <c:pt idx="3">
                  <c:v>43</c:v>
                </c:pt>
              </c:numCache>
            </c:numRef>
          </c:val>
          <c:smooth val="0"/>
          <c:extLst>
            <c:ext xmlns:c16="http://schemas.microsoft.com/office/drawing/2014/chart" uri="{C3380CC4-5D6E-409C-BE32-E72D297353CC}">
              <c16:uniqueId val="{00000007-5532-478E-BB6F-701F111DA2C7}"/>
            </c:ext>
          </c:extLst>
        </c:ser>
        <c:ser>
          <c:idx val="5"/>
          <c:order val="5"/>
          <c:tx>
            <c:strRef>
              <c:f>'Eje 6'!$D$50</c:f>
              <c:strCache>
                <c:ptCount val="1"/>
                <c:pt idx="0">
                  <c:v>ARGENTINA</c:v>
                </c:pt>
              </c:strCache>
            </c:strRef>
          </c:tx>
          <c:spPr>
            <a:ln w="28575" cap="rnd">
              <a:solidFill>
                <a:srgbClr val="00B0F0"/>
              </a:solidFill>
              <a:round/>
            </a:ln>
            <a:effectLst/>
          </c:spPr>
          <c:marker>
            <c:symbol val="circle"/>
            <c:size val="9"/>
            <c:spPr>
              <a:solidFill>
                <a:schemeClr val="accent5">
                  <a:lumMod val="10000"/>
                </a:schemeClr>
              </a:solidFill>
              <a:ln w="9525">
                <a:solidFill>
                  <a:srgbClr val="00B0F0"/>
                </a:solidFill>
              </a:ln>
              <a:effectLst/>
            </c:spPr>
          </c:marker>
          <c:dLbls>
            <c:dLbl>
              <c:idx val="3"/>
              <c:dLblPos val="b"/>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1CE3-407C-9548-62040E2CEE0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6'!$E$45:$H$45</c:f>
              <c:numCache>
                <c:formatCode>General</c:formatCode>
                <c:ptCount val="4"/>
                <c:pt idx="0">
                  <c:v>2020</c:v>
                </c:pt>
                <c:pt idx="1">
                  <c:v>2030</c:v>
                </c:pt>
                <c:pt idx="2">
                  <c:v>2040</c:v>
                </c:pt>
                <c:pt idx="3">
                  <c:v>2050</c:v>
                </c:pt>
              </c:numCache>
            </c:numRef>
          </c:cat>
          <c:val>
            <c:numRef>
              <c:f>'Eje 6'!$E$50:$H$50</c:f>
              <c:numCache>
                <c:formatCode>_(* #,##0_);_(* \(#,##0\);_(* "-"_);_(@_)</c:formatCode>
                <c:ptCount val="4"/>
                <c:pt idx="0">
                  <c:v>3</c:v>
                </c:pt>
                <c:pt idx="1">
                  <c:v>5</c:v>
                </c:pt>
                <c:pt idx="2">
                  <c:v>7</c:v>
                </c:pt>
                <c:pt idx="3">
                  <c:v>8</c:v>
                </c:pt>
              </c:numCache>
            </c:numRef>
          </c:val>
          <c:smooth val="0"/>
          <c:extLst>
            <c:ext xmlns:c16="http://schemas.microsoft.com/office/drawing/2014/chart" uri="{C3380CC4-5D6E-409C-BE32-E72D297353CC}">
              <c16:uniqueId val="{00000008-5532-478E-BB6F-701F111DA2C7}"/>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7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'Eje 7'!$C$38</c:f>
              <c:strCache>
                <c:ptCount val="1"/>
                <c:pt idx="0">
                  <c:v>Biomasa</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'Eje 7'!$D$38:$G$38</c:f>
              <c:numCache>
                <c:formatCode>General</c:formatCode>
                <c:ptCount val="4"/>
                <c:pt idx="0">
                  <c:v>2020</c:v>
                </c:pt>
                <c:pt idx="1">
                  <c:v>2030</c:v>
                </c:pt>
                <c:pt idx="2">
                  <c:v>2040</c:v>
                </c:pt>
                <c:pt idx="3">
                  <c:v>2050</c:v>
                </c:pt>
              </c:numCache>
            </c:numRef>
          </c:cat>
          <c:val>
            <c:numRef>
              <c:f>'Eje 7'!$D$38:$G$38</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BF47-48BA-B478-430747B4E23C}"/>
            </c:ext>
          </c:extLst>
        </c:ser>
        <c:ser>
          <c:idx val="1"/>
          <c:order val="1"/>
          <c:tx>
            <c:strRef>
              <c:f>'Eje 7'!$C$39</c:f>
              <c:strCache>
                <c:ptCount val="1"/>
                <c:pt idx="0">
                  <c:v>FICEM</c:v>
                </c:pt>
              </c:strCache>
            </c:strRef>
          </c:tx>
          <c:spPr>
            <a:ln w="28575" cap="rnd">
              <a:solidFill>
                <a:srgbClr val="92D050"/>
              </a:solidFill>
              <a:round/>
            </a:ln>
            <a:effectLst/>
          </c:spPr>
          <c:marker>
            <c:symbol val="none"/>
          </c:marker>
          <c:dLbls>
            <c:dLbl>
              <c:idx val="3"/>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719-4B2E-A5E3-F5859FCB17B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'Eje 7'!$D$38:$G$38</c:f>
              <c:numCache>
                <c:formatCode>General</c:formatCode>
                <c:ptCount val="4"/>
                <c:pt idx="0">
                  <c:v>2020</c:v>
                </c:pt>
                <c:pt idx="1">
                  <c:v>2030</c:v>
                </c:pt>
                <c:pt idx="2">
                  <c:v>2040</c:v>
                </c:pt>
                <c:pt idx="3">
                  <c:v>2050</c:v>
                </c:pt>
              </c:numCache>
            </c:numRef>
          </c:cat>
          <c:val>
            <c:numRef>
              <c:f>'Eje 7'!$D$39:$G$39</c:f>
              <c:numCache>
                <c:formatCode>_(* #,##0_);_(* \(#,##0\);_(* "-"_);_(@_)</c:formatCode>
                <c:ptCount val="4"/>
                <c:pt idx="0">
                  <c:v>3</c:v>
                </c:pt>
                <c:pt idx="1">
                  <c:v>4</c:v>
                </c:pt>
                <c:pt idx="2">
                  <c:v>7</c:v>
                </c:pt>
                <c:pt idx="3">
                  <c:v>10</c:v>
                </c:pt>
              </c:numCache>
            </c:numRef>
          </c:val>
          <c:smooth val="0"/>
          <c:extLst>
            <c:ext xmlns:c16="http://schemas.microsoft.com/office/drawing/2014/chart" uri="{C3380CC4-5D6E-409C-BE32-E72D297353CC}">
              <c16:uniqueId val="{00000001-BF47-48BA-B478-430747B4E23C}"/>
            </c:ext>
          </c:extLst>
        </c:ser>
        <c:ser>
          <c:idx val="2"/>
          <c:order val="2"/>
          <c:tx>
            <c:strRef>
              <c:f>'Eje 7'!$C$40</c:f>
              <c:strCache>
                <c:ptCount val="1"/>
                <c:pt idx="0">
                  <c:v>Perú</c:v>
                </c:pt>
              </c:strCache>
            </c:strRef>
          </c:tx>
          <c:spPr>
            <a:ln w="28575" cap="rnd">
              <a:solidFill>
                <a:schemeClr val="bg1"/>
              </a:solidFill>
              <a:prstDash val="dash"/>
              <a:round/>
            </a:ln>
            <a:effectLst/>
          </c:spPr>
          <c:marker>
            <c:symbol val="none"/>
          </c:marker>
          <c:cat>
            <c:numRef>
              <c:f>'Eje 7'!$D$38:$G$38</c:f>
              <c:numCache>
                <c:formatCode>General</c:formatCode>
                <c:ptCount val="4"/>
                <c:pt idx="0">
                  <c:v>2020</c:v>
                </c:pt>
                <c:pt idx="1">
                  <c:v>2030</c:v>
                </c:pt>
                <c:pt idx="2">
                  <c:v>2040</c:v>
                </c:pt>
                <c:pt idx="3">
                  <c:v>2050</c:v>
                </c:pt>
              </c:numCache>
            </c:numRef>
          </c:cat>
          <c:val>
            <c:numRef>
              <c:f>'Eje 7'!$D$40:$G$40</c:f>
              <c:numCache>
                <c:formatCode>_(* #,##0_);_(* \(#,##0\);_(* "-"_);_(@_)</c:formatCode>
                <c:ptCount val="4"/>
                <c:pt idx="0">
                  <c:v>0</c:v>
                </c:pt>
                <c:pt idx="1">
                  <c:v>8</c:v>
                </c:pt>
                <c:pt idx="2">
                  <c:v>15.5</c:v>
                </c:pt>
                <c:pt idx="3">
                  <c:v>23</c:v>
                </c:pt>
              </c:numCache>
            </c:numRef>
          </c:val>
          <c:smooth val="0"/>
          <c:extLst>
            <c:ext xmlns:c16="http://schemas.microsoft.com/office/drawing/2014/chart" uri="{C3380CC4-5D6E-409C-BE32-E72D297353CC}">
              <c16:uniqueId val="{00000003-BF47-48BA-B478-430747B4E23C}"/>
            </c:ext>
          </c:extLst>
        </c:ser>
        <c:ser>
          <c:idx val="3"/>
          <c:order val="3"/>
          <c:tx>
            <c:strRef>
              <c:f>'Eje 7'!$C$41</c:f>
              <c:strCache>
                <c:ptCount val="1"/>
                <c:pt idx="0">
                  <c:v>Colombia</c:v>
                </c:pt>
              </c:strCache>
            </c:strRef>
          </c:tx>
          <c:spPr>
            <a:ln w="15875" cap="rnd">
              <a:solidFill>
                <a:schemeClr val="bg1"/>
              </a:solidFill>
              <a:prstDash val="dashDot"/>
              <a:round/>
            </a:ln>
            <a:effectLst/>
          </c:spPr>
          <c:marker>
            <c:symbol val="none"/>
          </c:marker>
          <c:cat>
            <c:numRef>
              <c:f>'Eje 7'!$D$38:$G$38</c:f>
              <c:numCache>
                <c:formatCode>General</c:formatCode>
                <c:ptCount val="4"/>
                <c:pt idx="0">
                  <c:v>2020</c:v>
                </c:pt>
                <c:pt idx="1">
                  <c:v>2030</c:v>
                </c:pt>
                <c:pt idx="2">
                  <c:v>2040</c:v>
                </c:pt>
                <c:pt idx="3">
                  <c:v>2050</c:v>
                </c:pt>
              </c:numCache>
            </c:numRef>
          </c:cat>
          <c:val>
            <c:numRef>
              <c:f>'Eje 7'!$D$41:$G$41</c:f>
              <c:numCache>
                <c:formatCode>_(* #,##0_);_(* \(#,##0\);_(* "-"_);_(@_)</c:formatCode>
                <c:ptCount val="4"/>
                <c:pt idx="0">
                  <c:v>1</c:v>
                </c:pt>
                <c:pt idx="1">
                  <c:v>3</c:v>
                </c:pt>
                <c:pt idx="2">
                  <c:v>6.5</c:v>
                </c:pt>
                <c:pt idx="3">
                  <c:v>10</c:v>
                </c:pt>
              </c:numCache>
            </c:numRef>
          </c:val>
          <c:smooth val="0"/>
          <c:extLst>
            <c:ext xmlns:c16="http://schemas.microsoft.com/office/drawing/2014/chart" uri="{C3380CC4-5D6E-409C-BE32-E72D297353CC}">
              <c16:uniqueId val="{00000005-BF47-48BA-B478-430747B4E23C}"/>
            </c:ext>
          </c:extLst>
        </c:ser>
        <c:ser>
          <c:idx val="4"/>
          <c:order val="4"/>
          <c:tx>
            <c:strRef>
              <c:f>'Eje 7'!$C$42</c:f>
              <c:strCache>
                <c:ptCount val="1"/>
                <c:pt idx="0">
                  <c:v>Chile</c:v>
                </c:pt>
              </c:strCache>
            </c:strRef>
          </c:tx>
          <c:spPr>
            <a:ln w="15875" cap="rnd">
              <a:solidFill>
                <a:schemeClr val="bg1"/>
              </a:solidFill>
              <a:prstDash val="dash"/>
              <a:round/>
            </a:ln>
            <a:effectLst/>
          </c:spPr>
          <c:marker>
            <c:symbol val="none"/>
          </c:marker>
          <c:cat>
            <c:numRef>
              <c:f>'Eje 7'!$D$38:$G$38</c:f>
              <c:numCache>
                <c:formatCode>General</c:formatCode>
                <c:ptCount val="4"/>
                <c:pt idx="0">
                  <c:v>2020</c:v>
                </c:pt>
                <c:pt idx="1">
                  <c:v>2030</c:v>
                </c:pt>
                <c:pt idx="2">
                  <c:v>2040</c:v>
                </c:pt>
                <c:pt idx="3">
                  <c:v>2050</c:v>
                </c:pt>
              </c:numCache>
            </c:numRef>
          </c:cat>
          <c:val>
            <c:numRef>
              <c:f>'Eje 7'!$D$42:$G$42</c:f>
              <c:numCache>
                <c:formatCode>_(* #,##0_);_(* \(#,##0\);_(* "-"_);_(@_)</c:formatCode>
                <c:ptCount val="4"/>
                <c:pt idx="0">
                  <c:v>1</c:v>
                </c:pt>
                <c:pt idx="1">
                  <c:v>7</c:v>
                </c:pt>
                <c:pt idx="2">
                  <c:v>14.5</c:v>
                </c:pt>
                <c:pt idx="3">
                  <c:v>22</c:v>
                </c:pt>
              </c:numCache>
            </c:numRef>
          </c:val>
          <c:smooth val="0"/>
          <c:extLst>
            <c:ext xmlns:c16="http://schemas.microsoft.com/office/drawing/2014/chart" uri="{C3380CC4-5D6E-409C-BE32-E72D297353CC}">
              <c16:uniqueId val="{00000007-BF47-48BA-B478-430747B4E23C}"/>
            </c:ext>
          </c:extLst>
        </c:ser>
        <c:ser>
          <c:idx val="5"/>
          <c:order val="5"/>
          <c:tx>
            <c:strRef>
              <c:f>'Eje 7'!$C$43</c:f>
              <c:strCache>
                <c:ptCount val="1"/>
                <c:pt idx="0">
                  <c:v>ARGENTINA</c:v>
                </c:pt>
              </c:strCache>
            </c:strRef>
          </c:tx>
          <c:spPr>
            <a:ln w="34925" cap="rnd">
              <a:solidFill>
                <a:srgbClr val="00B0F0"/>
              </a:solidFill>
              <a:round/>
            </a:ln>
            <a:effectLst/>
          </c:spPr>
          <c:marker>
            <c:symbol val="circle"/>
            <c:size val="9"/>
            <c:spPr>
              <a:solidFill>
                <a:srgbClr val="002060"/>
              </a:solidFill>
              <a:ln w="9525">
                <a:solidFill>
                  <a:srgbClr val="00B0F0"/>
                </a:solidFill>
              </a:ln>
              <a:effectLst/>
            </c:spPr>
          </c:marker>
          <c:dLbls>
            <c:dLbl>
              <c:idx val="3"/>
              <c:dLblPos val="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719-4B2E-A5E3-F5859FCB17B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7'!$D$38:$G$38</c:f>
              <c:numCache>
                <c:formatCode>General</c:formatCode>
                <c:ptCount val="4"/>
                <c:pt idx="0">
                  <c:v>2020</c:v>
                </c:pt>
                <c:pt idx="1">
                  <c:v>2030</c:v>
                </c:pt>
                <c:pt idx="2">
                  <c:v>2040</c:v>
                </c:pt>
                <c:pt idx="3">
                  <c:v>2050</c:v>
                </c:pt>
              </c:numCache>
            </c:numRef>
          </c:cat>
          <c:val>
            <c:numRef>
              <c:f>'Eje 7'!$D$43:$G$43</c:f>
              <c:numCache>
                <c:formatCode>_(* #,##0_);_(* \(#,##0\);_(* "-"_);_(@_)</c:formatCode>
                <c:ptCount val="4"/>
                <c:pt idx="0">
                  <c:v>4</c:v>
                </c:pt>
                <c:pt idx="1">
                  <c:v>5</c:v>
                </c:pt>
                <c:pt idx="2">
                  <c:v>7.5</c:v>
                </c:pt>
                <c:pt idx="3">
                  <c:v>10</c:v>
                </c:pt>
              </c:numCache>
            </c:numRef>
          </c:val>
          <c:smooth val="0"/>
          <c:extLst>
            <c:ext xmlns:c16="http://schemas.microsoft.com/office/drawing/2014/chart" uri="{C3380CC4-5D6E-409C-BE32-E72D297353CC}">
              <c16:uniqueId val="{00000008-BF47-48BA-B478-430747B4E23C}"/>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3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'Eje 8'!$C$38</c:f>
              <c:strCache>
                <c:ptCount val="1"/>
                <c:pt idx="0">
                  <c:v>Coprocesamiento</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'Eje 8'!$D$38:$G$38</c:f>
              <c:numCache>
                <c:formatCode>General</c:formatCode>
                <c:ptCount val="4"/>
                <c:pt idx="0">
                  <c:v>2020</c:v>
                </c:pt>
                <c:pt idx="1">
                  <c:v>2030</c:v>
                </c:pt>
                <c:pt idx="2">
                  <c:v>2040</c:v>
                </c:pt>
                <c:pt idx="3">
                  <c:v>2050</c:v>
                </c:pt>
              </c:numCache>
            </c:numRef>
          </c:cat>
          <c:val>
            <c:numRef>
              <c:f>'Eje 8'!$D$38:$G$38</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6533-462A-9F70-084A55578964}"/>
            </c:ext>
          </c:extLst>
        </c:ser>
        <c:ser>
          <c:idx val="1"/>
          <c:order val="1"/>
          <c:tx>
            <c:strRef>
              <c:f>'Eje 8'!$C$39</c:f>
              <c:strCache>
                <c:ptCount val="1"/>
                <c:pt idx="0">
                  <c:v>FICEM</c:v>
                </c:pt>
              </c:strCache>
            </c:strRef>
          </c:tx>
          <c:spPr>
            <a:ln w="28575" cap="rnd">
              <a:solidFill>
                <a:srgbClr val="92D050"/>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1-4A21-450F-9680-B8CF54343CF9}"/>
                </c:ext>
              </c:extLst>
            </c:dLbl>
            <c:dLbl>
              <c:idx val="2"/>
              <c:delete val="1"/>
              <c:extLst>
                <c:ext xmlns:c15="http://schemas.microsoft.com/office/drawing/2012/chart" uri="{CE6537A1-D6FC-4f65-9D91-7224C49458BB}"/>
                <c:ext xmlns:c16="http://schemas.microsoft.com/office/drawing/2014/chart" uri="{C3380CC4-5D6E-409C-BE32-E72D297353CC}">
                  <c16:uniqueId val="{00000000-4A21-450F-9680-B8CF54343CF9}"/>
                </c:ext>
              </c:extLst>
            </c:dLbl>
            <c:dLbl>
              <c:idx val="3"/>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4A21-450F-9680-B8CF54343CF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8'!$D$38:$G$38</c:f>
              <c:numCache>
                <c:formatCode>General</c:formatCode>
                <c:ptCount val="4"/>
                <c:pt idx="0">
                  <c:v>2020</c:v>
                </c:pt>
                <c:pt idx="1">
                  <c:v>2030</c:v>
                </c:pt>
                <c:pt idx="2">
                  <c:v>2040</c:v>
                </c:pt>
                <c:pt idx="3">
                  <c:v>2050</c:v>
                </c:pt>
              </c:numCache>
            </c:numRef>
          </c:cat>
          <c:val>
            <c:numRef>
              <c:f>'Eje 8'!$D$39:$G$39</c:f>
              <c:numCache>
                <c:formatCode>_(* #,##0_);_(* \(#,##0\);_(* "-"_);_(@_)</c:formatCode>
                <c:ptCount val="4"/>
                <c:pt idx="0">
                  <c:v>0</c:v>
                </c:pt>
                <c:pt idx="1">
                  <c:v>1</c:v>
                </c:pt>
                <c:pt idx="2">
                  <c:v>5.5</c:v>
                </c:pt>
                <c:pt idx="3">
                  <c:v>10</c:v>
                </c:pt>
              </c:numCache>
            </c:numRef>
          </c:val>
          <c:smooth val="0"/>
          <c:extLst>
            <c:ext xmlns:c16="http://schemas.microsoft.com/office/drawing/2014/chart" uri="{C3380CC4-5D6E-409C-BE32-E72D297353CC}">
              <c16:uniqueId val="{00000001-6533-462A-9F70-084A55578964}"/>
            </c:ext>
          </c:extLst>
        </c:ser>
        <c:ser>
          <c:idx val="2"/>
          <c:order val="2"/>
          <c:tx>
            <c:strRef>
              <c:f>'Eje 8'!$C$40</c:f>
              <c:strCache>
                <c:ptCount val="1"/>
                <c:pt idx="0">
                  <c:v>Perú</c:v>
                </c:pt>
              </c:strCache>
            </c:strRef>
          </c:tx>
          <c:spPr>
            <a:ln w="28575" cap="rnd">
              <a:solidFill>
                <a:schemeClr val="bg1"/>
              </a:solidFill>
              <a:prstDash val="dash"/>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33-462A-9F70-084A5557896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8'!$D$38:$G$38</c:f>
              <c:numCache>
                <c:formatCode>General</c:formatCode>
                <c:ptCount val="4"/>
                <c:pt idx="0">
                  <c:v>2020</c:v>
                </c:pt>
                <c:pt idx="1">
                  <c:v>2030</c:v>
                </c:pt>
                <c:pt idx="2">
                  <c:v>2040</c:v>
                </c:pt>
                <c:pt idx="3">
                  <c:v>2050</c:v>
                </c:pt>
              </c:numCache>
            </c:numRef>
          </c:cat>
          <c:val>
            <c:numRef>
              <c:f>'Eje 8'!$D$40:$G$40</c:f>
              <c:numCache>
                <c:formatCode>_(* #,##0_);_(* \(#,##0\);_(* "-"_);_(@_)</c:formatCode>
                <c:ptCount val="4"/>
                <c:pt idx="0">
                  <c:v>0</c:v>
                </c:pt>
                <c:pt idx="1">
                  <c:v>0</c:v>
                </c:pt>
                <c:pt idx="2">
                  <c:v>0.5</c:v>
                </c:pt>
                <c:pt idx="3">
                  <c:v>1</c:v>
                </c:pt>
              </c:numCache>
            </c:numRef>
          </c:val>
          <c:smooth val="0"/>
          <c:extLst>
            <c:ext xmlns:c16="http://schemas.microsoft.com/office/drawing/2014/chart" uri="{C3380CC4-5D6E-409C-BE32-E72D297353CC}">
              <c16:uniqueId val="{00000003-6533-462A-9F70-084A55578964}"/>
            </c:ext>
          </c:extLst>
        </c:ser>
        <c:ser>
          <c:idx val="3"/>
          <c:order val="3"/>
          <c:tx>
            <c:strRef>
              <c:f>'Eje 8'!$C$41</c:f>
              <c:strCache>
                <c:ptCount val="1"/>
                <c:pt idx="0">
                  <c:v>Colombia</c:v>
                </c:pt>
              </c:strCache>
            </c:strRef>
          </c:tx>
          <c:spPr>
            <a:ln w="15875" cap="rnd">
              <a:solidFill>
                <a:schemeClr val="bg1"/>
              </a:solidFill>
              <a:prstDash val="dashDot"/>
              <a:round/>
            </a:ln>
            <a:effectLst/>
          </c:spPr>
          <c:marker>
            <c:symbol val="none"/>
          </c:marker>
          <c:cat>
            <c:numRef>
              <c:f>'Eje 8'!$D$38:$G$38</c:f>
              <c:numCache>
                <c:formatCode>General</c:formatCode>
                <c:ptCount val="4"/>
                <c:pt idx="0">
                  <c:v>2020</c:v>
                </c:pt>
                <c:pt idx="1">
                  <c:v>2030</c:v>
                </c:pt>
                <c:pt idx="2">
                  <c:v>2040</c:v>
                </c:pt>
                <c:pt idx="3">
                  <c:v>2050</c:v>
                </c:pt>
              </c:numCache>
            </c:numRef>
          </c:cat>
          <c:val>
            <c:numRef>
              <c:f>'Eje 8'!$D$41:$G$41</c:f>
              <c:numCache>
                <c:formatCode>_(* #,##0_);_(* \(#,##0\);_(* "-"_);_(@_)</c:formatCode>
                <c:ptCount val="4"/>
                <c:pt idx="0">
                  <c:v>1</c:v>
                </c:pt>
                <c:pt idx="1">
                  <c:v>3</c:v>
                </c:pt>
                <c:pt idx="2">
                  <c:v>6.5</c:v>
                </c:pt>
                <c:pt idx="3">
                  <c:v>10</c:v>
                </c:pt>
              </c:numCache>
            </c:numRef>
          </c:val>
          <c:smooth val="0"/>
          <c:extLst>
            <c:ext xmlns:c16="http://schemas.microsoft.com/office/drawing/2014/chart" uri="{C3380CC4-5D6E-409C-BE32-E72D297353CC}">
              <c16:uniqueId val="{00000005-6533-462A-9F70-084A55578964}"/>
            </c:ext>
          </c:extLst>
        </c:ser>
        <c:ser>
          <c:idx val="4"/>
          <c:order val="4"/>
          <c:tx>
            <c:strRef>
              <c:f>'Eje 8'!$C$42</c:f>
              <c:strCache>
                <c:ptCount val="1"/>
                <c:pt idx="0">
                  <c:v>Chile</c:v>
                </c:pt>
              </c:strCache>
            </c:strRef>
          </c:tx>
          <c:spPr>
            <a:ln w="15875" cap="rnd">
              <a:solidFill>
                <a:schemeClr val="bg1"/>
              </a:solidFill>
              <a:prstDash val="dash"/>
              <a:round/>
            </a:ln>
            <a:effectLst/>
          </c:spPr>
          <c:marker>
            <c:symbol val="none"/>
          </c:marker>
          <c:cat>
            <c:numRef>
              <c:f>'Eje 8'!$D$38:$G$38</c:f>
              <c:numCache>
                <c:formatCode>General</c:formatCode>
                <c:ptCount val="4"/>
                <c:pt idx="0">
                  <c:v>2020</c:v>
                </c:pt>
                <c:pt idx="1">
                  <c:v>2030</c:v>
                </c:pt>
                <c:pt idx="2">
                  <c:v>2040</c:v>
                </c:pt>
                <c:pt idx="3">
                  <c:v>2050</c:v>
                </c:pt>
              </c:numCache>
            </c:numRef>
          </c:cat>
          <c:val>
            <c:numRef>
              <c:f>'Eje 8'!$D$42:$G$42</c:f>
              <c:numCache>
                <c:formatCode>_(* #,##0_);_(* \(#,##0\);_(* "-"_);_(@_)</c:formatCode>
                <c:ptCount val="4"/>
                <c:pt idx="0">
                  <c:v>0</c:v>
                </c:pt>
                <c:pt idx="1">
                  <c:v>2</c:v>
                </c:pt>
                <c:pt idx="2">
                  <c:v>6</c:v>
                </c:pt>
                <c:pt idx="3">
                  <c:v>10</c:v>
                </c:pt>
              </c:numCache>
            </c:numRef>
          </c:val>
          <c:smooth val="0"/>
          <c:extLst>
            <c:ext xmlns:c16="http://schemas.microsoft.com/office/drawing/2014/chart" uri="{C3380CC4-5D6E-409C-BE32-E72D297353CC}">
              <c16:uniqueId val="{00000007-6533-462A-9F70-084A55578964}"/>
            </c:ext>
          </c:extLst>
        </c:ser>
        <c:ser>
          <c:idx val="5"/>
          <c:order val="5"/>
          <c:tx>
            <c:strRef>
              <c:f>'Eje 8'!$C$43</c:f>
              <c:strCache>
                <c:ptCount val="1"/>
                <c:pt idx="0">
                  <c:v>Argentina</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dLbl>
              <c:idx val="3"/>
              <c:layout>
                <c:manualLayout>
                  <c:x val="-6.4812193656515832E-2"/>
                  <c:y val="-3.47954887910309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A21-450F-9680-B8CF54343CF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'Eje 8'!$D$38:$G$38</c:f>
              <c:numCache>
                <c:formatCode>General</c:formatCode>
                <c:ptCount val="4"/>
                <c:pt idx="0">
                  <c:v>2020</c:v>
                </c:pt>
                <c:pt idx="1">
                  <c:v>2030</c:v>
                </c:pt>
                <c:pt idx="2">
                  <c:v>2040</c:v>
                </c:pt>
                <c:pt idx="3">
                  <c:v>2050</c:v>
                </c:pt>
              </c:numCache>
            </c:numRef>
          </c:cat>
          <c:val>
            <c:numRef>
              <c:f>'Eje 8'!$D$43:$G$43</c:f>
              <c:numCache>
                <c:formatCode>_(* #,##0_);_(* \(#,##0\);_(* "-"_);_(@_)</c:formatCode>
                <c:ptCount val="4"/>
                <c:pt idx="0">
                  <c:v>0</c:v>
                </c:pt>
                <c:pt idx="1">
                  <c:v>0</c:v>
                </c:pt>
                <c:pt idx="2">
                  <c:v>2.5</c:v>
                </c:pt>
                <c:pt idx="3">
                  <c:v>5</c:v>
                </c:pt>
              </c:numCache>
            </c:numRef>
          </c:val>
          <c:smooth val="0"/>
          <c:extLst>
            <c:ext xmlns:c16="http://schemas.microsoft.com/office/drawing/2014/chart" uri="{C3380CC4-5D6E-409C-BE32-E72D297353CC}">
              <c16:uniqueId val="{00000008-6533-462A-9F70-084A55578964}"/>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5"/>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majorUnit val="5"/>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'Eje 9-10-11'!$D$38</c:f>
              <c:strCache>
                <c:ptCount val="1"/>
                <c:pt idx="0">
                  <c:v>CCUS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 9-10-11'!$C$39:$C$44</c:f>
              <c:strCache>
                <c:ptCount val="6"/>
                <c:pt idx="0">
                  <c:v>FICEM</c:v>
                </c:pt>
                <c:pt idx="1">
                  <c:v>Argentina</c:v>
                </c:pt>
                <c:pt idx="2">
                  <c:v>Perú</c:v>
                </c:pt>
                <c:pt idx="3">
                  <c:v>GCCA</c:v>
                </c:pt>
                <c:pt idx="4">
                  <c:v>Colombia</c:v>
                </c:pt>
                <c:pt idx="5">
                  <c:v>Chile</c:v>
                </c:pt>
              </c:strCache>
            </c:strRef>
          </c:cat>
          <c:val>
            <c:numRef>
              <c:f>'Eje 9-10-11'!$D$39:$D$44</c:f>
              <c:numCache>
                <c:formatCode>_(* #,##0_);_(* \(#,##0\);_(* "-"_);_(@_)</c:formatCode>
                <c:ptCount val="6"/>
                <c:pt idx="0">
                  <c:v>30</c:v>
                </c:pt>
                <c:pt idx="1">
                  <c:v>19</c:v>
                </c:pt>
                <c:pt idx="2">
                  <c:v>20</c:v>
                </c:pt>
                <c:pt idx="3">
                  <c:v>36</c:v>
                </c:pt>
                <c:pt idx="4">
                  <c:v>16</c:v>
                </c:pt>
                <c:pt idx="5">
                  <c:v>22</c:v>
                </c:pt>
              </c:numCache>
            </c:numRef>
          </c:val>
          <c:extLst>
            <c:ext xmlns:c16="http://schemas.microsoft.com/office/drawing/2014/chart" uri="{C3380CC4-5D6E-409C-BE32-E72D297353CC}">
              <c16:uniqueId val="{00000000-0883-48F4-B807-9256F5CB521B}"/>
            </c:ext>
          </c:extLst>
        </c:ser>
        <c:ser>
          <c:idx val="1"/>
          <c:order val="1"/>
          <c:tx>
            <c:strRef>
              <c:f>'Eje 9-10-11'!$E$38</c:f>
              <c:strCache>
                <c:ptCount val="1"/>
                <c:pt idx="0">
                  <c:v>Metano</c:v>
                </c:pt>
              </c:strCache>
            </c:strRef>
          </c:tx>
          <c:spPr>
            <a:solidFill>
              <a:srgbClr val="FFC000"/>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D-0883-48F4-B807-9256F5CB521B}"/>
                </c:ext>
              </c:extLst>
            </c:dLbl>
            <c:dLbl>
              <c:idx val="5"/>
              <c:delete val="1"/>
              <c:extLst>
                <c:ext xmlns:c15="http://schemas.microsoft.com/office/drawing/2012/chart" uri="{CE6537A1-D6FC-4f65-9D91-7224C49458BB}"/>
                <c:ext xmlns:c16="http://schemas.microsoft.com/office/drawing/2014/chart" uri="{C3380CC4-5D6E-409C-BE32-E72D297353CC}">
                  <c16:uniqueId val="{00000004-0883-48F4-B807-9256F5CB521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 9-10-11'!$C$39:$C$44</c:f>
              <c:strCache>
                <c:ptCount val="6"/>
                <c:pt idx="0">
                  <c:v>FICEM</c:v>
                </c:pt>
                <c:pt idx="1">
                  <c:v>Argentina</c:v>
                </c:pt>
                <c:pt idx="2">
                  <c:v>Perú</c:v>
                </c:pt>
                <c:pt idx="3">
                  <c:v>GCCA</c:v>
                </c:pt>
                <c:pt idx="4">
                  <c:v>Colombia</c:v>
                </c:pt>
                <c:pt idx="5">
                  <c:v>Chile</c:v>
                </c:pt>
              </c:strCache>
            </c:strRef>
          </c:cat>
          <c:val>
            <c:numRef>
              <c:f>'Eje 9-10-11'!$E$39:$E$44</c:f>
              <c:numCache>
                <c:formatCode>General</c:formatCode>
                <c:ptCount val="6"/>
                <c:pt idx="0">
                  <c:v>3</c:v>
                </c:pt>
                <c:pt idx="1">
                  <c:v>10</c:v>
                </c:pt>
                <c:pt idx="2">
                  <c:v>9</c:v>
                </c:pt>
                <c:pt idx="3">
                  <c:v>0</c:v>
                </c:pt>
                <c:pt idx="4">
                  <c:v>4</c:v>
                </c:pt>
                <c:pt idx="5">
                  <c:v>2</c:v>
                </c:pt>
              </c:numCache>
            </c:numRef>
          </c:val>
          <c:extLst>
            <c:ext xmlns:c16="http://schemas.microsoft.com/office/drawing/2014/chart" uri="{C3380CC4-5D6E-409C-BE32-E72D297353CC}">
              <c16:uniqueId val="{00000001-0883-48F4-B807-9256F5CB521B}"/>
            </c:ext>
          </c:extLst>
        </c:ser>
        <c:ser>
          <c:idx val="2"/>
          <c:order val="2"/>
          <c:tx>
            <c:strRef>
              <c:f>'Eje 9-10-11'!$F$38</c:f>
              <c:strCache>
                <c:ptCount val="1"/>
                <c:pt idx="0">
                  <c:v>SbN</c:v>
                </c:pt>
              </c:strCache>
            </c:strRef>
          </c:tx>
          <c:spPr>
            <a:solidFill>
              <a:srgbClr val="92D050"/>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C-0883-48F4-B807-9256F5CB521B}"/>
                </c:ext>
              </c:extLst>
            </c:dLbl>
            <c:dLbl>
              <c:idx val="5"/>
              <c:delete val="1"/>
              <c:extLst>
                <c:ext xmlns:c15="http://schemas.microsoft.com/office/drawing/2012/chart" uri="{CE6537A1-D6FC-4f65-9D91-7224C49458BB}"/>
                <c:ext xmlns:c16="http://schemas.microsoft.com/office/drawing/2014/chart" uri="{C3380CC4-5D6E-409C-BE32-E72D297353CC}">
                  <c16:uniqueId val="{00000003-0883-48F4-B807-9256F5CB521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 9-10-11'!$C$39:$C$44</c:f>
              <c:strCache>
                <c:ptCount val="6"/>
                <c:pt idx="0">
                  <c:v>FICEM</c:v>
                </c:pt>
                <c:pt idx="1">
                  <c:v>Argentina</c:v>
                </c:pt>
                <c:pt idx="2">
                  <c:v>Perú</c:v>
                </c:pt>
                <c:pt idx="3">
                  <c:v>GCCA</c:v>
                </c:pt>
                <c:pt idx="4">
                  <c:v>Colombia</c:v>
                </c:pt>
                <c:pt idx="5">
                  <c:v>Chile</c:v>
                </c:pt>
              </c:strCache>
            </c:strRef>
          </c:cat>
          <c:val>
            <c:numRef>
              <c:f>'Eje 9-10-11'!$F$39:$F$44</c:f>
              <c:numCache>
                <c:formatCode>General</c:formatCode>
                <c:ptCount val="6"/>
                <c:pt idx="0">
                  <c:v>9</c:v>
                </c:pt>
                <c:pt idx="1">
                  <c:v>13</c:v>
                </c:pt>
                <c:pt idx="2">
                  <c:v>11</c:v>
                </c:pt>
                <c:pt idx="3">
                  <c:v>0</c:v>
                </c:pt>
                <c:pt idx="4">
                  <c:v>13</c:v>
                </c:pt>
                <c:pt idx="5">
                  <c:v>9</c:v>
                </c:pt>
              </c:numCache>
            </c:numRef>
          </c:val>
          <c:extLst>
            <c:ext xmlns:c16="http://schemas.microsoft.com/office/drawing/2014/chart" uri="{C3380CC4-5D6E-409C-BE32-E72D297353CC}">
              <c16:uniqueId val="{00000002-0883-48F4-B807-9256F5CB521B}"/>
            </c:ext>
          </c:extLst>
        </c:ser>
        <c:dLbls>
          <c:showLegendKey val="0"/>
          <c:showVal val="0"/>
          <c:showCatName val="0"/>
          <c:showSerName val="0"/>
          <c:showPercent val="0"/>
          <c:showBubbleSize val="0"/>
        </c:dLbls>
        <c:gapWidth val="150"/>
        <c:overlap val="100"/>
        <c:axId val="956959104"/>
        <c:axId val="956962704"/>
      </c:barChart>
      <c:barChart>
        <c:barDir val="col"/>
        <c:grouping val="stacked"/>
        <c:varyColors val="0"/>
        <c:ser>
          <c:idx val="3"/>
          <c:order val="3"/>
          <c:tx>
            <c:strRef>
              <c:f>'Eje 9-10-11'!$G$38</c:f>
              <c:strCache>
                <c:ptCount val="1"/>
                <c:pt idx="0">
                  <c:v>total</c:v>
                </c:pt>
              </c:strCache>
            </c:strRef>
          </c:tx>
          <c:spPr>
            <a:noFill/>
            <a:ln>
              <a:noFill/>
            </a:ln>
            <a:effectLst/>
          </c:spPr>
          <c:invertIfNegative val="0"/>
          <c:dLbls>
            <c:dLbl>
              <c:idx val="0"/>
              <c:layout>
                <c:manualLayout>
                  <c:x val="-3.3388981636060201E-3"/>
                  <c:y val="-0.449305717973372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83-48F4-B807-9256F5CB521B}"/>
                </c:ext>
              </c:extLst>
            </c:dLbl>
            <c:dLbl>
              <c:idx val="1"/>
              <c:layout>
                <c:manualLayout>
                  <c:x val="-4.4518642181413876E-3"/>
                  <c:y val="-0.437619257988791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83-48F4-B807-9256F5CB521B}"/>
                </c:ext>
              </c:extLst>
            </c:dLbl>
            <c:dLbl>
              <c:idx val="2"/>
              <c:layout>
                <c:manualLayout>
                  <c:x val="-1.1129660545353367E-3"/>
                  <c:y val="-0.432294205798532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83-48F4-B807-9256F5CB521B}"/>
                </c:ext>
              </c:extLst>
            </c:dLbl>
            <c:dLbl>
              <c:idx val="3"/>
              <c:layout>
                <c:manualLayout>
                  <c:x val="-5.5648302726766831E-3"/>
                  <c:y val="-0.392664431797510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883-48F4-B807-9256F5CB521B}"/>
                </c:ext>
              </c:extLst>
            </c:dLbl>
            <c:dLbl>
              <c:idx val="4"/>
              <c:layout>
                <c:manualLayout>
                  <c:x val="-1.1129660545353367E-3"/>
                  <c:y val="-0.35276092963627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883-48F4-B807-9256F5CB521B}"/>
                </c:ext>
              </c:extLst>
            </c:dLbl>
            <c:dLbl>
              <c:idx val="5"/>
              <c:layout>
                <c:manualLayout>
                  <c:x val="-2.2259321090708365E-3"/>
                  <c:y val="-0.355794461335897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883-48F4-B807-9256F5CB521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'Eje 9-10-11'!$C$39:$C$44</c:f>
              <c:strCache>
                <c:ptCount val="6"/>
                <c:pt idx="0">
                  <c:v>FICEM</c:v>
                </c:pt>
                <c:pt idx="1">
                  <c:v>Argentina</c:v>
                </c:pt>
                <c:pt idx="2">
                  <c:v>Perú</c:v>
                </c:pt>
                <c:pt idx="3">
                  <c:v>GCCA</c:v>
                </c:pt>
                <c:pt idx="4">
                  <c:v>Colombia</c:v>
                </c:pt>
                <c:pt idx="5">
                  <c:v>Chile</c:v>
                </c:pt>
              </c:strCache>
            </c:strRef>
          </c:cat>
          <c:val>
            <c:numRef>
              <c:f>'Eje 9-10-11'!$G$39:$G$44</c:f>
              <c:numCache>
                <c:formatCode>_(* #,##0_);_(* \(#,##0\);_(* "-"_);_(@_)</c:formatCode>
                <c:ptCount val="6"/>
                <c:pt idx="0">
                  <c:v>42</c:v>
                </c:pt>
                <c:pt idx="1">
                  <c:v>42</c:v>
                </c:pt>
                <c:pt idx="2">
                  <c:v>40</c:v>
                </c:pt>
                <c:pt idx="3">
                  <c:v>36</c:v>
                </c:pt>
                <c:pt idx="4">
                  <c:v>33</c:v>
                </c:pt>
                <c:pt idx="5">
                  <c:v>33</c:v>
                </c:pt>
              </c:numCache>
            </c:numRef>
          </c:val>
          <c:extLst>
            <c:ext xmlns:c16="http://schemas.microsoft.com/office/drawing/2014/chart" uri="{C3380CC4-5D6E-409C-BE32-E72D297353CC}">
              <c16:uniqueId val="{00000005-0883-48F4-B807-9256F5CB521B}"/>
            </c:ext>
          </c:extLst>
        </c:ser>
        <c:dLbls>
          <c:showLegendKey val="0"/>
          <c:showVal val="0"/>
          <c:showCatName val="0"/>
          <c:showSerName val="0"/>
          <c:showPercent val="0"/>
          <c:showBubbleSize val="0"/>
        </c:dLbls>
        <c:gapWidth val="150"/>
        <c:overlap val="100"/>
        <c:axId val="1095338304"/>
        <c:axId val="1095335784"/>
      </c:barChart>
      <c:catAx>
        <c:axId val="95695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s-CL"/>
          </a:p>
        </c:txPr>
        <c:crossAx val="956962704"/>
        <c:crosses val="autoZero"/>
        <c:auto val="1"/>
        <c:lblAlgn val="ctr"/>
        <c:lblOffset val="100"/>
        <c:noMultiLvlLbl val="0"/>
      </c:catAx>
      <c:valAx>
        <c:axId val="956962704"/>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956959104"/>
        <c:crosses val="autoZero"/>
        <c:crossBetween val="between"/>
      </c:valAx>
      <c:valAx>
        <c:axId val="1095335784"/>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accent5">
                    <a:lumMod val="10000"/>
                  </a:schemeClr>
                </a:solidFill>
                <a:latin typeface="+mn-lt"/>
                <a:ea typeface="+mn-ea"/>
                <a:cs typeface="+mn-cs"/>
              </a:defRPr>
            </a:pPr>
            <a:endParaRPr lang="es-CL"/>
          </a:p>
        </c:txPr>
        <c:crossAx val="1095338304"/>
        <c:crosses val="max"/>
        <c:crossBetween val="between"/>
      </c:valAx>
      <c:catAx>
        <c:axId val="1095338304"/>
        <c:scaling>
          <c:orientation val="minMax"/>
        </c:scaling>
        <c:delete val="1"/>
        <c:axPos val="b"/>
        <c:numFmt formatCode="General" sourceLinked="1"/>
        <c:majorTickMark val="out"/>
        <c:minorTickMark val="none"/>
        <c:tickLblPos val="nextTo"/>
        <c:crossAx val="1095335784"/>
        <c:crosses val="autoZero"/>
        <c:auto val="1"/>
        <c:lblAlgn val="ctr"/>
        <c:lblOffset val="100"/>
        <c:noMultiLvlLbl val="0"/>
      </c:catAx>
      <c:spPr>
        <a:noFill/>
        <a:ln>
          <a:noFill/>
        </a:ln>
        <a:effectLst/>
      </c:spPr>
    </c:plotArea>
    <c:legend>
      <c:legendPos val="r"/>
      <c:layout>
        <c:manualLayout>
          <c:xMode val="edge"/>
          <c:yMode val="edge"/>
          <c:x val="0.90788400615198561"/>
          <c:y val="0.72889495248737468"/>
          <c:w val="7.4308536975449022E-2"/>
          <c:h val="0.1890747814938974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s-CL" sz="1800">
                <a:solidFill>
                  <a:schemeClr val="bg1"/>
                </a:solidFill>
              </a:rPr>
              <a:t>APORTE PORCENTUAL EN REDUCCION DE EMISIONES BAU 2050 TECNOLOGIAS CCUS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s-CL"/>
        </a:p>
      </c:txPr>
    </c:title>
    <c:autoTitleDeleted val="0"/>
    <c:plotArea>
      <c:layout/>
      <c:barChart>
        <c:barDir val="col"/>
        <c:grouping val="stacked"/>
        <c:varyColors val="0"/>
        <c:ser>
          <c:idx val="0"/>
          <c:order val="0"/>
          <c:tx>
            <c:strRef>
              <c:f>CCUS!$D$38</c:f>
              <c:strCache>
                <c:ptCount val="1"/>
                <c:pt idx="0">
                  <c:v>CCUS</c:v>
                </c:pt>
              </c:strCache>
            </c:strRef>
          </c:tx>
          <c:spPr>
            <a:noFill/>
            <a:ln w="31750">
              <a:solidFill>
                <a:schemeClr val="bg1"/>
              </a:solidFill>
            </a:ln>
            <a:effectLst/>
          </c:spPr>
          <c:invertIfNegative val="0"/>
          <c:dLbls>
            <c:dLbl>
              <c:idx val="4"/>
              <c:layout>
                <c:manualLayout>
                  <c:x val="-3.0857395825310964E-3"/>
                  <c:y val="7.1210574153477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4FF4-4A75-9893-B9285158193F}"/>
                </c:ext>
              </c:extLst>
            </c:dLbl>
            <c:dLbl>
              <c:idx val="8"/>
              <c:layout>
                <c:manualLayout>
                  <c:x val="0"/>
                  <c:y val="-8.7826374789288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FF4-4A75-9893-B9285158193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CCUS!$B$39:$C$47</c:f>
              <c:strCache>
                <c:ptCount val="9"/>
                <c:pt idx="0">
                  <c:v>India*</c:v>
                </c:pt>
                <c:pt idx="1">
                  <c:v>China</c:v>
                </c:pt>
                <c:pt idx="2">
                  <c:v>Chile</c:v>
                </c:pt>
                <c:pt idx="3">
                  <c:v>Colombia</c:v>
                </c:pt>
                <c:pt idx="4">
                  <c:v>GCCA</c:v>
                </c:pt>
                <c:pt idx="5">
                  <c:v>Perú</c:v>
                </c:pt>
                <c:pt idx="6">
                  <c:v>FICEM</c:v>
                </c:pt>
                <c:pt idx="7">
                  <c:v>Cembureau</c:v>
                </c:pt>
                <c:pt idx="8">
                  <c:v>Argentina</c:v>
                </c:pt>
              </c:strCache>
            </c:strRef>
          </c:cat>
          <c:val>
            <c:numRef>
              <c:f>CCUS!$D$39:$D$47</c:f>
              <c:numCache>
                <c:formatCode>0%</c:formatCode>
                <c:ptCount val="9"/>
                <c:pt idx="0">
                  <c:v>0.25</c:v>
                </c:pt>
                <c:pt idx="1">
                  <c:v>0.3</c:v>
                </c:pt>
                <c:pt idx="2">
                  <c:v>0.22</c:v>
                </c:pt>
                <c:pt idx="3">
                  <c:v>0.16</c:v>
                </c:pt>
                <c:pt idx="4">
                  <c:v>0.36</c:v>
                </c:pt>
                <c:pt idx="5">
                  <c:v>0.2</c:v>
                </c:pt>
                <c:pt idx="6">
                  <c:v>0.3</c:v>
                </c:pt>
                <c:pt idx="7">
                  <c:v>0.42</c:v>
                </c:pt>
                <c:pt idx="8">
                  <c:v>0.19</c:v>
                </c:pt>
              </c:numCache>
            </c:numRef>
          </c:val>
          <c:extLst>
            <c:ext xmlns:c16="http://schemas.microsoft.com/office/drawing/2014/chart" uri="{C3380CC4-5D6E-409C-BE32-E72D297353CC}">
              <c16:uniqueId val="{00000000-4FF4-4A75-9893-B9285158193F}"/>
            </c:ext>
          </c:extLst>
        </c:ser>
        <c:ser>
          <c:idx val="1"/>
          <c:order val="1"/>
          <c:tx>
            <c:strRef>
              <c:f>CCUS!$E$38</c:f>
              <c:strCache>
                <c:ptCount val="1"/>
                <c:pt idx="0">
                  <c:v>SbN</c:v>
                </c:pt>
              </c:strCache>
            </c:strRef>
          </c:tx>
          <c:spPr>
            <a:pattFill prst="pct75">
              <a:fgClr>
                <a:schemeClr val="tx1">
                  <a:lumMod val="85000"/>
                  <a:lumOff val="15000"/>
                </a:schemeClr>
              </a:fgClr>
              <a:bgClr>
                <a:schemeClr val="bg2">
                  <a:lumMod val="50000"/>
                </a:schemeClr>
              </a:bgClr>
            </a:pattFill>
            <a:ln w="28575">
              <a:solidFill>
                <a:schemeClr val="bg1"/>
              </a:solid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9-4FF4-4A75-9893-B9285158193F}"/>
                </c:ext>
              </c:extLst>
            </c:dLbl>
            <c:dLbl>
              <c:idx val="4"/>
              <c:delete val="1"/>
              <c:extLst>
                <c:ext xmlns:c15="http://schemas.microsoft.com/office/drawing/2012/chart" uri="{CE6537A1-D6FC-4f65-9D91-7224C49458BB}"/>
                <c:ext xmlns:c16="http://schemas.microsoft.com/office/drawing/2014/chart" uri="{C3380CC4-5D6E-409C-BE32-E72D297353CC}">
                  <c16:uniqueId val="{00000018-4FF4-4A75-9893-B9285158193F}"/>
                </c:ext>
              </c:extLst>
            </c:dLbl>
            <c:dLbl>
              <c:idx val="7"/>
              <c:delete val="1"/>
              <c:extLst>
                <c:ext xmlns:c15="http://schemas.microsoft.com/office/drawing/2012/chart" uri="{CE6537A1-D6FC-4f65-9D91-7224C49458BB}"/>
                <c:ext xmlns:c16="http://schemas.microsoft.com/office/drawing/2014/chart" uri="{C3380CC4-5D6E-409C-BE32-E72D297353CC}">
                  <c16:uniqueId val="{00000017-4FF4-4A75-9893-B9285158193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CCUS!$B$39:$C$47</c:f>
              <c:strCache>
                <c:ptCount val="9"/>
                <c:pt idx="0">
                  <c:v>India*</c:v>
                </c:pt>
                <c:pt idx="1">
                  <c:v>China</c:v>
                </c:pt>
                <c:pt idx="2">
                  <c:v>Chile</c:v>
                </c:pt>
                <c:pt idx="3">
                  <c:v>Colombia</c:v>
                </c:pt>
                <c:pt idx="4">
                  <c:v>GCCA</c:v>
                </c:pt>
                <c:pt idx="5">
                  <c:v>Perú</c:v>
                </c:pt>
                <c:pt idx="6">
                  <c:v>FICEM</c:v>
                </c:pt>
                <c:pt idx="7">
                  <c:v>Cembureau</c:v>
                </c:pt>
                <c:pt idx="8">
                  <c:v>Argentina</c:v>
                </c:pt>
              </c:strCache>
            </c:strRef>
          </c:cat>
          <c:val>
            <c:numRef>
              <c:f>CCUS!$E$39:$E$47</c:f>
              <c:numCache>
                <c:formatCode>0%</c:formatCode>
                <c:ptCount val="9"/>
                <c:pt idx="2">
                  <c:v>0.02</c:v>
                </c:pt>
                <c:pt idx="3">
                  <c:v>0.04</c:v>
                </c:pt>
                <c:pt idx="5">
                  <c:v>0.09</c:v>
                </c:pt>
                <c:pt idx="6">
                  <c:v>0.03</c:v>
                </c:pt>
                <c:pt idx="8">
                  <c:v>0.1</c:v>
                </c:pt>
              </c:numCache>
            </c:numRef>
          </c:val>
          <c:extLst>
            <c:ext xmlns:c16="http://schemas.microsoft.com/office/drawing/2014/chart" uri="{C3380CC4-5D6E-409C-BE32-E72D297353CC}">
              <c16:uniqueId val="{0000000E-4FF4-4A75-9893-B9285158193F}"/>
            </c:ext>
          </c:extLst>
        </c:ser>
        <c:ser>
          <c:idx val="2"/>
          <c:order val="2"/>
          <c:tx>
            <c:strRef>
              <c:f>CCUS!$F$38</c:f>
              <c:strCache>
                <c:ptCount val="1"/>
                <c:pt idx="0">
                  <c:v>Metano</c:v>
                </c:pt>
              </c:strCache>
            </c:strRef>
          </c:tx>
          <c:spPr>
            <a:pattFill prst="pct80">
              <a:fgClr>
                <a:schemeClr val="bg2">
                  <a:lumMod val="75000"/>
                </a:schemeClr>
              </a:fgClr>
              <a:bgClr>
                <a:schemeClr val="bg1"/>
              </a:bgClr>
            </a:pattFill>
            <a:ln w="31750">
              <a:solidFill>
                <a:schemeClr val="bg1"/>
              </a:solidFill>
            </a:ln>
            <a:effectLst/>
          </c:spPr>
          <c:invertIfNegative val="0"/>
          <c:dLbls>
            <c:dLbl>
              <c:idx val="2"/>
              <c:layout>
                <c:manualLayout>
                  <c:x val="-3.7714159220415776E-17"/>
                  <c:y val="-4.0352658686970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FF4-4A75-9893-B9285158193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CCUS!$B$39:$C$47</c:f>
              <c:strCache>
                <c:ptCount val="9"/>
                <c:pt idx="0">
                  <c:v>India*</c:v>
                </c:pt>
                <c:pt idx="1">
                  <c:v>China</c:v>
                </c:pt>
                <c:pt idx="2">
                  <c:v>Chile</c:v>
                </c:pt>
                <c:pt idx="3">
                  <c:v>Colombia</c:v>
                </c:pt>
                <c:pt idx="4">
                  <c:v>GCCA</c:v>
                </c:pt>
                <c:pt idx="5">
                  <c:v>Perú</c:v>
                </c:pt>
                <c:pt idx="6">
                  <c:v>FICEM</c:v>
                </c:pt>
                <c:pt idx="7">
                  <c:v>Cembureau</c:v>
                </c:pt>
                <c:pt idx="8">
                  <c:v>Argentina</c:v>
                </c:pt>
              </c:strCache>
            </c:strRef>
          </c:cat>
          <c:val>
            <c:numRef>
              <c:f>CCUS!$F$39:$F$47</c:f>
              <c:numCache>
                <c:formatCode>0%</c:formatCode>
                <c:ptCount val="9"/>
                <c:pt idx="2">
                  <c:v>0.09</c:v>
                </c:pt>
                <c:pt idx="3">
                  <c:v>0.13</c:v>
                </c:pt>
                <c:pt idx="5">
                  <c:v>0.11</c:v>
                </c:pt>
                <c:pt idx="6">
                  <c:v>0.09</c:v>
                </c:pt>
                <c:pt idx="8">
                  <c:v>0.13</c:v>
                </c:pt>
              </c:numCache>
            </c:numRef>
          </c:val>
          <c:extLst>
            <c:ext xmlns:c16="http://schemas.microsoft.com/office/drawing/2014/chart" uri="{C3380CC4-5D6E-409C-BE32-E72D297353CC}">
              <c16:uniqueId val="{0000000F-4FF4-4A75-9893-B9285158193F}"/>
            </c:ext>
          </c:extLst>
        </c:ser>
        <c:dLbls>
          <c:showLegendKey val="0"/>
          <c:showVal val="0"/>
          <c:showCatName val="0"/>
          <c:showSerName val="0"/>
          <c:showPercent val="0"/>
          <c:showBubbleSize val="0"/>
        </c:dLbls>
        <c:gapWidth val="91"/>
        <c:overlap val="100"/>
        <c:axId val="956959104"/>
        <c:axId val="956962704"/>
      </c:barChart>
      <c:lineChart>
        <c:grouping val="standard"/>
        <c:varyColors val="0"/>
        <c:ser>
          <c:idx val="5"/>
          <c:order val="5"/>
          <c:tx>
            <c:strRef>
              <c:f>CCUS!$G$38</c:f>
              <c:strCache>
                <c:ptCount val="1"/>
                <c:pt idx="0">
                  <c:v>Total</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CCUS!$B$39:$B$47</c:f>
              <c:strCache>
                <c:ptCount val="9"/>
                <c:pt idx="0">
                  <c:v>India*</c:v>
                </c:pt>
                <c:pt idx="1">
                  <c:v>China</c:v>
                </c:pt>
                <c:pt idx="2">
                  <c:v>Chile</c:v>
                </c:pt>
                <c:pt idx="3">
                  <c:v>Colombia</c:v>
                </c:pt>
                <c:pt idx="4">
                  <c:v>GCCA</c:v>
                </c:pt>
                <c:pt idx="5">
                  <c:v>Perú</c:v>
                </c:pt>
                <c:pt idx="6">
                  <c:v>FICEM</c:v>
                </c:pt>
                <c:pt idx="7">
                  <c:v>Cembureau</c:v>
                </c:pt>
                <c:pt idx="8">
                  <c:v>Argentina</c:v>
                </c:pt>
              </c:strCache>
            </c:strRef>
          </c:cat>
          <c:val>
            <c:numRef>
              <c:f>CCUS!$G$39:$G$47</c:f>
              <c:numCache>
                <c:formatCode>0%</c:formatCode>
                <c:ptCount val="9"/>
                <c:pt idx="0">
                  <c:v>0.25</c:v>
                </c:pt>
                <c:pt idx="1">
                  <c:v>0.3</c:v>
                </c:pt>
                <c:pt idx="2">
                  <c:v>0.32999999999999996</c:v>
                </c:pt>
                <c:pt idx="3">
                  <c:v>0.33</c:v>
                </c:pt>
                <c:pt idx="4">
                  <c:v>0.36</c:v>
                </c:pt>
                <c:pt idx="5">
                  <c:v>0.4</c:v>
                </c:pt>
                <c:pt idx="6">
                  <c:v>0.41999999999999993</c:v>
                </c:pt>
                <c:pt idx="7">
                  <c:v>0.42</c:v>
                </c:pt>
                <c:pt idx="8">
                  <c:v>0.42000000000000004</c:v>
                </c:pt>
              </c:numCache>
            </c:numRef>
          </c:val>
          <c:smooth val="0"/>
          <c:extLst>
            <c:ext xmlns:c16="http://schemas.microsoft.com/office/drawing/2014/chart" uri="{C3380CC4-5D6E-409C-BE32-E72D297353CC}">
              <c16:uniqueId val="{00000012-4FF4-4A75-9893-B9285158193F}"/>
            </c:ext>
          </c:extLst>
        </c:ser>
        <c:dLbls>
          <c:showLegendKey val="0"/>
          <c:showVal val="0"/>
          <c:showCatName val="0"/>
          <c:showSerName val="0"/>
          <c:showPercent val="0"/>
          <c:showBubbleSize val="0"/>
        </c:dLbls>
        <c:marker val="1"/>
        <c:smooth val="0"/>
        <c:axId val="956959104"/>
        <c:axId val="956962704"/>
      </c:lineChart>
      <c:lineChart>
        <c:grouping val="standard"/>
        <c:varyColors val="0"/>
        <c:ser>
          <c:idx val="3"/>
          <c:order val="3"/>
          <c:tx>
            <c:strRef>
              <c:f>CCUS!$H$38</c:f>
              <c:strCache>
                <c:ptCount val="1"/>
                <c:pt idx="0">
                  <c:v>FCk</c:v>
                </c:pt>
              </c:strCache>
            </c:strRef>
          </c:tx>
          <c:spPr>
            <a:ln w="28575" cap="rnd">
              <a:solidFill>
                <a:schemeClr val="accent1">
                  <a:lumMod val="60000"/>
                  <a:lumOff val="40000"/>
                </a:schemeClr>
              </a:solidFill>
              <a:round/>
            </a:ln>
            <a:effectLst/>
          </c:spPr>
          <c:marker>
            <c:symbol val="circle"/>
            <c:size val="8"/>
            <c:spPr>
              <a:solidFill>
                <a:srgbClr val="000000"/>
              </a:solidFill>
              <a:ln w="9525">
                <a:solidFill>
                  <a:schemeClr val="accent1">
                    <a:lumMod val="60000"/>
                    <a:lumOff val="40000"/>
                  </a:schemeClr>
                </a:solidFill>
              </a:ln>
              <a:effectLst/>
            </c:spPr>
          </c:marker>
          <c:cat>
            <c:strRef>
              <c:f>CCUS!$B$39:$B$47</c:f>
              <c:strCache>
                <c:ptCount val="9"/>
                <c:pt idx="0">
                  <c:v>India*</c:v>
                </c:pt>
                <c:pt idx="1">
                  <c:v>China</c:v>
                </c:pt>
                <c:pt idx="2">
                  <c:v>Chile</c:v>
                </c:pt>
                <c:pt idx="3">
                  <c:v>Colombia</c:v>
                </c:pt>
                <c:pt idx="4">
                  <c:v>GCCA</c:v>
                </c:pt>
                <c:pt idx="5">
                  <c:v>Perú</c:v>
                </c:pt>
                <c:pt idx="6">
                  <c:v>FICEM</c:v>
                </c:pt>
                <c:pt idx="7">
                  <c:v>Cembureau</c:v>
                </c:pt>
                <c:pt idx="8">
                  <c:v>Argentina</c:v>
                </c:pt>
              </c:strCache>
            </c:strRef>
          </c:cat>
          <c:val>
            <c:numRef>
              <c:f>CCUS!$H$39:$H$47</c:f>
              <c:numCache>
                <c:formatCode>0%</c:formatCode>
                <c:ptCount val="9"/>
                <c:pt idx="0">
                  <c:v>0.56000000000000005</c:v>
                </c:pt>
                <c:pt idx="1">
                  <c:v>0.65</c:v>
                </c:pt>
                <c:pt idx="2">
                  <c:v>0.63</c:v>
                </c:pt>
                <c:pt idx="3">
                  <c:v>0.55000000000000004</c:v>
                </c:pt>
                <c:pt idx="4">
                  <c:v>0.54</c:v>
                </c:pt>
                <c:pt idx="5">
                  <c:v>0.63</c:v>
                </c:pt>
                <c:pt idx="6">
                  <c:v>0.6</c:v>
                </c:pt>
                <c:pt idx="7">
                  <c:v>0.65</c:v>
                </c:pt>
                <c:pt idx="8">
                  <c:v>0.61</c:v>
                </c:pt>
              </c:numCache>
            </c:numRef>
          </c:val>
          <c:smooth val="0"/>
          <c:extLst>
            <c:ext xmlns:c16="http://schemas.microsoft.com/office/drawing/2014/chart" uri="{C3380CC4-5D6E-409C-BE32-E72D297353CC}">
              <c16:uniqueId val="{00000010-4FF4-4A75-9893-B9285158193F}"/>
            </c:ext>
          </c:extLst>
        </c:ser>
        <c:ser>
          <c:idx val="4"/>
          <c:order val="4"/>
          <c:tx>
            <c:strRef>
              <c:f>CCUS!$I$38</c:f>
              <c:strCache>
                <c:ptCount val="1"/>
                <c:pt idx="0">
                  <c:v>Coproces</c:v>
                </c:pt>
              </c:strCache>
            </c:strRef>
          </c:tx>
          <c:spPr>
            <a:ln w="28575" cap="rnd">
              <a:solidFill>
                <a:schemeClr val="bg1">
                  <a:lumMod val="85000"/>
                </a:schemeClr>
              </a:solidFill>
              <a:round/>
            </a:ln>
            <a:effectLst/>
          </c:spPr>
          <c:marker>
            <c:symbol val="circle"/>
            <c:size val="8"/>
            <c:spPr>
              <a:solidFill>
                <a:srgbClr val="000000"/>
              </a:solidFill>
              <a:ln w="9525">
                <a:solidFill>
                  <a:schemeClr val="bg1">
                    <a:lumMod val="85000"/>
                  </a:schemeClr>
                </a:solidFill>
              </a:ln>
              <a:effectLst/>
            </c:spPr>
          </c:marker>
          <c:cat>
            <c:strRef>
              <c:f>CCUS!$B$39:$B$47</c:f>
              <c:strCache>
                <c:ptCount val="9"/>
                <c:pt idx="0">
                  <c:v>India*</c:v>
                </c:pt>
                <c:pt idx="1">
                  <c:v>China</c:v>
                </c:pt>
                <c:pt idx="2">
                  <c:v>Chile</c:v>
                </c:pt>
                <c:pt idx="3">
                  <c:v>Colombia</c:v>
                </c:pt>
                <c:pt idx="4">
                  <c:v>GCCA</c:v>
                </c:pt>
                <c:pt idx="5">
                  <c:v>Perú</c:v>
                </c:pt>
                <c:pt idx="6">
                  <c:v>FICEM</c:v>
                </c:pt>
                <c:pt idx="7">
                  <c:v>Cembureau</c:v>
                </c:pt>
                <c:pt idx="8">
                  <c:v>Argentina</c:v>
                </c:pt>
              </c:strCache>
            </c:strRef>
          </c:cat>
          <c:val>
            <c:numRef>
              <c:f>CCUS!$I$39:$I$47</c:f>
              <c:numCache>
                <c:formatCode>0%</c:formatCode>
                <c:ptCount val="9"/>
                <c:pt idx="0">
                  <c:v>0.5</c:v>
                </c:pt>
                <c:pt idx="1">
                  <c:v>0.53</c:v>
                </c:pt>
                <c:pt idx="2">
                  <c:v>0.66</c:v>
                </c:pt>
                <c:pt idx="3">
                  <c:v>0.5</c:v>
                </c:pt>
                <c:pt idx="4">
                  <c:v>0.43</c:v>
                </c:pt>
                <c:pt idx="5">
                  <c:v>0.45</c:v>
                </c:pt>
                <c:pt idx="6">
                  <c:v>0.5</c:v>
                </c:pt>
                <c:pt idx="7">
                  <c:v>0.9</c:v>
                </c:pt>
                <c:pt idx="8">
                  <c:v>0.18</c:v>
                </c:pt>
              </c:numCache>
            </c:numRef>
          </c:val>
          <c:smooth val="0"/>
          <c:extLst>
            <c:ext xmlns:c16="http://schemas.microsoft.com/office/drawing/2014/chart" uri="{C3380CC4-5D6E-409C-BE32-E72D297353CC}">
              <c16:uniqueId val="{00000011-4FF4-4A75-9893-B9285158193F}"/>
            </c:ext>
          </c:extLst>
        </c:ser>
        <c:dLbls>
          <c:showLegendKey val="0"/>
          <c:showVal val="0"/>
          <c:showCatName val="0"/>
          <c:showSerName val="0"/>
          <c:showPercent val="0"/>
          <c:showBubbleSize val="0"/>
        </c:dLbls>
        <c:marker val="1"/>
        <c:smooth val="0"/>
        <c:axId val="2105190408"/>
        <c:axId val="2105186088"/>
      </c:lineChart>
      <c:catAx>
        <c:axId val="95695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s-CL"/>
          </a:p>
        </c:txPr>
        <c:crossAx val="956962704"/>
        <c:crosses val="autoZero"/>
        <c:auto val="1"/>
        <c:lblAlgn val="ctr"/>
        <c:lblOffset val="100"/>
        <c:noMultiLvlLbl val="0"/>
      </c:catAx>
      <c:valAx>
        <c:axId val="956962704"/>
        <c:scaling>
          <c:orientation val="minMax"/>
          <c:max val="0.55000000000000004"/>
          <c:min val="-"/>
        </c:scaling>
        <c:delete val="0"/>
        <c:axPos val="l"/>
        <c:majorGridlines>
          <c:spPr>
            <a:ln w="9525" cap="flat" cmpd="sng" algn="ctr">
              <a:noFill/>
              <a:round/>
            </a:ln>
            <a:effectLst/>
          </c:spPr>
        </c:majorGridlines>
        <c:numFmt formatCode="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956959104"/>
        <c:crosses val="autoZero"/>
        <c:crossBetween val="between"/>
      </c:valAx>
      <c:valAx>
        <c:axId val="2105186088"/>
        <c:scaling>
          <c:orientation val="minMax"/>
          <c:max val="1.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05190408"/>
        <c:crosses val="max"/>
        <c:crossBetween val="between"/>
      </c:valAx>
      <c:catAx>
        <c:axId val="2105190408"/>
        <c:scaling>
          <c:orientation val="minMax"/>
        </c:scaling>
        <c:delete val="1"/>
        <c:axPos val="b"/>
        <c:numFmt formatCode="General" sourceLinked="1"/>
        <c:majorTickMark val="out"/>
        <c:minorTickMark val="none"/>
        <c:tickLblPos val="nextTo"/>
        <c:crossAx val="210518608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208915734507559E-2"/>
          <c:y val="8.0232257509563337E-2"/>
          <c:w val="0.71036049755571351"/>
          <c:h val="0.7915258900997072"/>
        </c:manualLayout>
      </c:layout>
      <c:areaChart>
        <c:grouping val="percentStacked"/>
        <c:varyColors val="0"/>
        <c:ser>
          <c:idx val="0"/>
          <c:order val="0"/>
          <c:tx>
            <c:strRef>
              <c:f>'Resumen Ejes de Reduccion'!$C$160</c:f>
              <c:strCache>
                <c:ptCount val="1"/>
              </c:strCache>
            </c:strRef>
          </c:tx>
          <c:spPr>
            <a:solidFill>
              <a:schemeClr val="bg2">
                <a:lumMod val="25000"/>
              </a:schemeClr>
            </a:solidFill>
            <a:ln>
              <a:no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07-DA22-41F6-B8A1-DD8B6A2AAD5B}"/>
                </c:ext>
              </c:extLst>
            </c:dLbl>
            <c:dLbl>
              <c:idx val="1"/>
              <c:delete val="1"/>
              <c:extLst>
                <c:ext xmlns:c15="http://schemas.microsoft.com/office/drawing/2012/chart" uri="{CE6537A1-D6FC-4f65-9D91-7224C49458BB}"/>
                <c:ext xmlns:c16="http://schemas.microsoft.com/office/drawing/2014/chart" uri="{C3380CC4-5D6E-409C-BE32-E72D297353CC}">
                  <c16:uniqueId val="{0000000A-DA22-41F6-B8A1-DD8B6A2AAD5B}"/>
                </c:ext>
              </c:extLst>
            </c:dLbl>
            <c:dLbl>
              <c:idx val="2"/>
              <c:layout>
                <c:manualLayout>
                  <c:x val="8.9956358031393374E-2"/>
                  <c:y val="1.186738517495056E-2"/>
                </c:manualLayout>
              </c:layout>
              <c:spPr>
                <a:noFill/>
                <a:ln>
                  <a:noFill/>
                </a:ln>
                <a:effectLst/>
              </c:spPr>
              <c:txPr>
                <a:bodyPr rot="0" spcFirstLastPara="1" vertOverflow="ellipsis" vert="horz" wrap="square" anchor="ctr" anchorCtr="0"/>
                <a:lstStyle/>
                <a:p>
                  <a:pPr algn="l">
                    <a:defRPr sz="900" b="0" i="0" u="none" strike="noStrike" kern="1200" baseline="0">
                      <a:solidFill>
                        <a:schemeClr val="tx1">
                          <a:lumMod val="75000"/>
                          <a:lumOff val="25000"/>
                        </a:schemeClr>
                      </a:solidFill>
                      <a:latin typeface="Helvetica" pitchFamily="50" charset="0"/>
                      <a:ea typeface="+mn-ea"/>
                      <a:cs typeface="+mn-cs"/>
                    </a:defRPr>
                  </a:pPr>
                  <a:endParaRPr lang="es-CL"/>
                </a:p>
              </c:txPr>
              <c:showLegendKey val="0"/>
              <c:showVal val="1"/>
              <c:showCatName val="0"/>
              <c:showSerName val="1"/>
              <c:showPercent val="0"/>
              <c:showBubbleSize val="0"/>
              <c:extLst>
                <c:ext xmlns:c15="http://schemas.microsoft.com/office/drawing/2012/chart" uri="{CE6537A1-D6FC-4f65-9D91-7224C49458BB}">
                  <c15:layout>
                    <c:manualLayout>
                      <c:w val="0.17282263778432871"/>
                      <c:h val="0.1266529690028449"/>
                    </c:manualLayout>
                  </c15:layout>
                </c:ext>
                <c:ext xmlns:c16="http://schemas.microsoft.com/office/drawing/2014/chart" uri="{C3380CC4-5D6E-409C-BE32-E72D297353CC}">
                  <c16:uniqueId val="{00000006-DA22-41F6-B8A1-DD8B6A2AAD5B}"/>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50" charset="0"/>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numRef>
              <c:f>'Resumen Ejes de Reduccion'!$D$159:$F$159</c:f>
              <c:numCache>
                <c:formatCode>General</c:formatCode>
                <c:ptCount val="3"/>
              </c:numCache>
            </c:numRef>
          </c:cat>
          <c:val>
            <c:numRef>
              <c:f>'Resumen Ejes de Reduccion'!$D$160:$F$160</c:f>
              <c:numCache>
                <c:formatCode>0%</c:formatCode>
                <c:ptCount val="3"/>
              </c:numCache>
            </c:numRef>
          </c:val>
          <c:extLst>
            <c:ext xmlns:c16="http://schemas.microsoft.com/office/drawing/2014/chart" uri="{C3380CC4-5D6E-409C-BE32-E72D297353CC}">
              <c16:uniqueId val="{00000000-DA22-41F6-B8A1-DD8B6A2AAD5B}"/>
            </c:ext>
          </c:extLst>
        </c:ser>
        <c:ser>
          <c:idx val="1"/>
          <c:order val="1"/>
          <c:tx>
            <c:strRef>
              <c:f>'Resumen Ejes de Reduccion'!$C$161</c:f>
              <c:strCache>
                <c:ptCount val="1"/>
              </c:strCache>
            </c:strRef>
          </c:tx>
          <c:spPr>
            <a:solidFill>
              <a:schemeClr val="bg2">
                <a:lumMod val="50000"/>
              </a:schemeClr>
            </a:solidFill>
            <a:ln w="25400">
              <a:no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09-DA22-41F6-B8A1-DD8B6A2AAD5B}"/>
                </c:ext>
              </c:extLst>
            </c:dLbl>
            <c:dLbl>
              <c:idx val="1"/>
              <c:delete val="1"/>
              <c:extLst>
                <c:ext xmlns:c15="http://schemas.microsoft.com/office/drawing/2012/chart" uri="{CE6537A1-D6FC-4f65-9D91-7224C49458BB}"/>
                <c:ext xmlns:c16="http://schemas.microsoft.com/office/drawing/2014/chart" uri="{C3380CC4-5D6E-409C-BE32-E72D297353CC}">
                  <c16:uniqueId val="{00000008-DA22-41F6-B8A1-DD8B6A2AAD5B}"/>
                </c:ext>
              </c:extLst>
            </c:dLbl>
            <c:dLbl>
              <c:idx val="2"/>
              <c:layout>
                <c:manualLayout>
                  <c:x val="7.1443318146851134E-2"/>
                  <c:y val="6.58597296014693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DA22-41F6-B8A1-DD8B6A2AAD5B}"/>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50" charset="0"/>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numRef>
              <c:f>'Resumen Ejes de Reduccion'!$D$159:$F$159</c:f>
              <c:numCache>
                <c:formatCode>General</c:formatCode>
                <c:ptCount val="3"/>
              </c:numCache>
            </c:numRef>
          </c:cat>
          <c:val>
            <c:numRef>
              <c:f>'Resumen Ejes de Reduccion'!$D$161:$F$161</c:f>
              <c:numCache>
                <c:formatCode>0%</c:formatCode>
                <c:ptCount val="3"/>
              </c:numCache>
            </c:numRef>
          </c:val>
          <c:extLst>
            <c:ext xmlns:c16="http://schemas.microsoft.com/office/drawing/2014/chart" uri="{C3380CC4-5D6E-409C-BE32-E72D297353CC}">
              <c16:uniqueId val="{00000001-DA22-41F6-B8A1-DD8B6A2AAD5B}"/>
            </c:ext>
          </c:extLst>
        </c:ser>
        <c:ser>
          <c:idx val="2"/>
          <c:order val="2"/>
          <c:tx>
            <c:strRef>
              <c:f>'Resumen Ejes de Reduccion'!$C$162</c:f>
              <c:strCache>
                <c:ptCount val="1"/>
              </c:strCache>
            </c:strRef>
          </c:tx>
          <c:spPr>
            <a:solidFill>
              <a:schemeClr val="bg1">
                <a:lumMod val="75000"/>
              </a:schemeClr>
            </a:solidFill>
            <a:ln w="25400">
              <a:no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0D-DA22-41F6-B8A1-DD8B6A2AAD5B}"/>
                </c:ext>
              </c:extLst>
            </c:dLbl>
            <c:dLbl>
              <c:idx val="1"/>
              <c:delete val="1"/>
              <c:extLst>
                <c:ext xmlns:c15="http://schemas.microsoft.com/office/drawing/2012/chart" uri="{CE6537A1-D6FC-4f65-9D91-7224C49458BB}"/>
                <c:ext xmlns:c16="http://schemas.microsoft.com/office/drawing/2014/chart" uri="{C3380CC4-5D6E-409C-BE32-E72D297353CC}">
                  <c16:uniqueId val="{0000000C-DA22-41F6-B8A1-DD8B6A2AAD5B}"/>
                </c:ext>
              </c:extLst>
            </c:dLbl>
            <c:dLbl>
              <c:idx val="2"/>
              <c:layout>
                <c:manualLayout>
                  <c:x val="6.55872164799539E-2"/>
                  <c:y val="-9.1606385053255215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DA22-41F6-B8A1-DD8B6A2AAD5B}"/>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50"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'Resumen Ejes de Reduccion'!$D$159:$F$159</c:f>
              <c:numCache>
                <c:formatCode>General</c:formatCode>
                <c:ptCount val="3"/>
              </c:numCache>
            </c:numRef>
          </c:cat>
          <c:val>
            <c:numRef>
              <c:f>'Resumen Ejes de Reduccion'!$D$162:$F$162</c:f>
              <c:numCache>
                <c:formatCode>0%</c:formatCode>
                <c:ptCount val="3"/>
              </c:numCache>
            </c:numRef>
          </c:val>
          <c:extLst>
            <c:ext xmlns:c16="http://schemas.microsoft.com/office/drawing/2014/chart" uri="{C3380CC4-5D6E-409C-BE32-E72D297353CC}">
              <c16:uniqueId val="{00000004-DA22-41F6-B8A1-DD8B6A2AAD5B}"/>
            </c:ext>
          </c:extLst>
        </c:ser>
        <c:ser>
          <c:idx val="3"/>
          <c:order val="3"/>
          <c:tx>
            <c:strRef>
              <c:f>'Resumen Ejes de Reduccion'!$C$163</c:f>
              <c:strCache>
                <c:ptCount val="1"/>
              </c:strCache>
            </c:strRef>
          </c:tx>
          <c:spPr>
            <a:solidFill>
              <a:schemeClr val="bg1">
                <a:lumMod val="85000"/>
              </a:schemeClr>
            </a:solidFill>
            <a:ln w="25400">
              <a:no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10-DA22-41F6-B8A1-DD8B6A2AAD5B}"/>
                </c:ext>
              </c:extLst>
            </c:dLbl>
            <c:dLbl>
              <c:idx val="1"/>
              <c:delete val="1"/>
              <c:extLst>
                <c:ext xmlns:c15="http://schemas.microsoft.com/office/drawing/2012/chart" uri="{CE6537A1-D6FC-4f65-9D91-7224C49458BB}"/>
                <c:ext xmlns:c16="http://schemas.microsoft.com/office/drawing/2014/chart" uri="{C3380CC4-5D6E-409C-BE32-E72D297353CC}">
                  <c16:uniqueId val="{0000000F-DA22-41F6-B8A1-DD8B6A2AAD5B}"/>
                </c:ext>
              </c:extLst>
            </c:dLbl>
            <c:dLbl>
              <c:idx val="2"/>
              <c:layout>
                <c:manualLayout>
                  <c:x val="6.5071369081008981E-2"/>
                  <c:y val="1.488252477529103E-2"/>
                </c:manualLayout>
              </c:layout>
              <c:spPr>
                <a:noFill/>
                <a:ln>
                  <a:noFill/>
                </a:ln>
                <a:effectLst/>
              </c:spPr>
              <c:txPr>
                <a:bodyPr rot="0" spcFirstLastPara="1" vertOverflow="ellipsis" vert="horz" wrap="square" anchor="ctr" anchorCtr="0"/>
                <a:lstStyle/>
                <a:p>
                  <a:pPr algn="l">
                    <a:defRPr sz="900" b="0" i="0" u="none" strike="noStrike" kern="1200" baseline="0">
                      <a:solidFill>
                        <a:schemeClr val="tx1">
                          <a:lumMod val="75000"/>
                          <a:lumOff val="25000"/>
                        </a:schemeClr>
                      </a:solidFill>
                      <a:latin typeface="Helvetica" pitchFamily="50" charset="0"/>
                      <a:ea typeface="+mn-ea"/>
                      <a:cs typeface="+mn-cs"/>
                    </a:defRPr>
                  </a:pPr>
                  <a:endParaRPr lang="es-CL"/>
                </a:p>
              </c:txPr>
              <c:showLegendKey val="0"/>
              <c:showVal val="1"/>
              <c:showCatName val="0"/>
              <c:showSerName val="1"/>
              <c:showPercent val="0"/>
              <c:showBubbleSize val="0"/>
              <c:extLst>
                <c:ext xmlns:c15="http://schemas.microsoft.com/office/drawing/2012/chart" uri="{CE6537A1-D6FC-4f65-9D91-7224C49458BB}">
                  <c15:layout>
                    <c:manualLayout>
                      <c:w val="0.13162820027165612"/>
                      <c:h val="0.13470661862057945"/>
                    </c:manualLayout>
                  </c15:layout>
                </c:ext>
                <c:ext xmlns:c16="http://schemas.microsoft.com/office/drawing/2014/chart" uri="{C3380CC4-5D6E-409C-BE32-E72D297353CC}">
                  <c16:uniqueId val="{00000011-DA22-41F6-B8A1-DD8B6A2AAD5B}"/>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50"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'Resumen Ejes de Reduccion'!$D$159:$F$159</c:f>
              <c:numCache>
                <c:formatCode>General</c:formatCode>
                <c:ptCount val="3"/>
              </c:numCache>
            </c:numRef>
          </c:cat>
          <c:val>
            <c:numRef>
              <c:f>'Resumen Ejes de Reduccion'!$D$163:$F$163</c:f>
              <c:numCache>
                <c:formatCode>0%</c:formatCode>
                <c:ptCount val="3"/>
              </c:numCache>
            </c:numRef>
          </c:val>
          <c:extLst>
            <c:ext xmlns:c16="http://schemas.microsoft.com/office/drawing/2014/chart" uri="{C3380CC4-5D6E-409C-BE32-E72D297353CC}">
              <c16:uniqueId val="{00000005-DA22-41F6-B8A1-DD8B6A2AAD5B}"/>
            </c:ext>
          </c:extLst>
        </c:ser>
        <c:dLbls>
          <c:showLegendKey val="0"/>
          <c:showVal val="0"/>
          <c:showCatName val="0"/>
          <c:showSerName val="0"/>
          <c:showPercent val="0"/>
          <c:showBubbleSize val="0"/>
        </c:dLbls>
        <c:axId val="707856440"/>
        <c:axId val="707853200"/>
      </c:areaChart>
      <c:catAx>
        <c:axId val="707856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pitchFamily="50" charset="0"/>
                <a:ea typeface="+mn-ea"/>
                <a:cs typeface="+mn-cs"/>
              </a:defRPr>
            </a:pPr>
            <a:endParaRPr lang="es-CL"/>
          </a:p>
        </c:txPr>
        <c:crossAx val="707853200"/>
        <c:crosses val="autoZero"/>
        <c:auto val="1"/>
        <c:lblAlgn val="ctr"/>
        <c:lblOffset val="100"/>
        <c:noMultiLvlLbl val="0"/>
      </c:catAx>
      <c:valAx>
        <c:axId val="707853200"/>
        <c:scaling>
          <c:orientation val="minMax"/>
          <c:min val="0"/>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pitchFamily="50" charset="0"/>
                <a:ea typeface="+mn-ea"/>
                <a:cs typeface="+mn-cs"/>
              </a:defRPr>
            </a:pPr>
            <a:endParaRPr lang="es-CL"/>
          </a:p>
        </c:txPr>
        <c:crossAx val="707856440"/>
        <c:crosses val="autoZero"/>
        <c:crossBetween val="midCat"/>
      </c:valAx>
      <c:spPr>
        <a:noFill/>
        <a:ln>
          <a:noFill/>
        </a:ln>
        <a:effectLst/>
      </c:spPr>
    </c:plotArea>
    <c:legend>
      <c:legendPos val="r"/>
      <c:legendEntry>
        <c:idx val="0"/>
        <c:delete val="1"/>
      </c:legendEntry>
      <c:legendEntry>
        <c:idx val="1"/>
        <c:delete val="1"/>
      </c:legendEntry>
      <c:legendEntry>
        <c:idx val="2"/>
        <c:delete val="1"/>
      </c:legendEntry>
      <c:legendEntry>
        <c:idx val="3"/>
        <c:delete val="1"/>
      </c:legendEntry>
      <c:layout>
        <c:manualLayout>
          <c:xMode val="edge"/>
          <c:yMode val="edge"/>
          <c:x val="0.35426784003451578"/>
          <c:y val="0.92254743312980703"/>
          <c:w val="1.0962926174763143E-2"/>
          <c:h val="9.3104363393417006E-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Helvetica" pitchFamily="50" charset="0"/>
              <a:ea typeface="+mn-ea"/>
              <a:cs typeface="+mn-cs"/>
            </a:defRPr>
          </a:pPr>
          <a:endParaRPr lang="es-C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atin typeface="Helvetica" pitchFamily="50" charset="0"/>
        </a:defRPr>
      </a:pPr>
      <a:endParaRPr lang="es-CL"/>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GCCA-FICEM CO</a:t>
            </a:r>
            <a:r>
              <a:rPr lang="de-DE" baseline="-25000"/>
              <a:t>2</a:t>
            </a:r>
            <a:r>
              <a:rPr lang="de-DE" baseline="0"/>
              <a:t> Hoja de Ruta 2050 </a:t>
            </a:r>
            <a:r>
              <a:rPr lang="de-DE" sz="1100" baseline="0"/>
              <a:t>VER. 20.04.23</a:t>
            </a:r>
            <a:endParaRPr lang="de-DE"/>
          </a:p>
        </c:rich>
      </c:tx>
      <c:overlay val="0"/>
    </c:title>
    <c:autoTitleDeleted val="0"/>
    <c:plotArea>
      <c:layout>
        <c:manualLayout>
          <c:layoutTarget val="inner"/>
          <c:xMode val="edge"/>
          <c:yMode val="edge"/>
          <c:x val="6.6639486902872372E-2"/>
          <c:y val="8.6137566137566138E-2"/>
          <c:w val="0.69379930165438253"/>
          <c:h val="0.69845169353830772"/>
        </c:manualLayout>
      </c:layout>
      <c:barChart>
        <c:barDir val="col"/>
        <c:grouping val="stacked"/>
        <c:varyColors val="0"/>
        <c:ser>
          <c:idx val="0"/>
          <c:order val="0"/>
          <c:tx>
            <c:strRef>
              <c:f>'Waterfall data'!$Z$9</c:f>
              <c:strCache>
                <c:ptCount val="1"/>
                <c:pt idx="0">
                  <c:v>Direct CO2 emissions (Mt CO2)</c:v>
                </c:pt>
              </c:strCache>
            </c:strRef>
          </c:tx>
          <c:spPr>
            <a:solidFill>
              <a:srgbClr val="6E8CDC"/>
            </a:solidFill>
          </c:spPr>
          <c:invertIfNegative val="0"/>
          <c:dLbls>
            <c:dLbl>
              <c:idx val="0"/>
              <c:layout>
                <c:manualLayout>
                  <c:x val="6.8326009538310804E-3"/>
                  <c:y val="-4.2328042328042331E-3"/>
                </c:manualLayout>
              </c:layout>
              <c:numFmt formatCode="#,##0.000" sourceLinked="0"/>
              <c:spPr>
                <a:noFill/>
                <a:ln>
                  <a:noFill/>
                </a:ln>
                <a:effectLst/>
              </c:spPr>
              <c:txPr>
                <a:bodyPr wrap="square" lIns="38100" tIns="19050" rIns="38100" bIns="19050" anchor="ctr">
                  <a:spAutoFit/>
                </a:bodyPr>
                <a:lstStyle/>
                <a:p>
                  <a:pPr>
                    <a:defRPr>
                      <a:solidFill>
                        <a:schemeClr val="bg1"/>
                      </a:solidFill>
                    </a:defRPr>
                  </a:pPr>
                  <a:endParaRPr lang="es-CL"/>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D9-4057-A68B-F7917244BCAE}"/>
                </c:ext>
              </c:extLst>
            </c:dLbl>
            <c:dLbl>
              <c:idx val="11"/>
              <c:delete val="1"/>
              <c:extLst>
                <c:ext xmlns:c15="http://schemas.microsoft.com/office/drawing/2012/chart" uri="{CE6537A1-D6FC-4f65-9D91-7224C49458BB}"/>
                <c:ext xmlns:c16="http://schemas.microsoft.com/office/drawing/2014/chart" uri="{C3380CC4-5D6E-409C-BE32-E72D297353CC}">
                  <c16:uniqueId val="{00000011-E1BB-49D4-897D-AD605B1C96EF}"/>
                </c:ext>
              </c:extLst>
            </c:dLbl>
            <c:spPr>
              <a:noFill/>
              <a:ln>
                <a:noFill/>
              </a:ln>
              <a:effectLst/>
            </c:spPr>
            <c:txPr>
              <a:bodyPr wrap="square" lIns="38100" tIns="19050" rIns="38100" bIns="19050" anchor="ctr">
                <a:spAutoFit/>
              </a:bodyPr>
              <a:lstStyle/>
              <a:p>
                <a:pPr>
                  <a:defRPr>
                    <a:solidFill>
                      <a:schemeClr val="bg1"/>
                    </a:solidFil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'Waterfall data'!$Y$10:$Y$21</c:f>
              <c:strCache>
                <c:ptCount val="12"/>
                <c:pt idx="0">
                  <c:v>2020</c:v>
                </c:pt>
                <c:pt idx="1">
                  <c:v>Societal demand</c:v>
                </c:pt>
                <c:pt idx="2">
                  <c:v>Design&amp;Construction</c:v>
                </c:pt>
                <c:pt idx="3">
                  <c:v>Concrete</c:v>
                </c:pt>
                <c:pt idx="4">
                  <c:v>Cement &amp; binders</c:v>
                </c:pt>
                <c:pt idx="5">
                  <c:v>New binders</c:v>
                </c:pt>
                <c:pt idx="6">
                  <c:v>Electricity</c:v>
                </c:pt>
                <c:pt idx="7">
                  <c:v>Clinker</c:v>
                </c:pt>
                <c:pt idx="8">
                  <c:v>Recarbonation</c:v>
                </c:pt>
                <c:pt idx="9">
                  <c:v>Fossil waste fuels</c:v>
                </c:pt>
                <c:pt idx="10">
                  <c:v>CCUS/NbS/Metano</c:v>
                </c:pt>
                <c:pt idx="11">
                  <c:v>2050</c:v>
                </c:pt>
              </c:strCache>
            </c:strRef>
          </c:cat>
          <c:val>
            <c:numRef>
              <c:f>'Waterfall data'!$Z$10:$Z$21</c:f>
              <c:numCache>
                <c:formatCode>#,##0.0</c:formatCode>
                <c:ptCount val="12"/>
                <c:pt idx="0">
                  <c:v>6.1927259064749984</c:v>
                </c:pt>
                <c:pt idx="11" formatCode="#,##0.00000">
                  <c:v>-2.9976021664879227E-15</c:v>
                </c:pt>
              </c:numCache>
            </c:numRef>
          </c:val>
          <c:extLst>
            <c:ext xmlns:c16="http://schemas.microsoft.com/office/drawing/2014/chart" uri="{C3380CC4-5D6E-409C-BE32-E72D297353CC}">
              <c16:uniqueId val="{00000000-1B0A-4E24-B089-0C1ECAE6FFE5}"/>
            </c:ext>
          </c:extLst>
        </c:ser>
        <c:ser>
          <c:idx val="2"/>
          <c:order val="1"/>
          <c:tx>
            <c:strRef>
              <c:f>'Waterfall data'!$AA$9</c:f>
              <c:strCache>
                <c:ptCount val="1"/>
                <c:pt idx="0">
                  <c:v>Indirect CO2 emissions (Mt CO2)</c:v>
                </c:pt>
              </c:strCache>
            </c:strRef>
          </c:tx>
          <c:spPr>
            <a:solidFill>
              <a:srgbClr val="617BC3"/>
            </a:solidFill>
          </c:spPr>
          <c:invertIfNegative val="0"/>
          <c:dLbls>
            <c:dLbl>
              <c:idx val="11"/>
              <c:layout>
                <c:manualLayout>
                  <c:x val="1.3665201907662186E-3"/>
                  <c:y val="-5.7142857142857141E-2"/>
                </c:manualLayout>
              </c:layout>
              <c:numFmt formatCode="#,##0.0" sourceLinked="0"/>
              <c:spPr>
                <a:noFill/>
                <a:ln>
                  <a:noFill/>
                </a:ln>
                <a:effectLst/>
              </c:spPr>
              <c:txPr>
                <a:bodyPr wrap="square" lIns="38100" tIns="19050" rIns="38100" bIns="19050" anchor="ctr">
                  <a:spAutoFit/>
                </a:bodyPr>
                <a:lstStyle/>
                <a:p>
                  <a:pPr>
                    <a:defRPr>
                      <a:solidFill>
                        <a:sysClr val="windowText" lastClr="000000"/>
                      </a:solidFill>
                    </a:defRPr>
                  </a:pPr>
                  <a:endParaRPr lang="es-CL"/>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BB-49D4-897D-AD605B1C96EF}"/>
                </c:ext>
              </c:extLst>
            </c:dLbl>
            <c:numFmt formatCode="#,##0.0" sourceLinked="0"/>
            <c:spPr>
              <a:noFill/>
              <a:ln>
                <a:noFill/>
              </a:ln>
              <a:effectLst/>
            </c:spPr>
            <c:txPr>
              <a:bodyPr wrap="square" lIns="38100" tIns="19050" rIns="38100" bIns="19050" anchor="ctr">
                <a:spAutoFit/>
              </a:bodyPr>
              <a:lstStyle/>
              <a:p>
                <a:pPr>
                  <a:defRPr>
                    <a:solidFill>
                      <a:schemeClr val="bg1"/>
                    </a:solidFil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'Waterfall data'!$Y$10:$Y$21</c:f>
              <c:strCache>
                <c:ptCount val="12"/>
                <c:pt idx="0">
                  <c:v>2020</c:v>
                </c:pt>
                <c:pt idx="1">
                  <c:v>Societal demand</c:v>
                </c:pt>
                <c:pt idx="2">
                  <c:v>Design&amp;Construction</c:v>
                </c:pt>
                <c:pt idx="3">
                  <c:v>Concrete</c:v>
                </c:pt>
                <c:pt idx="4">
                  <c:v>Cement &amp; binders</c:v>
                </c:pt>
                <c:pt idx="5">
                  <c:v>New binders</c:v>
                </c:pt>
                <c:pt idx="6">
                  <c:v>Electricity</c:v>
                </c:pt>
                <c:pt idx="7">
                  <c:v>Clinker</c:v>
                </c:pt>
                <c:pt idx="8">
                  <c:v>Recarbonation</c:v>
                </c:pt>
                <c:pt idx="9">
                  <c:v>Fossil waste fuels</c:v>
                </c:pt>
                <c:pt idx="10">
                  <c:v>CCUS/NbS/Metano</c:v>
                </c:pt>
                <c:pt idx="11">
                  <c:v>2050</c:v>
                </c:pt>
              </c:strCache>
            </c:strRef>
          </c:cat>
          <c:val>
            <c:numRef>
              <c:f>'Waterfall data'!$AA$10:$AA$21</c:f>
              <c:numCache>
                <c:formatCode>#,##0.0</c:formatCode>
                <c:ptCount val="12"/>
                <c:pt idx="0">
                  <c:v>0.42043473466135456</c:v>
                </c:pt>
                <c:pt idx="11" formatCode="#,##0.0000000">
                  <c:v>5.2082407037568494E-2</c:v>
                </c:pt>
              </c:numCache>
            </c:numRef>
          </c:val>
          <c:extLst>
            <c:ext xmlns:c16="http://schemas.microsoft.com/office/drawing/2014/chart" uri="{C3380CC4-5D6E-409C-BE32-E72D297353CC}">
              <c16:uniqueId val="{00000001-1B0A-4E24-B089-0C1ECAE6FFE5}"/>
            </c:ext>
          </c:extLst>
        </c:ser>
        <c:ser>
          <c:idx val="5"/>
          <c:order val="2"/>
          <c:tx>
            <c:strRef>
              <c:f>'Waterfall data'!$AD$9</c:f>
              <c:strCache>
                <c:ptCount val="1"/>
                <c:pt idx="0">
                  <c:v>(white)</c:v>
                </c:pt>
              </c:strCache>
            </c:strRef>
          </c:tx>
          <c:spPr>
            <a:noFill/>
          </c:spPr>
          <c:invertIfNegative val="0"/>
          <c:cat>
            <c:strRef>
              <c:f>'Waterfall data'!$Y$10:$Y$21</c:f>
              <c:strCache>
                <c:ptCount val="12"/>
                <c:pt idx="0">
                  <c:v>2020</c:v>
                </c:pt>
                <c:pt idx="1">
                  <c:v>Societal demand</c:v>
                </c:pt>
                <c:pt idx="2">
                  <c:v>Design&amp;Construction</c:v>
                </c:pt>
                <c:pt idx="3">
                  <c:v>Concrete</c:v>
                </c:pt>
                <c:pt idx="4">
                  <c:v>Cement &amp; binders</c:v>
                </c:pt>
                <c:pt idx="5">
                  <c:v>New binders</c:v>
                </c:pt>
                <c:pt idx="6">
                  <c:v>Electricity</c:v>
                </c:pt>
                <c:pt idx="7">
                  <c:v>Clinker</c:v>
                </c:pt>
                <c:pt idx="8">
                  <c:v>Recarbonation</c:v>
                </c:pt>
                <c:pt idx="9">
                  <c:v>Fossil waste fuels</c:v>
                </c:pt>
                <c:pt idx="10">
                  <c:v>CCUS/NbS/Metano</c:v>
                </c:pt>
                <c:pt idx="11">
                  <c:v>2050</c:v>
                </c:pt>
              </c:strCache>
            </c:strRef>
          </c:cat>
          <c:val>
            <c:numRef>
              <c:f>'Waterfall data'!$AD$10:$AD$21</c:f>
              <c:numCache>
                <c:formatCode>#,##0.0</c:formatCode>
                <c:ptCount val="12"/>
                <c:pt idx="1">
                  <c:v>6.6131606411363526</c:v>
                </c:pt>
                <c:pt idx="2">
                  <c:v>9.4079593525623952</c:v>
                </c:pt>
                <c:pt idx="3">
                  <c:v>8.9123950936661736</c:v>
                </c:pt>
                <c:pt idx="4">
                  <c:v>8.2725813331985769</c:v>
                </c:pt>
                <c:pt idx="5">
                  <c:v>8.2469894936838006</c:v>
                </c:pt>
                <c:pt idx="6">
                  <c:v>7.7324622764073245</c:v>
                </c:pt>
                <c:pt idx="7">
                  <c:v>7.3714494074678294</c:v>
                </c:pt>
                <c:pt idx="8">
                  <c:v>5.7797550197870784</c:v>
                </c:pt>
                <c:pt idx="9">
                  <c:v>5.5589564288654527</c:v>
                </c:pt>
                <c:pt idx="10">
                  <c:v>5.2082407037565497E-2</c:v>
                </c:pt>
              </c:numCache>
            </c:numRef>
          </c:val>
          <c:extLst>
            <c:ext xmlns:c16="http://schemas.microsoft.com/office/drawing/2014/chart" uri="{C3380CC4-5D6E-409C-BE32-E72D297353CC}">
              <c16:uniqueId val="{00000002-1B0A-4E24-B089-0C1ECAE6FFE5}"/>
            </c:ext>
          </c:extLst>
        </c:ser>
        <c:ser>
          <c:idx val="1"/>
          <c:order val="3"/>
          <c:tx>
            <c:strRef>
              <c:f>'Waterfall data'!$AB$9</c:f>
              <c:strCache>
                <c:ptCount val="1"/>
                <c:pt idx="0">
                  <c:v>increase (blue)</c:v>
                </c:pt>
              </c:strCache>
            </c:strRef>
          </c:tx>
          <c:spPr>
            <a:solidFill>
              <a:srgbClr val="00B0F0"/>
            </a:solidFill>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3-E1BB-49D4-897D-AD605B1C96EF}"/>
                </c:ext>
              </c:extLst>
            </c:dLbl>
            <c:dLbl>
              <c:idx val="3"/>
              <c:delete val="1"/>
              <c:extLst>
                <c:ext xmlns:c15="http://schemas.microsoft.com/office/drawing/2012/chart" uri="{CE6537A1-D6FC-4f65-9D91-7224C49458BB}"/>
                <c:ext xmlns:c16="http://schemas.microsoft.com/office/drawing/2014/chart" uri="{C3380CC4-5D6E-409C-BE32-E72D297353CC}">
                  <c16:uniqueId val="{00000004-E1BB-49D4-897D-AD605B1C96EF}"/>
                </c:ext>
              </c:extLst>
            </c:dLbl>
            <c:dLbl>
              <c:idx val="4"/>
              <c:delete val="1"/>
              <c:extLst>
                <c:ext xmlns:c15="http://schemas.microsoft.com/office/drawing/2012/chart" uri="{CE6537A1-D6FC-4f65-9D91-7224C49458BB}"/>
                <c:ext xmlns:c16="http://schemas.microsoft.com/office/drawing/2014/chart" uri="{C3380CC4-5D6E-409C-BE32-E72D297353CC}">
                  <c16:uniqueId val="{00000005-E1BB-49D4-897D-AD605B1C96EF}"/>
                </c:ext>
              </c:extLst>
            </c:dLbl>
            <c:dLbl>
              <c:idx val="5"/>
              <c:delete val="1"/>
              <c:extLst>
                <c:ext xmlns:c15="http://schemas.microsoft.com/office/drawing/2012/chart" uri="{CE6537A1-D6FC-4f65-9D91-7224C49458BB}"/>
                <c:ext xmlns:c16="http://schemas.microsoft.com/office/drawing/2014/chart" uri="{C3380CC4-5D6E-409C-BE32-E72D297353CC}">
                  <c16:uniqueId val="{00000006-E1BB-49D4-897D-AD605B1C96EF}"/>
                </c:ext>
              </c:extLst>
            </c:dLbl>
            <c:dLbl>
              <c:idx val="6"/>
              <c:delete val="1"/>
              <c:extLst>
                <c:ext xmlns:c15="http://schemas.microsoft.com/office/drawing/2012/chart" uri="{CE6537A1-D6FC-4f65-9D91-7224C49458BB}"/>
                <c:ext xmlns:c16="http://schemas.microsoft.com/office/drawing/2014/chart" uri="{C3380CC4-5D6E-409C-BE32-E72D297353CC}">
                  <c16:uniqueId val="{00000007-E1BB-49D4-897D-AD605B1C96EF}"/>
                </c:ext>
              </c:extLst>
            </c:dLbl>
            <c:dLbl>
              <c:idx val="7"/>
              <c:delete val="1"/>
              <c:extLst>
                <c:ext xmlns:c15="http://schemas.microsoft.com/office/drawing/2012/chart" uri="{CE6537A1-D6FC-4f65-9D91-7224C49458BB}"/>
                <c:ext xmlns:c16="http://schemas.microsoft.com/office/drawing/2014/chart" uri="{C3380CC4-5D6E-409C-BE32-E72D297353CC}">
                  <c16:uniqueId val="{00000008-E1BB-49D4-897D-AD605B1C96EF}"/>
                </c:ext>
              </c:extLst>
            </c:dLbl>
            <c:dLbl>
              <c:idx val="8"/>
              <c:delete val="1"/>
              <c:extLst>
                <c:ext xmlns:c15="http://schemas.microsoft.com/office/drawing/2012/chart" uri="{CE6537A1-D6FC-4f65-9D91-7224C49458BB}"/>
                <c:ext xmlns:c16="http://schemas.microsoft.com/office/drawing/2014/chart" uri="{C3380CC4-5D6E-409C-BE32-E72D297353CC}">
                  <c16:uniqueId val="{00000009-E1BB-49D4-897D-AD605B1C96EF}"/>
                </c:ext>
              </c:extLst>
            </c:dLbl>
            <c:dLbl>
              <c:idx val="9"/>
              <c:delete val="1"/>
              <c:extLst>
                <c:ext xmlns:c15="http://schemas.microsoft.com/office/drawing/2012/chart" uri="{CE6537A1-D6FC-4f65-9D91-7224C49458BB}"/>
                <c:ext xmlns:c16="http://schemas.microsoft.com/office/drawing/2014/chart" uri="{C3380CC4-5D6E-409C-BE32-E72D297353CC}">
                  <c16:uniqueId val="{0000000A-E1BB-49D4-897D-AD605B1C96EF}"/>
                </c:ext>
              </c:extLst>
            </c:dLbl>
            <c:dLbl>
              <c:idx val="10"/>
              <c:delete val="1"/>
              <c:extLst>
                <c:ext xmlns:c15="http://schemas.microsoft.com/office/drawing/2012/chart" uri="{CE6537A1-D6FC-4f65-9D91-7224C49458BB}"/>
                <c:ext xmlns:c16="http://schemas.microsoft.com/office/drawing/2014/chart" uri="{C3380CC4-5D6E-409C-BE32-E72D297353CC}">
                  <c16:uniqueId val="{0000000B-E1BB-49D4-897D-AD605B1C96E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'Waterfall data'!$Y$10:$Y$21</c:f>
              <c:strCache>
                <c:ptCount val="12"/>
                <c:pt idx="0">
                  <c:v>2020</c:v>
                </c:pt>
                <c:pt idx="1">
                  <c:v>Societal demand</c:v>
                </c:pt>
                <c:pt idx="2">
                  <c:v>Design&amp;Construction</c:v>
                </c:pt>
                <c:pt idx="3">
                  <c:v>Concrete</c:v>
                </c:pt>
                <c:pt idx="4">
                  <c:v>Cement &amp; binders</c:v>
                </c:pt>
                <c:pt idx="5">
                  <c:v>New binders</c:v>
                </c:pt>
                <c:pt idx="6">
                  <c:v>Electricity</c:v>
                </c:pt>
                <c:pt idx="7">
                  <c:v>Clinker</c:v>
                </c:pt>
                <c:pt idx="8">
                  <c:v>Recarbonation</c:v>
                </c:pt>
                <c:pt idx="9">
                  <c:v>Fossil waste fuels</c:v>
                </c:pt>
                <c:pt idx="10">
                  <c:v>CCUS/NbS/Metano</c:v>
                </c:pt>
                <c:pt idx="11">
                  <c:v>2050</c:v>
                </c:pt>
              </c:strCache>
            </c:strRef>
          </c:cat>
          <c:val>
            <c:numRef>
              <c:f>'Waterfall data'!$AB$10:$AB$21</c:f>
              <c:numCache>
                <c:formatCode>#,##0.0</c:formatCode>
                <c:ptCount val="12"/>
                <c:pt idx="1">
                  <c:v>3.637238352624995</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1B0A-4E24-B089-0C1ECAE6FFE5}"/>
            </c:ext>
          </c:extLst>
        </c:ser>
        <c:ser>
          <c:idx val="4"/>
          <c:order val="4"/>
          <c:tx>
            <c:strRef>
              <c:f>'Waterfall data'!$AC$9</c:f>
              <c:strCache>
                <c:ptCount val="1"/>
                <c:pt idx="0">
                  <c:v>decrease (green)</c:v>
                </c:pt>
              </c:strCache>
            </c:strRef>
          </c:tx>
          <c:spPr>
            <a:solidFill>
              <a:srgbClr val="339933"/>
            </a:solidFill>
          </c:spPr>
          <c:invertIfNegative val="0"/>
          <c:dPt>
            <c:idx val="6"/>
            <c:invertIfNegative val="0"/>
            <c:bubble3D val="0"/>
            <c:extLst>
              <c:ext xmlns:c16="http://schemas.microsoft.com/office/drawing/2014/chart" uri="{C3380CC4-5D6E-409C-BE32-E72D297353CC}">
                <c16:uniqueId val="{00000005-F10A-4757-9AC6-E3048F7938DA}"/>
              </c:ext>
            </c:extLst>
          </c:dPt>
          <c:dPt>
            <c:idx val="10"/>
            <c:invertIfNegative val="0"/>
            <c:bubble3D val="0"/>
            <c:extLst>
              <c:ext xmlns:c16="http://schemas.microsoft.com/office/drawing/2014/chart" uri="{C3380CC4-5D6E-409C-BE32-E72D297353CC}">
                <c16:uniqueId val="{00000008-6044-4A8D-9A56-DF1BAB8F04AB}"/>
              </c:ext>
            </c:extLst>
          </c:dPt>
          <c:dLbls>
            <c:dLbl>
              <c:idx val="2"/>
              <c:layout>
                <c:manualLayout>
                  <c:x val="0"/>
                  <c:y val="4.27013290005415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1BB-49D4-897D-AD605B1C96EF}"/>
                </c:ext>
              </c:extLst>
            </c:dLbl>
            <c:dLbl>
              <c:idx val="3"/>
              <c:layout>
                <c:manualLayout>
                  <c:x val="0"/>
                  <c:y val="4.08168978877640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1BB-49D4-897D-AD605B1C96EF}"/>
                </c:ext>
              </c:extLst>
            </c:dLbl>
            <c:dLbl>
              <c:idx val="4"/>
              <c:layout>
                <c:manualLayout>
                  <c:x val="0"/>
                  <c:y val="4.26873307503228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1BB-49D4-897D-AD605B1C96EF}"/>
                </c:ext>
              </c:extLst>
            </c:dLbl>
            <c:dLbl>
              <c:idx val="6"/>
              <c:layout>
                <c:manualLayout>
                  <c:x val="-1.0021032301798658E-16"/>
                  <c:y val="3.53419155938840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0A-4757-9AC6-E3048F7938DA}"/>
                </c:ext>
              </c:extLst>
            </c:dLbl>
            <c:dLbl>
              <c:idx val="7"/>
              <c:layout>
                <c:manualLayout>
                  <c:x val="0"/>
                  <c:y val="3.15812190142898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1BB-49D4-897D-AD605B1C96EF}"/>
                </c:ext>
              </c:extLst>
            </c:dLbl>
            <c:dLbl>
              <c:idx val="8"/>
              <c:layout>
                <c:manualLayout>
                  <c:x val="0"/>
                  <c:y val="-6.56554597341999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1BB-49D4-897D-AD605B1C96EF}"/>
                </c:ext>
              </c:extLst>
            </c:dLbl>
            <c:dLbl>
              <c:idx val="10"/>
              <c:layout>
                <c:manualLayout>
                  <c:x val="0"/>
                  <c:y val="-0.18980044161146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44-4A8D-9A56-DF1BAB8F04AB}"/>
                </c:ext>
              </c:extLst>
            </c:dLbl>
            <c:spPr>
              <a:noFill/>
              <a:ln>
                <a:noFill/>
              </a:ln>
              <a:effectLst/>
            </c:spPr>
            <c:txPr>
              <a:bodyPr wrap="square" lIns="38100" tIns="19050" rIns="38100" bIns="19050" anchor="ctr">
                <a:spAutoFit/>
              </a:bodyPr>
              <a:lstStyle/>
              <a:p>
                <a:pPr>
                  <a:defRPr sz="1100"/>
                </a:pPr>
                <a:endParaRPr lang="es-C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'Waterfall data'!$Y$10:$Y$21</c:f>
              <c:strCache>
                <c:ptCount val="12"/>
                <c:pt idx="0">
                  <c:v>2020</c:v>
                </c:pt>
                <c:pt idx="1">
                  <c:v>Societal demand</c:v>
                </c:pt>
                <c:pt idx="2">
                  <c:v>Design&amp;Construction</c:v>
                </c:pt>
                <c:pt idx="3">
                  <c:v>Concrete</c:v>
                </c:pt>
                <c:pt idx="4">
                  <c:v>Cement &amp; binders</c:v>
                </c:pt>
                <c:pt idx="5">
                  <c:v>New binders</c:v>
                </c:pt>
                <c:pt idx="6">
                  <c:v>Electricity</c:v>
                </c:pt>
                <c:pt idx="7">
                  <c:v>Clinker</c:v>
                </c:pt>
                <c:pt idx="8">
                  <c:v>Recarbonation</c:v>
                </c:pt>
                <c:pt idx="9">
                  <c:v>Fossil waste fuels</c:v>
                </c:pt>
                <c:pt idx="10">
                  <c:v>CCUS/NbS/Metano</c:v>
                </c:pt>
                <c:pt idx="11">
                  <c:v>2050</c:v>
                </c:pt>
              </c:strCache>
            </c:strRef>
          </c:cat>
          <c:val>
            <c:numRef>
              <c:f>'Waterfall data'!$AC$10:$AC$21</c:f>
              <c:numCache>
                <c:formatCode>#,##0.0</c:formatCode>
                <c:ptCount val="12"/>
                <c:pt idx="1">
                  <c:v>0</c:v>
                </c:pt>
                <c:pt idx="2">
                  <c:v>0.84243964119895232</c:v>
                </c:pt>
                <c:pt idx="3" formatCode="#,##0.00">
                  <c:v>0.49556425889622169</c:v>
                </c:pt>
                <c:pt idx="4">
                  <c:v>0.63981376046759664</c:v>
                </c:pt>
                <c:pt idx="5">
                  <c:v>2.5591839514776282E-2</c:v>
                </c:pt>
                <c:pt idx="6">
                  <c:v>0.5145272172764761</c:v>
                </c:pt>
                <c:pt idx="7">
                  <c:v>0.36101286893949514</c:v>
                </c:pt>
                <c:pt idx="8">
                  <c:v>1.591694387680751</c:v>
                </c:pt>
                <c:pt idx="9">
                  <c:v>0.22079859092162568</c:v>
                </c:pt>
                <c:pt idx="10">
                  <c:v>5.5068740218278869</c:v>
                </c:pt>
              </c:numCache>
            </c:numRef>
          </c:val>
          <c:extLst>
            <c:ext xmlns:c16="http://schemas.microsoft.com/office/drawing/2014/chart" uri="{C3380CC4-5D6E-409C-BE32-E72D297353CC}">
              <c16:uniqueId val="{00000004-1B0A-4E24-B089-0C1ECAE6FFE5}"/>
            </c:ext>
          </c:extLst>
        </c:ser>
        <c:dLbls>
          <c:showLegendKey val="0"/>
          <c:showVal val="0"/>
          <c:showCatName val="0"/>
          <c:showSerName val="0"/>
          <c:showPercent val="0"/>
          <c:showBubbleSize val="0"/>
        </c:dLbls>
        <c:gapWidth val="150"/>
        <c:overlap val="100"/>
        <c:axId val="136618752"/>
        <c:axId val="136620288"/>
      </c:barChart>
      <c:catAx>
        <c:axId val="136618752"/>
        <c:scaling>
          <c:orientation val="minMax"/>
        </c:scaling>
        <c:delete val="0"/>
        <c:axPos val="b"/>
        <c:numFmt formatCode="General" sourceLinked="0"/>
        <c:majorTickMark val="out"/>
        <c:minorTickMark val="none"/>
        <c:tickLblPos val="low"/>
        <c:txPr>
          <a:bodyPr/>
          <a:lstStyle/>
          <a:p>
            <a:pPr>
              <a:defRPr sz="1050" b="1"/>
            </a:pPr>
            <a:endParaRPr lang="es-CL"/>
          </a:p>
        </c:txPr>
        <c:crossAx val="136620288"/>
        <c:crosses val="autoZero"/>
        <c:auto val="1"/>
        <c:lblAlgn val="ctr"/>
        <c:lblOffset val="100"/>
        <c:noMultiLvlLbl val="0"/>
      </c:catAx>
      <c:valAx>
        <c:axId val="136620288"/>
        <c:scaling>
          <c:orientation val="minMax"/>
          <c:min val="0"/>
        </c:scaling>
        <c:delete val="0"/>
        <c:axPos val="l"/>
        <c:majorGridlines/>
        <c:title>
          <c:tx>
            <c:rich>
              <a:bodyPr rot="-5400000" vert="horz"/>
              <a:lstStyle/>
              <a:p>
                <a:pPr>
                  <a:defRPr sz="1400" b="0"/>
                </a:pPr>
                <a:r>
                  <a:rPr lang="de-DE" sz="1400" b="0"/>
                  <a:t>CO</a:t>
                </a:r>
                <a:r>
                  <a:rPr lang="de-DE" sz="1400" b="0" baseline="-25000"/>
                  <a:t>2</a:t>
                </a:r>
                <a:r>
                  <a:rPr lang="de-DE" sz="1400" b="0"/>
                  <a:t> emissions (Mt CO</a:t>
                </a:r>
                <a:r>
                  <a:rPr lang="de-DE" sz="1400" b="0" baseline="-25000"/>
                  <a:t>2</a:t>
                </a:r>
                <a:r>
                  <a:rPr lang="de-DE" sz="1400" b="0"/>
                  <a:t>)</a:t>
                </a:r>
              </a:p>
            </c:rich>
          </c:tx>
          <c:overlay val="0"/>
        </c:title>
        <c:numFmt formatCode="#,##0" sourceLinked="0"/>
        <c:majorTickMark val="out"/>
        <c:minorTickMark val="none"/>
        <c:tickLblPos val="nextTo"/>
        <c:crossAx val="136618752"/>
        <c:crosses val="autoZero"/>
        <c:crossBetween val="between"/>
        <c:majorUnit val="1"/>
        <c:minorUnit val="0.5"/>
      </c:valAx>
      <c:spPr>
        <a:ln>
          <a:solidFill>
            <a:sysClr val="windowText" lastClr="000000"/>
          </a:solidFill>
        </a:ln>
      </c:spPr>
    </c:plotArea>
    <c:legend>
      <c:legendPos val="r"/>
      <c:overlay val="0"/>
    </c:legend>
    <c:plotVisOnly val="1"/>
    <c:dispBlanksAs val="gap"/>
    <c:showDLblsOverMax val="0"/>
  </c:chart>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1713038211261727"/>
          <c:y val="2.3258067608553395E-2"/>
          <c:w val="0.85784379147255896"/>
          <c:h val="0.83498307076932476"/>
        </c:manualLayout>
      </c:layout>
      <c:lineChart>
        <c:grouping val="standard"/>
        <c:varyColors val="0"/>
        <c:ser>
          <c:idx val="0"/>
          <c:order val="0"/>
          <c:tx>
            <c:strRef>
              <c:f>Graficos!$C$39</c:f>
              <c:strCache>
                <c:ptCount val="1"/>
                <c:pt idx="0">
                  <c:v>FICEM</c:v>
                </c:pt>
              </c:strCache>
            </c:strRef>
          </c:tx>
          <c:spPr>
            <a:ln w="28575" cap="rnd">
              <a:solidFill>
                <a:srgbClr val="92D050"/>
              </a:solidFill>
              <a:round/>
            </a:ln>
            <a:effectLst/>
          </c:spPr>
          <c:marker>
            <c:symbol val="circle"/>
            <c:size val="5"/>
            <c:spPr>
              <a:solidFill>
                <a:schemeClr val="bg1"/>
              </a:solidFill>
              <a:ln w="9525">
                <a:solidFill>
                  <a:schemeClr val="accent2">
                    <a:tint val="58000"/>
                  </a:schemeClr>
                </a:solidFill>
              </a:ln>
              <a:effectLst/>
            </c:spPr>
          </c:marker>
          <c:dLbls>
            <c:dLbl>
              <c:idx val="0"/>
              <c:layout>
                <c:manualLayout>
                  <c:x val="-4.8616474999317039E-2"/>
                  <c:y val="4.9363018375060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36-458B-80CA-2BA63078752E}"/>
                </c:ext>
              </c:extLst>
            </c:dLbl>
            <c:dLbl>
              <c:idx val="1"/>
              <c:layout>
                <c:manualLayout>
                  <c:x val="-6.2996002838199676E-17"/>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36-458B-80CA-2BA63078752E}"/>
                </c:ext>
              </c:extLst>
            </c:dLbl>
            <c:dLbl>
              <c:idx val="2"/>
              <c:layout>
                <c:manualLayout>
                  <c:x val="-3.436185304003643E-3"/>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36-458B-80CA-2BA63078752E}"/>
                </c:ext>
              </c:extLst>
            </c:dLbl>
            <c:dLbl>
              <c:idx val="3"/>
              <c:layout>
                <c:manualLayout>
                  <c:x val="-2.2098397726962451E-2"/>
                  <c:y val="4.5407646734454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36-458B-80CA-2BA63078752E}"/>
                </c:ext>
              </c:extLst>
            </c:dLbl>
            <c:spPr>
              <a:noFill/>
              <a:ln>
                <a:noFill/>
              </a:ln>
              <a:effectLst/>
            </c:spPr>
            <c:txPr>
              <a:bodyPr rot="0" spcFirstLastPara="1" vertOverflow="ellipsis" vert="horz" wrap="square" anchor="ctr" anchorCtr="1"/>
              <a:lstStyle/>
              <a:p>
                <a:pPr>
                  <a:defRPr sz="1400" b="0" i="0" u="none" strike="noStrike" kern="1200" baseline="0">
                    <a:solidFill>
                      <a:srgbClr val="92D05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Graficos!$D$38:$G$38</c:f>
              <c:numCache>
                <c:formatCode>General</c:formatCode>
                <c:ptCount val="4"/>
                <c:pt idx="0">
                  <c:v>2020</c:v>
                </c:pt>
                <c:pt idx="1">
                  <c:v>2030</c:v>
                </c:pt>
                <c:pt idx="2">
                  <c:v>2040</c:v>
                </c:pt>
                <c:pt idx="3">
                  <c:v>2050</c:v>
                </c:pt>
              </c:numCache>
            </c:numRef>
          </c:cat>
          <c:val>
            <c:numRef>
              <c:f>Graficos!$D$39:$G$39</c:f>
              <c:numCache>
                <c:formatCode>_(* #,##0_);_(* \(#,##0\);_(* "-"_);_(@_)</c:formatCode>
                <c:ptCount val="4"/>
                <c:pt idx="0">
                  <c:v>67</c:v>
                </c:pt>
                <c:pt idx="1">
                  <c:v>66</c:v>
                </c:pt>
                <c:pt idx="2">
                  <c:v>63</c:v>
                </c:pt>
                <c:pt idx="3">
                  <c:v>60</c:v>
                </c:pt>
              </c:numCache>
            </c:numRef>
          </c:val>
          <c:smooth val="0"/>
          <c:extLst>
            <c:ext xmlns:c16="http://schemas.microsoft.com/office/drawing/2014/chart" uri="{C3380CC4-5D6E-409C-BE32-E72D297353CC}">
              <c16:uniqueId val="{00000004-B136-458B-80CA-2BA63078752E}"/>
            </c:ext>
          </c:extLst>
        </c:ser>
        <c:ser>
          <c:idx val="1"/>
          <c:order val="1"/>
          <c:tx>
            <c:strRef>
              <c:f>Graficos!$C$40</c:f>
              <c:strCache>
                <c:ptCount val="1"/>
                <c:pt idx="0">
                  <c:v>Perú</c:v>
                </c:pt>
              </c:strCache>
            </c:strRef>
          </c:tx>
          <c:spPr>
            <a:ln w="28575" cap="rnd">
              <a:solidFill>
                <a:schemeClr val="bg1"/>
              </a:solidFill>
              <a:prstDash val="dash"/>
              <a:round/>
            </a:ln>
            <a:effectLst/>
          </c:spPr>
          <c:marker>
            <c:symbol val="none"/>
          </c:marker>
          <c:cat>
            <c:numRef>
              <c:f>Graficos!$D$38:$G$38</c:f>
              <c:numCache>
                <c:formatCode>General</c:formatCode>
                <c:ptCount val="4"/>
                <c:pt idx="0">
                  <c:v>2020</c:v>
                </c:pt>
                <c:pt idx="1">
                  <c:v>2030</c:v>
                </c:pt>
                <c:pt idx="2">
                  <c:v>2040</c:v>
                </c:pt>
                <c:pt idx="3">
                  <c:v>2050</c:v>
                </c:pt>
              </c:numCache>
            </c:numRef>
          </c:cat>
          <c:val>
            <c:numRef>
              <c:f>Graficos!$D$40:$G$40</c:f>
              <c:numCache>
                <c:formatCode>_(* #,##0_);_(* \(#,##0\);_(* "-"_);_(@_)</c:formatCode>
                <c:ptCount val="4"/>
                <c:pt idx="0">
                  <c:v>75</c:v>
                </c:pt>
                <c:pt idx="1">
                  <c:v>70</c:v>
                </c:pt>
                <c:pt idx="2">
                  <c:v>68.5</c:v>
                </c:pt>
                <c:pt idx="3">
                  <c:v>67</c:v>
                </c:pt>
              </c:numCache>
            </c:numRef>
          </c:val>
          <c:smooth val="0"/>
          <c:extLst>
            <c:ext xmlns:c16="http://schemas.microsoft.com/office/drawing/2014/chart" uri="{C3380CC4-5D6E-409C-BE32-E72D297353CC}">
              <c16:uniqueId val="{00000005-B136-458B-80CA-2BA63078752E}"/>
            </c:ext>
          </c:extLst>
        </c:ser>
        <c:ser>
          <c:idx val="2"/>
          <c:order val="2"/>
          <c:tx>
            <c:strRef>
              <c:f>Graficos!$C$41</c:f>
              <c:strCache>
                <c:ptCount val="1"/>
                <c:pt idx="0">
                  <c:v>Colombia</c:v>
                </c:pt>
              </c:strCache>
            </c:strRef>
          </c:tx>
          <c:spPr>
            <a:ln w="12700" cap="rnd">
              <a:solidFill>
                <a:schemeClr val="bg1">
                  <a:lumMod val="95000"/>
                </a:schemeClr>
              </a:solidFill>
              <a:prstDash val="dashDot"/>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136-458B-80CA-2BA63078752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Graficos!$D$38:$G$38</c:f>
              <c:numCache>
                <c:formatCode>General</c:formatCode>
                <c:ptCount val="4"/>
                <c:pt idx="0">
                  <c:v>2020</c:v>
                </c:pt>
                <c:pt idx="1">
                  <c:v>2030</c:v>
                </c:pt>
                <c:pt idx="2">
                  <c:v>2040</c:v>
                </c:pt>
                <c:pt idx="3">
                  <c:v>2050</c:v>
                </c:pt>
              </c:numCache>
            </c:numRef>
          </c:cat>
          <c:val>
            <c:numRef>
              <c:f>Graficos!$D$41:$G$41</c:f>
              <c:numCache>
                <c:formatCode>_(* #,##0_);_(* \(#,##0\);_(* "-"_);_(@_)</c:formatCode>
                <c:ptCount val="4"/>
                <c:pt idx="0">
                  <c:v>69</c:v>
                </c:pt>
                <c:pt idx="1">
                  <c:v>64</c:v>
                </c:pt>
                <c:pt idx="2">
                  <c:v>59.5</c:v>
                </c:pt>
                <c:pt idx="3">
                  <c:v>55</c:v>
                </c:pt>
              </c:numCache>
            </c:numRef>
          </c:val>
          <c:smooth val="0"/>
          <c:extLst>
            <c:ext xmlns:c16="http://schemas.microsoft.com/office/drawing/2014/chart" uri="{C3380CC4-5D6E-409C-BE32-E72D297353CC}">
              <c16:uniqueId val="{00000007-B136-458B-80CA-2BA63078752E}"/>
            </c:ext>
          </c:extLst>
        </c:ser>
        <c:ser>
          <c:idx val="3"/>
          <c:order val="3"/>
          <c:tx>
            <c:strRef>
              <c:f>Graficos!$C$42</c:f>
              <c:strCache>
                <c:ptCount val="1"/>
                <c:pt idx="0">
                  <c:v>Chile</c:v>
                </c:pt>
              </c:strCache>
            </c:strRef>
          </c:tx>
          <c:spPr>
            <a:ln w="12700" cap="rnd">
              <a:solidFill>
                <a:schemeClr val="bg1">
                  <a:lumMod val="95000"/>
                </a:schemeClr>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B136-458B-80CA-2BA63078752E}"/>
                </c:ext>
              </c:extLst>
            </c:dLbl>
            <c:dLbl>
              <c:idx val="1"/>
              <c:delete val="1"/>
              <c:extLst>
                <c:ext xmlns:c15="http://schemas.microsoft.com/office/drawing/2012/chart" uri="{CE6537A1-D6FC-4f65-9D91-7224C49458BB}"/>
                <c:ext xmlns:c16="http://schemas.microsoft.com/office/drawing/2014/chart" uri="{C3380CC4-5D6E-409C-BE32-E72D297353CC}">
                  <c16:uniqueId val="{00000009-B136-458B-80CA-2BA63078752E}"/>
                </c:ext>
              </c:extLst>
            </c:dLbl>
            <c:dLbl>
              <c:idx val="2"/>
              <c:delete val="1"/>
              <c:extLst>
                <c:ext xmlns:c15="http://schemas.microsoft.com/office/drawing/2012/chart" uri="{CE6537A1-D6FC-4f65-9D91-7224C49458BB}"/>
                <c:ext xmlns:c16="http://schemas.microsoft.com/office/drawing/2014/chart" uri="{C3380CC4-5D6E-409C-BE32-E72D297353CC}">
                  <c16:uniqueId val="{0000000A-B136-458B-80CA-2BA63078752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Graficos!$D$38:$G$38</c:f>
              <c:numCache>
                <c:formatCode>General</c:formatCode>
                <c:ptCount val="4"/>
                <c:pt idx="0">
                  <c:v>2020</c:v>
                </c:pt>
                <c:pt idx="1">
                  <c:v>2030</c:v>
                </c:pt>
                <c:pt idx="2">
                  <c:v>2040</c:v>
                </c:pt>
                <c:pt idx="3">
                  <c:v>2050</c:v>
                </c:pt>
              </c:numCache>
            </c:numRef>
          </c:cat>
          <c:val>
            <c:numRef>
              <c:f>Graficos!$D$42:$G$42</c:f>
              <c:numCache>
                <c:formatCode>_(* #,##0_);_(* \(#,##0\);_(* "-"_);_(@_)</c:formatCode>
                <c:ptCount val="4"/>
                <c:pt idx="0">
                  <c:v>71</c:v>
                </c:pt>
                <c:pt idx="1">
                  <c:v>68</c:v>
                </c:pt>
                <c:pt idx="2">
                  <c:v>65.5</c:v>
                </c:pt>
                <c:pt idx="3">
                  <c:v>63</c:v>
                </c:pt>
              </c:numCache>
            </c:numRef>
          </c:val>
          <c:smooth val="0"/>
          <c:extLst>
            <c:ext xmlns:c16="http://schemas.microsoft.com/office/drawing/2014/chart" uri="{C3380CC4-5D6E-409C-BE32-E72D297353CC}">
              <c16:uniqueId val="{0000000B-B136-458B-80CA-2BA63078752E}"/>
            </c:ext>
          </c:extLst>
        </c:ser>
        <c:ser>
          <c:idx val="4"/>
          <c:order val="4"/>
          <c:tx>
            <c:strRef>
              <c:f>Graficos!$C$43</c:f>
              <c:strCache>
                <c:ptCount val="1"/>
                <c:pt idx="0">
                  <c:v>Argentina</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dLbl>
              <c:idx val="0"/>
              <c:layout>
                <c:manualLayout>
                  <c:x val="-7.7134544267527722E-2"/>
                  <c:y val="-5.09857812482814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136-458B-80CA-2BA63078752E}"/>
                </c:ext>
              </c:extLst>
            </c:dLbl>
            <c:dLbl>
              <c:idx val="3"/>
              <c:layout>
                <c:manualLayout>
                  <c:x val="2.4196875495363546E-3"/>
                  <c:y val="-2.3882275899894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136-458B-80CA-2BA63078752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Graficos!$D$38:$G$38</c:f>
              <c:numCache>
                <c:formatCode>General</c:formatCode>
                <c:ptCount val="4"/>
                <c:pt idx="0">
                  <c:v>2020</c:v>
                </c:pt>
                <c:pt idx="1">
                  <c:v>2030</c:v>
                </c:pt>
                <c:pt idx="2">
                  <c:v>2040</c:v>
                </c:pt>
                <c:pt idx="3">
                  <c:v>2050</c:v>
                </c:pt>
              </c:numCache>
            </c:numRef>
          </c:cat>
          <c:val>
            <c:numRef>
              <c:f>Graficos!$D$43:$G$43</c:f>
              <c:numCache>
                <c:formatCode>_(* #,##0_);_(* \(#,##0\);_(* "-"_);_(@_)</c:formatCode>
                <c:ptCount val="4"/>
                <c:pt idx="0">
                  <c:v>68</c:v>
                </c:pt>
                <c:pt idx="1">
                  <c:v>65</c:v>
                </c:pt>
                <c:pt idx="2">
                  <c:v>63</c:v>
                </c:pt>
                <c:pt idx="3">
                  <c:v>61</c:v>
                </c:pt>
              </c:numCache>
            </c:numRef>
          </c:val>
          <c:smooth val="0"/>
          <c:extLst>
            <c:ext xmlns:c16="http://schemas.microsoft.com/office/drawing/2014/chart" uri="{C3380CC4-5D6E-409C-BE32-E72D297353CC}">
              <c16:uniqueId val="{0000000E-B136-458B-80CA-2BA63078752E}"/>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in val="5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Graficos!$M$38</c:f>
              <c:strCache>
                <c:ptCount val="1"/>
                <c:pt idx="0">
                  <c:v>Coprocesamiento</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Graficos!$N$38:$Q$38</c:f>
              <c:numCache>
                <c:formatCode>General</c:formatCode>
                <c:ptCount val="4"/>
                <c:pt idx="0">
                  <c:v>2020</c:v>
                </c:pt>
                <c:pt idx="1">
                  <c:v>2030</c:v>
                </c:pt>
                <c:pt idx="2">
                  <c:v>2040</c:v>
                </c:pt>
                <c:pt idx="3">
                  <c:v>2050</c:v>
                </c:pt>
              </c:numCache>
            </c:numRef>
          </c:cat>
          <c:val>
            <c:numRef>
              <c:f>Graficos!$N$38:$Q$38</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02E4-42C2-833C-A3EFCB7EB6E9}"/>
            </c:ext>
          </c:extLst>
        </c:ser>
        <c:ser>
          <c:idx val="1"/>
          <c:order val="1"/>
          <c:tx>
            <c:strRef>
              <c:f>Graficos!$M$39</c:f>
              <c:strCache>
                <c:ptCount val="1"/>
                <c:pt idx="0">
                  <c:v>FICEM</c:v>
                </c:pt>
              </c:strCache>
            </c:strRef>
          </c:tx>
          <c:spPr>
            <a:ln w="28575" cap="rnd">
              <a:solidFill>
                <a:srgbClr val="92D050"/>
              </a:solidFill>
              <a:round/>
            </a:ln>
            <a:effectLst/>
          </c:spPr>
          <c:marker>
            <c:symbol val="circle"/>
            <c:size val="5"/>
            <c:spPr>
              <a:solidFill>
                <a:schemeClr val="bg1"/>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Graficos!$N$38:$Q$38</c:f>
              <c:numCache>
                <c:formatCode>General</c:formatCode>
                <c:ptCount val="4"/>
                <c:pt idx="0">
                  <c:v>2020</c:v>
                </c:pt>
                <c:pt idx="1">
                  <c:v>2030</c:v>
                </c:pt>
                <c:pt idx="2">
                  <c:v>2040</c:v>
                </c:pt>
                <c:pt idx="3">
                  <c:v>2050</c:v>
                </c:pt>
              </c:numCache>
            </c:numRef>
          </c:cat>
          <c:val>
            <c:numRef>
              <c:f>Graficos!$N$39:$Q$39</c:f>
              <c:numCache>
                <c:formatCode>_(* #,##0_);_(* \(#,##0\);_(* "-"_);_(@_)</c:formatCode>
                <c:ptCount val="4"/>
                <c:pt idx="0">
                  <c:v>14</c:v>
                </c:pt>
                <c:pt idx="1">
                  <c:v>28</c:v>
                </c:pt>
                <c:pt idx="2">
                  <c:v>44</c:v>
                </c:pt>
                <c:pt idx="3">
                  <c:v>60</c:v>
                </c:pt>
              </c:numCache>
            </c:numRef>
          </c:val>
          <c:smooth val="0"/>
          <c:extLst>
            <c:ext xmlns:c16="http://schemas.microsoft.com/office/drawing/2014/chart" uri="{C3380CC4-5D6E-409C-BE32-E72D297353CC}">
              <c16:uniqueId val="{00000001-02E4-42C2-833C-A3EFCB7EB6E9}"/>
            </c:ext>
          </c:extLst>
        </c:ser>
        <c:ser>
          <c:idx val="2"/>
          <c:order val="2"/>
          <c:tx>
            <c:strRef>
              <c:f>Graficos!$M$40</c:f>
              <c:strCache>
                <c:ptCount val="1"/>
                <c:pt idx="0">
                  <c:v>Perú</c:v>
                </c:pt>
              </c:strCache>
            </c:strRef>
          </c:tx>
          <c:spPr>
            <a:ln w="28575" cap="rnd">
              <a:solidFill>
                <a:schemeClr val="bg1"/>
              </a:solidFill>
              <a:prstDash val="dash"/>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E4-42C2-833C-A3EFCB7EB6E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Graficos!$N$38:$Q$38</c:f>
              <c:numCache>
                <c:formatCode>General</c:formatCode>
                <c:ptCount val="4"/>
                <c:pt idx="0">
                  <c:v>2020</c:v>
                </c:pt>
                <c:pt idx="1">
                  <c:v>2030</c:v>
                </c:pt>
                <c:pt idx="2">
                  <c:v>2040</c:v>
                </c:pt>
                <c:pt idx="3">
                  <c:v>2050</c:v>
                </c:pt>
              </c:numCache>
            </c:numRef>
          </c:cat>
          <c:val>
            <c:numRef>
              <c:f>Graficos!$N$40:$Q$40</c:f>
              <c:numCache>
                <c:formatCode>_(* #,##0_);_(* \(#,##0\);_(* "-"_);_(@_)</c:formatCode>
                <c:ptCount val="4"/>
                <c:pt idx="0">
                  <c:v>0</c:v>
                </c:pt>
                <c:pt idx="1">
                  <c:v>12</c:v>
                </c:pt>
                <c:pt idx="2">
                  <c:v>21</c:v>
                </c:pt>
                <c:pt idx="3">
                  <c:v>30</c:v>
                </c:pt>
              </c:numCache>
            </c:numRef>
          </c:val>
          <c:smooth val="0"/>
          <c:extLst>
            <c:ext xmlns:c16="http://schemas.microsoft.com/office/drawing/2014/chart" uri="{C3380CC4-5D6E-409C-BE32-E72D297353CC}">
              <c16:uniqueId val="{00000003-02E4-42C2-833C-A3EFCB7EB6E9}"/>
            </c:ext>
          </c:extLst>
        </c:ser>
        <c:ser>
          <c:idx val="3"/>
          <c:order val="3"/>
          <c:tx>
            <c:strRef>
              <c:f>Graficos!$M$41</c:f>
              <c:strCache>
                <c:ptCount val="1"/>
                <c:pt idx="0">
                  <c:v>Colombia</c:v>
                </c:pt>
              </c:strCache>
            </c:strRef>
          </c:tx>
          <c:spPr>
            <a:ln w="15875" cap="rnd">
              <a:solidFill>
                <a:schemeClr val="bg1"/>
              </a:solidFill>
              <a:prstDash val="dashDot"/>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E4-42C2-833C-A3EFCB7EB6E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Graficos!$N$38:$Q$38</c:f>
              <c:numCache>
                <c:formatCode>General</c:formatCode>
                <c:ptCount val="4"/>
                <c:pt idx="0">
                  <c:v>2020</c:v>
                </c:pt>
                <c:pt idx="1">
                  <c:v>2030</c:v>
                </c:pt>
                <c:pt idx="2">
                  <c:v>2040</c:v>
                </c:pt>
                <c:pt idx="3">
                  <c:v>2050</c:v>
                </c:pt>
              </c:numCache>
            </c:numRef>
          </c:cat>
          <c:val>
            <c:numRef>
              <c:f>Graficos!$N$41:$Q$41</c:f>
              <c:numCache>
                <c:formatCode>_(* #,##0_);_(* \(#,##0\);_(* "-"_);_(@_)</c:formatCode>
                <c:ptCount val="4"/>
                <c:pt idx="0">
                  <c:v>9</c:v>
                </c:pt>
                <c:pt idx="1">
                  <c:v>18</c:v>
                </c:pt>
                <c:pt idx="2">
                  <c:v>29</c:v>
                </c:pt>
                <c:pt idx="3">
                  <c:v>40</c:v>
                </c:pt>
              </c:numCache>
            </c:numRef>
          </c:val>
          <c:smooth val="0"/>
          <c:extLst>
            <c:ext xmlns:c16="http://schemas.microsoft.com/office/drawing/2014/chart" uri="{C3380CC4-5D6E-409C-BE32-E72D297353CC}">
              <c16:uniqueId val="{00000005-02E4-42C2-833C-A3EFCB7EB6E9}"/>
            </c:ext>
          </c:extLst>
        </c:ser>
        <c:ser>
          <c:idx val="4"/>
          <c:order val="4"/>
          <c:tx>
            <c:strRef>
              <c:f>Graficos!$M$42</c:f>
              <c:strCache>
                <c:ptCount val="1"/>
                <c:pt idx="0">
                  <c:v>Chile</c:v>
                </c:pt>
              </c:strCache>
            </c:strRef>
          </c:tx>
          <c:spPr>
            <a:ln w="15875" cap="rnd">
              <a:solidFill>
                <a:schemeClr val="bg1"/>
              </a:solidFill>
              <a:prstDash val="dash"/>
              <a:round/>
            </a:ln>
            <a:effectLst/>
          </c:spPr>
          <c:marker>
            <c:symbol val="none"/>
          </c:marker>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E4-42C2-833C-A3EFCB7EB6E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Graficos!$N$38:$Q$38</c:f>
              <c:numCache>
                <c:formatCode>General</c:formatCode>
                <c:ptCount val="4"/>
                <c:pt idx="0">
                  <c:v>2020</c:v>
                </c:pt>
                <c:pt idx="1">
                  <c:v>2030</c:v>
                </c:pt>
                <c:pt idx="2">
                  <c:v>2040</c:v>
                </c:pt>
                <c:pt idx="3">
                  <c:v>2050</c:v>
                </c:pt>
              </c:numCache>
            </c:numRef>
          </c:cat>
          <c:val>
            <c:numRef>
              <c:f>Graficos!$N$42:$Q$42</c:f>
              <c:numCache>
                <c:formatCode>_(* #,##0_);_(* \(#,##0\);_(* "-"_);_(@_)</c:formatCode>
                <c:ptCount val="4"/>
                <c:pt idx="0">
                  <c:v>16</c:v>
                </c:pt>
                <c:pt idx="1">
                  <c:v>37</c:v>
                </c:pt>
                <c:pt idx="2">
                  <c:v>62.5</c:v>
                </c:pt>
                <c:pt idx="3">
                  <c:v>88</c:v>
                </c:pt>
              </c:numCache>
            </c:numRef>
          </c:val>
          <c:smooth val="0"/>
          <c:extLst>
            <c:ext xmlns:c16="http://schemas.microsoft.com/office/drawing/2014/chart" uri="{C3380CC4-5D6E-409C-BE32-E72D297353CC}">
              <c16:uniqueId val="{00000007-02E4-42C2-833C-A3EFCB7EB6E9}"/>
            </c:ext>
          </c:extLst>
        </c:ser>
        <c:ser>
          <c:idx val="5"/>
          <c:order val="5"/>
          <c:tx>
            <c:strRef>
              <c:f>Graficos!$M$43</c:f>
              <c:strCache>
                <c:ptCount val="1"/>
                <c:pt idx="0">
                  <c:v>Argentina</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Graficos!$N$38:$Q$38</c:f>
              <c:numCache>
                <c:formatCode>General</c:formatCode>
                <c:ptCount val="4"/>
                <c:pt idx="0">
                  <c:v>2020</c:v>
                </c:pt>
                <c:pt idx="1">
                  <c:v>2030</c:v>
                </c:pt>
                <c:pt idx="2">
                  <c:v>2040</c:v>
                </c:pt>
                <c:pt idx="3">
                  <c:v>2050</c:v>
                </c:pt>
              </c:numCache>
            </c:numRef>
          </c:cat>
          <c:val>
            <c:numRef>
              <c:f>Graficos!$N$43:$Q$43</c:f>
              <c:numCache>
                <c:formatCode>_(* #,##0_);_(* \(#,##0\);_(* "-"_);_(@_)</c:formatCode>
                <c:ptCount val="4"/>
                <c:pt idx="0">
                  <c:v>7</c:v>
                </c:pt>
                <c:pt idx="1">
                  <c:v>10</c:v>
                </c:pt>
                <c:pt idx="2">
                  <c:v>14</c:v>
                </c:pt>
                <c:pt idx="3">
                  <c:v>18</c:v>
                </c:pt>
              </c:numCache>
            </c:numRef>
          </c:val>
          <c:smooth val="0"/>
          <c:extLst>
            <c:ext xmlns:c16="http://schemas.microsoft.com/office/drawing/2014/chart" uri="{C3380CC4-5D6E-409C-BE32-E72D297353CC}">
              <c16:uniqueId val="{00000008-02E4-42C2-833C-A3EFCB7EB6E9}"/>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Graficos!$V$38</c:f>
              <c:strCache>
                <c:ptCount val="1"/>
                <c:pt idx="0">
                  <c:v>% Cemento Sacos</c:v>
                </c:pt>
              </c:strCache>
            </c:strRef>
          </c:tx>
          <c:spPr>
            <a:ln w="28575" cap="rnd">
              <a:solidFill>
                <a:schemeClr val="accent2">
                  <a:tint val="54000"/>
                </a:schemeClr>
              </a:solidFill>
              <a:round/>
            </a:ln>
            <a:effectLst/>
          </c:spPr>
          <c:marker>
            <c:symbol val="circle"/>
            <c:size val="5"/>
            <c:spPr>
              <a:solidFill>
                <a:schemeClr val="bg1"/>
              </a:solidFill>
              <a:ln w="9525">
                <a:solidFill>
                  <a:schemeClr val="accent2">
                    <a:tint val="58000"/>
                  </a:schemeClr>
                </a:solidFill>
              </a:ln>
              <a:effectLst/>
            </c:spPr>
          </c:marker>
          <c:cat>
            <c:numRef>
              <c:f>Graficos!$W$38:$Z$38</c:f>
              <c:numCache>
                <c:formatCode>General</c:formatCode>
                <c:ptCount val="4"/>
                <c:pt idx="0">
                  <c:v>2020</c:v>
                </c:pt>
                <c:pt idx="1">
                  <c:v>2030</c:v>
                </c:pt>
                <c:pt idx="2">
                  <c:v>2040</c:v>
                </c:pt>
                <c:pt idx="3">
                  <c:v>2050</c:v>
                </c:pt>
              </c:numCache>
            </c:numRef>
          </c:cat>
          <c:val>
            <c:numRef>
              <c:f>Graficos!$W$38:$Z$38</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86D8-4E26-A536-7CA6673F7EAE}"/>
            </c:ext>
          </c:extLst>
        </c:ser>
        <c:ser>
          <c:idx val="1"/>
          <c:order val="1"/>
          <c:tx>
            <c:strRef>
              <c:f>Graficos!$V$39</c:f>
              <c:strCache>
                <c:ptCount val="1"/>
                <c:pt idx="0">
                  <c:v>FICEM</c:v>
                </c:pt>
              </c:strCache>
            </c:strRef>
          </c:tx>
          <c:spPr>
            <a:ln w="28575" cap="rnd">
              <a:solidFill>
                <a:srgbClr val="92D050"/>
              </a:solidFill>
              <a:round/>
            </a:ln>
            <a:effectLst/>
          </c:spPr>
          <c:marker>
            <c:symbol val="circle"/>
            <c:size val="5"/>
            <c:spPr>
              <a:solidFill>
                <a:schemeClr val="bg1"/>
              </a:solidFill>
              <a:ln w="9525">
                <a:solidFill>
                  <a:srgbClr val="92D050"/>
                </a:solidFill>
              </a:ln>
              <a:effectLst/>
            </c:spPr>
          </c:marker>
          <c:dLbls>
            <c:dLbl>
              <c:idx val="0"/>
              <c:layout>
                <c:manualLayout>
                  <c:x val="-8.4623009048156853E-2"/>
                  <c:y val="1.9217763601426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D8-4E26-A536-7CA6673F7EAE}"/>
                </c:ext>
              </c:extLst>
            </c:dLbl>
            <c:dLbl>
              <c:idx val="3"/>
              <c:layout>
                <c:manualLayout>
                  <c:x val="1.080442235596704E-2"/>
                  <c:y val="5.723784625470363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D8-4E26-A536-7CA6673F7EA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Graficos!$W$38:$Z$38</c:f>
              <c:numCache>
                <c:formatCode>General</c:formatCode>
                <c:ptCount val="4"/>
                <c:pt idx="0">
                  <c:v>2020</c:v>
                </c:pt>
                <c:pt idx="1">
                  <c:v>2030</c:v>
                </c:pt>
                <c:pt idx="2">
                  <c:v>2040</c:v>
                </c:pt>
                <c:pt idx="3">
                  <c:v>2050</c:v>
                </c:pt>
              </c:numCache>
            </c:numRef>
          </c:cat>
          <c:val>
            <c:numRef>
              <c:f>Graficos!$W$39:$Z$39</c:f>
              <c:numCache>
                <c:formatCode>_(* #,##0_);_(* \(#,##0\);_(* "-"_);_(@_)</c:formatCode>
                <c:ptCount val="4"/>
                <c:pt idx="0">
                  <c:v>64</c:v>
                </c:pt>
                <c:pt idx="1">
                  <c:v>59</c:v>
                </c:pt>
                <c:pt idx="2">
                  <c:v>49.5</c:v>
                </c:pt>
                <c:pt idx="3">
                  <c:v>40</c:v>
                </c:pt>
              </c:numCache>
            </c:numRef>
          </c:val>
          <c:smooth val="0"/>
          <c:extLst>
            <c:ext xmlns:c16="http://schemas.microsoft.com/office/drawing/2014/chart" uri="{C3380CC4-5D6E-409C-BE32-E72D297353CC}">
              <c16:uniqueId val="{00000003-86D8-4E26-A536-7CA6673F7EAE}"/>
            </c:ext>
          </c:extLst>
        </c:ser>
        <c:ser>
          <c:idx val="2"/>
          <c:order val="2"/>
          <c:tx>
            <c:strRef>
              <c:f>Graficos!$V$40</c:f>
              <c:strCache>
                <c:ptCount val="1"/>
                <c:pt idx="0">
                  <c:v>Perú</c:v>
                </c:pt>
              </c:strCache>
            </c:strRef>
          </c:tx>
          <c:spPr>
            <a:ln w="28575" cap="rnd">
              <a:solidFill>
                <a:srgbClr val="00B0F0"/>
              </a:solidFill>
              <a:round/>
            </a:ln>
            <a:effectLst/>
          </c:spPr>
          <c:marker>
            <c:symbol val="circle"/>
            <c:size val="5"/>
            <c:spPr>
              <a:solidFill>
                <a:schemeClr val="bg1"/>
              </a:solidFill>
              <a:ln w="9525">
                <a:solidFill>
                  <a:srgbClr val="00B0F0"/>
                </a:solidFill>
              </a:ln>
              <a:effectLst/>
            </c:spPr>
          </c:marker>
          <c:dLbls>
            <c:dLbl>
              <c:idx val="0"/>
              <c:layout>
                <c:manualLayout>
                  <c:x val="-6.5738897189507692E-2"/>
                  <c:y val="-2.710350534838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D8-4E26-A536-7CA6673F7EAE}"/>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D8-4E26-A536-7CA6673F7EA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Graficos!$W$38:$Z$38</c:f>
              <c:numCache>
                <c:formatCode>General</c:formatCode>
                <c:ptCount val="4"/>
                <c:pt idx="0">
                  <c:v>2020</c:v>
                </c:pt>
                <c:pt idx="1">
                  <c:v>2030</c:v>
                </c:pt>
                <c:pt idx="2">
                  <c:v>2040</c:v>
                </c:pt>
                <c:pt idx="3">
                  <c:v>2050</c:v>
                </c:pt>
              </c:numCache>
            </c:numRef>
          </c:cat>
          <c:val>
            <c:numRef>
              <c:f>Graficos!$W$40:$Z$40</c:f>
              <c:numCache>
                <c:formatCode>_(* #,##0_);_(* \(#,##0\);_(* "-"_);_(@_)</c:formatCode>
                <c:ptCount val="4"/>
                <c:pt idx="0">
                  <c:v>78.099999999999994</c:v>
                </c:pt>
                <c:pt idx="1">
                  <c:v>75</c:v>
                </c:pt>
                <c:pt idx="2">
                  <c:v>72.5</c:v>
                </c:pt>
                <c:pt idx="3">
                  <c:v>70</c:v>
                </c:pt>
              </c:numCache>
            </c:numRef>
          </c:val>
          <c:smooth val="0"/>
          <c:extLst>
            <c:ext xmlns:c16="http://schemas.microsoft.com/office/drawing/2014/chart" uri="{C3380CC4-5D6E-409C-BE32-E72D297353CC}">
              <c16:uniqueId val="{00000006-86D8-4E26-A536-7CA6673F7EAE}"/>
            </c:ext>
          </c:extLst>
        </c:ser>
        <c:ser>
          <c:idx val="3"/>
          <c:order val="3"/>
          <c:tx>
            <c:strRef>
              <c:f>Graficos!$V$41</c:f>
              <c:strCache>
                <c:ptCount val="1"/>
                <c:pt idx="0">
                  <c:v>Colombia</c:v>
                </c:pt>
              </c:strCache>
            </c:strRef>
          </c:tx>
          <c:spPr>
            <a:ln w="15875" cap="rnd">
              <a:solidFill>
                <a:schemeClr val="bg1"/>
              </a:solidFill>
              <a:prstDash val="dashDot"/>
              <a:round/>
            </a:ln>
            <a:effectLst/>
          </c:spPr>
          <c:marker>
            <c:symbol val="none"/>
          </c:marker>
          <c:dLbls>
            <c:dLbl>
              <c:idx val="0"/>
              <c:layout>
                <c:manualLayout>
                  <c:x val="-7.8462554710057572E-2"/>
                  <c:y val="2.24899649599262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D8-4E26-A536-7CA6673F7EAE}"/>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D8-4E26-A536-7CA6673F7EA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Graficos!$W$38:$Z$38</c:f>
              <c:numCache>
                <c:formatCode>General</c:formatCode>
                <c:ptCount val="4"/>
                <c:pt idx="0">
                  <c:v>2020</c:v>
                </c:pt>
                <c:pt idx="1">
                  <c:v>2030</c:v>
                </c:pt>
                <c:pt idx="2">
                  <c:v>2040</c:v>
                </c:pt>
                <c:pt idx="3">
                  <c:v>2050</c:v>
                </c:pt>
              </c:numCache>
            </c:numRef>
          </c:cat>
          <c:val>
            <c:numRef>
              <c:f>Graficos!$W$41:$Z$41</c:f>
              <c:numCache>
                <c:formatCode>_(* #,##0_);_(* \(#,##0\);_(* "-"_);_(@_)</c:formatCode>
                <c:ptCount val="4"/>
                <c:pt idx="0">
                  <c:v>69</c:v>
                </c:pt>
                <c:pt idx="1">
                  <c:v>64</c:v>
                </c:pt>
                <c:pt idx="2">
                  <c:v>57</c:v>
                </c:pt>
                <c:pt idx="3">
                  <c:v>50</c:v>
                </c:pt>
              </c:numCache>
            </c:numRef>
          </c:val>
          <c:smooth val="0"/>
          <c:extLst>
            <c:ext xmlns:c16="http://schemas.microsoft.com/office/drawing/2014/chart" uri="{C3380CC4-5D6E-409C-BE32-E72D297353CC}">
              <c16:uniqueId val="{00000009-86D8-4E26-A536-7CA6673F7EAE}"/>
            </c:ext>
          </c:extLst>
        </c:ser>
        <c:ser>
          <c:idx val="4"/>
          <c:order val="4"/>
          <c:tx>
            <c:strRef>
              <c:f>Graficos!$V$42</c:f>
              <c:strCache>
                <c:ptCount val="1"/>
                <c:pt idx="0">
                  <c:v>Chile</c:v>
                </c:pt>
              </c:strCache>
            </c:strRef>
          </c:tx>
          <c:spPr>
            <a:ln w="15875" cap="rnd">
              <a:solidFill>
                <a:schemeClr val="bg1"/>
              </a:solidFill>
              <a:prstDash val="dash"/>
              <a:round/>
            </a:ln>
            <a:effectLst/>
          </c:spPr>
          <c:marker>
            <c:symbol val="none"/>
          </c:marker>
          <c:dLbls>
            <c:dLbl>
              <c:idx val="0"/>
              <c:layout>
                <c:manualLayout>
                  <c:x val="-9.1186212230607466E-2"/>
                  <c:y val="1.799197196794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D8-4E26-A536-7CA6673F7EAE}"/>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D8-4E26-A536-7CA6673F7EA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Graficos!$W$38:$Z$38</c:f>
              <c:numCache>
                <c:formatCode>General</c:formatCode>
                <c:ptCount val="4"/>
                <c:pt idx="0">
                  <c:v>2020</c:v>
                </c:pt>
                <c:pt idx="1">
                  <c:v>2030</c:v>
                </c:pt>
                <c:pt idx="2">
                  <c:v>2040</c:v>
                </c:pt>
                <c:pt idx="3">
                  <c:v>2050</c:v>
                </c:pt>
              </c:numCache>
            </c:numRef>
          </c:cat>
          <c:val>
            <c:numRef>
              <c:f>Graficos!$W$42:$Z$42</c:f>
              <c:numCache>
                <c:formatCode>_(* #,##0_);_(* \(#,##0\);_(* "-"_);_(@_)</c:formatCode>
                <c:ptCount val="4"/>
                <c:pt idx="0">
                  <c:v>30</c:v>
                </c:pt>
                <c:pt idx="1">
                  <c:v>25</c:v>
                </c:pt>
                <c:pt idx="2">
                  <c:v>17.5</c:v>
                </c:pt>
                <c:pt idx="3">
                  <c:v>10</c:v>
                </c:pt>
              </c:numCache>
            </c:numRef>
          </c:val>
          <c:smooth val="0"/>
          <c:extLst>
            <c:ext xmlns:c16="http://schemas.microsoft.com/office/drawing/2014/chart" uri="{C3380CC4-5D6E-409C-BE32-E72D297353CC}">
              <c16:uniqueId val="{0000000C-86D8-4E26-A536-7CA6673F7EAE}"/>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Graficos!$AF$38</c:f>
              <c:strCache>
                <c:ptCount val="1"/>
                <c:pt idx="0">
                  <c:v>Eficiencia Térmica</c:v>
                </c:pt>
              </c:strCache>
            </c:strRef>
          </c:tx>
          <c:spPr>
            <a:ln w="28575" cap="rnd">
              <a:solidFill>
                <a:schemeClr val="accent2">
                  <a:tint val="50000"/>
                </a:schemeClr>
              </a:solidFill>
              <a:round/>
            </a:ln>
            <a:effectLst/>
          </c:spPr>
          <c:marker>
            <c:symbol val="circle"/>
            <c:size val="5"/>
            <c:spPr>
              <a:solidFill>
                <a:schemeClr val="bg1"/>
              </a:solidFill>
              <a:ln w="9525">
                <a:solidFill>
                  <a:schemeClr val="accent2">
                    <a:tint val="58000"/>
                  </a:schemeClr>
                </a:solidFill>
              </a:ln>
              <a:effectLst/>
            </c:spPr>
          </c:marker>
          <c:cat>
            <c:numRef>
              <c:f>Graficos!$AG$38:$AJ$38</c:f>
              <c:numCache>
                <c:formatCode>General</c:formatCode>
                <c:ptCount val="4"/>
                <c:pt idx="0">
                  <c:v>2020</c:v>
                </c:pt>
                <c:pt idx="1">
                  <c:v>2030</c:v>
                </c:pt>
                <c:pt idx="2">
                  <c:v>2040</c:v>
                </c:pt>
                <c:pt idx="3">
                  <c:v>2050</c:v>
                </c:pt>
              </c:numCache>
            </c:numRef>
          </c:cat>
          <c:val>
            <c:numRef>
              <c:f>Graficos!$AG$38:$AJ$38</c:f>
              <c:numCache>
                <c:formatCode>General</c:formatCode>
                <c:ptCount val="4"/>
                <c:pt idx="0">
                  <c:v>2020</c:v>
                </c:pt>
                <c:pt idx="1">
                  <c:v>2030</c:v>
                </c:pt>
                <c:pt idx="2">
                  <c:v>2040</c:v>
                </c:pt>
                <c:pt idx="3">
                  <c:v>2050</c:v>
                </c:pt>
              </c:numCache>
            </c:numRef>
          </c:val>
          <c:smooth val="0"/>
          <c:extLst>
            <c:ext xmlns:c16="http://schemas.microsoft.com/office/drawing/2014/chart" uri="{C3380CC4-5D6E-409C-BE32-E72D297353CC}">
              <c16:uniqueId val="{00000000-8BAE-4964-8A1F-4F7B51E18913}"/>
            </c:ext>
          </c:extLst>
        </c:ser>
        <c:ser>
          <c:idx val="1"/>
          <c:order val="1"/>
          <c:tx>
            <c:strRef>
              <c:f>Graficos!$AF$39</c:f>
              <c:strCache>
                <c:ptCount val="1"/>
                <c:pt idx="0">
                  <c:v>FICEM</c:v>
                </c:pt>
              </c:strCache>
            </c:strRef>
          </c:tx>
          <c:spPr>
            <a:ln w="28575" cap="rnd">
              <a:solidFill>
                <a:srgbClr val="92D050"/>
              </a:solidFill>
              <a:round/>
            </a:ln>
            <a:effectLst/>
          </c:spPr>
          <c:marker>
            <c:symbol val="circle"/>
            <c:size val="5"/>
            <c:spPr>
              <a:solidFill>
                <a:schemeClr val="bg1"/>
              </a:solidFill>
              <a:ln w="9525">
                <a:solidFill>
                  <a:srgbClr val="92D050"/>
                </a:solidFill>
              </a:ln>
              <a:effectLst/>
            </c:spPr>
          </c:marker>
          <c:dLbls>
            <c:dLbl>
              <c:idx val="0"/>
              <c:layout>
                <c:manualLayout>
                  <c:x val="-8.6367085200416013E-2"/>
                  <c:y val="-1.225614547146846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AE-4964-8A1F-4F7B51E18913}"/>
                </c:ext>
              </c:extLst>
            </c:dLbl>
            <c:dLbl>
              <c:idx val="3"/>
              <c:layout>
                <c:manualLayout>
                  <c:x val="4.8191270301914694E-3"/>
                  <c:y val="-1.201961484437195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AE-4964-8A1F-4F7B51E1891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Graficos!$AG$38:$AJ$38</c:f>
              <c:numCache>
                <c:formatCode>General</c:formatCode>
                <c:ptCount val="4"/>
                <c:pt idx="0">
                  <c:v>2020</c:v>
                </c:pt>
                <c:pt idx="1">
                  <c:v>2030</c:v>
                </c:pt>
                <c:pt idx="2">
                  <c:v>2040</c:v>
                </c:pt>
                <c:pt idx="3">
                  <c:v>2050</c:v>
                </c:pt>
              </c:numCache>
            </c:numRef>
          </c:cat>
          <c:val>
            <c:numRef>
              <c:f>Graficos!$AG$39:$AJ$39</c:f>
              <c:numCache>
                <c:formatCode>_ * #,##0.0_ ;_ * \-#,##0.0_ ;_ * "-"_ ;_ @_ </c:formatCode>
                <c:ptCount val="4"/>
                <c:pt idx="0">
                  <c:v>3.6</c:v>
                </c:pt>
                <c:pt idx="1">
                  <c:v>3.5</c:v>
                </c:pt>
                <c:pt idx="2">
                  <c:v>3.45</c:v>
                </c:pt>
                <c:pt idx="3">
                  <c:v>3.4</c:v>
                </c:pt>
              </c:numCache>
            </c:numRef>
          </c:val>
          <c:smooth val="0"/>
          <c:extLst>
            <c:ext xmlns:c16="http://schemas.microsoft.com/office/drawing/2014/chart" uri="{C3380CC4-5D6E-409C-BE32-E72D297353CC}">
              <c16:uniqueId val="{00000003-8BAE-4964-8A1F-4F7B51E18913}"/>
            </c:ext>
          </c:extLst>
        </c:ser>
        <c:ser>
          <c:idx val="2"/>
          <c:order val="2"/>
          <c:tx>
            <c:strRef>
              <c:f>Graficos!$AF$40</c:f>
              <c:strCache>
                <c:ptCount val="1"/>
                <c:pt idx="0">
                  <c:v>Perú</c:v>
                </c:pt>
              </c:strCache>
            </c:strRef>
          </c:tx>
          <c:spPr>
            <a:ln w="28575" cap="rnd">
              <a:solidFill>
                <a:schemeClr val="bg1"/>
              </a:solidFill>
              <a:prstDash val="sysDash"/>
              <a:round/>
            </a:ln>
            <a:effectLst/>
          </c:spPr>
          <c:marker>
            <c:symbol val="none"/>
          </c:marker>
          <c:cat>
            <c:numRef>
              <c:f>Graficos!$AG$38:$AJ$38</c:f>
              <c:numCache>
                <c:formatCode>General</c:formatCode>
                <c:ptCount val="4"/>
                <c:pt idx="0">
                  <c:v>2020</c:v>
                </c:pt>
                <c:pt idx="1">
                  <c:v>2030</c:v>
                </c:pt>
                <c:pt idx="2">
                  <c:v>2040</c:v>
                </c:pt>
                <c:pt idx="3">
                  <c:v>2050</c:v>
                </c:pt>
              </c:numCache>
            </c:numRef>
          </c:cat>
          <c:val>
            <c:numRef>
              <c:f>Graficos!$AG$40:$AJ$40</c:f>
              <c:numCache>
                <c:formatCode>_ * #,##0.0_ ;_ * \-#,##0.0_ ;_ * "-"_ ;_ @_ </c:formatCode>
                <c:ptCount val="4"/>
                <c:pt idx="0">
                  <c:v>3.4</c:v>
                </c:pt>
                <c:pt idx="1">
                  <c:v>3.2</c:v>
                </c:pt>
                <c:pt idx="2">
                  <c:v>3.1500000000000004</c:v>
                </c:pt>
                <c:pt idx="3">
                  <c:v>3.1</c:v>
                </c:pt>
              </c:numCache>
            </c:numRef>
          </c:val>
          <c:smooth val="0"/>
          <c:extLst>
            <c:ext xmlns:c16="http://schemas.microsoft.com/office/drawing/2014/chart" uri="{C3380CC4-5D6E-409C-BE32-E72D297353CC}">
              <c16:uniqueId val="{00000004-8BAE-4964-8A1F-4F7B51E18913}"/>
            </c:ext>
          </c:extLst>
        </c:ser>
        <c:ser>
          <c:idx val="3"/>
          <c:order val="3"/>
          <c:tx>
            <c:strRef>
              <c:f>Graficos!$AF$41</c:f>
              <c:strCache>
                <c:ptCount val="1"/>
                <c:pt idx="0">
                  <c:v>Colombia</c:v>
                </c:pt>
              </c:strCache>
            </c:strRef>
          </c:tx>
          <c:spPr>
            <a:ln w="15875" cap="rnd">
              <a:solidFill>
                <a:schemeClr val="bg1"/>
              </a:solidFill>
              <a:prstDash val="dashDot"/>
              <a:round/>
            </a:ln>
            <a:effectLst/>
          </c:spPr>
          <c:marker>
            <c:symbol val="none"/>
          </c:marker>
          <c:dLbls>
            <c:dLbl>
              <c:idx val="0"/>
              <c:layout>
                <c:manualLayout>
                  <c:x val="-7.8462554710057586E-2"/>
                  <c:y val="-4.49799299198524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AE-4964-8A1F-4F7B51E18913}"/>
                </c:ext>
              </c:extLst>
            </c:dLbl>
            <c:dLbl>
              <c:idx val="3"/>
              <c:layout>
                <c:manualLayout>
                  <c:x val="2.1206095867583128E-3"/>
                  <c:y val="-1.32335594732140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AE-4964-8A1F-4F7B51E1891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Graficos!$AG$38:$AJ$38</c:f>
              <c:numCache>
                <c:formatCode>General</c:formatCode>
                <c:ptCount val="4"/>
                <c:pt idx="0">
                  <c:v>2020</c:v>
                </c:pt>
                <c:pt idx="1">
                  <c:v>2030</c:v>
                </c:pt>
                <c:pt idx="2">
                  <c:v>2040</c:v>
                </c:pt>
                <c:pt idx="3">
                  <c:v>2050</c:v>
                </c:pt>
              </c:numCache>
            </c:numRef>
          </c:cat>
          <c:val>
            <c:numRef>
              <c:f>Graficos!$AG$41:$AJ$41</c:f>
              <c:numCache>
                <c:formatCode>_ * #,##0.0_ ;_ * \-#,##0.0_ ;_ * "-"_ ;_ @_ </c:formatCode>
                <c:ptCount val="4"/>
                <c:pt idx="0">
                  <c:v>4.0999999999999996</c:v>
                </c:pt>
                <c:pt idx="1">
                  <c:v>3.8</c:v>
                </c:pt>
                <c:pt idx="2">
                  <c:v>3.65</c:v>
                </c:pt>
                <c:pt idx="3">
                  <c:v>3.5</c:v>
                </c:pt>
              </c:numCache>
            </c:numRef>
          </c:val>
          <c:smooth val="0"/>
          <c:extLst>
            <c:ext xmlns:c16="http://schemas.microsoft.com/office/drawing/2014/chart" uri="{C3380CC4-5D6E-409C-BE32-E72D297353CC}">
              <c16:uniqueId val="{00000007-8BAE-4964-8A1F-4F7B51E18913}"/>
            </c:ext>
          </c:extLst>
        </c:ser>
        <c:ser>
          <c:idx val="4"/>
          <c:order val="4"/>
          <c:tx>
            <c:strRef>
              <c:f>Graficos!$AF$42</c:f>
              <c:strCache>
                <c:ptCount val="1"/>
                <c:pt idx="0">
                  <c:v>Chile</c:v>
                </c:pt>
              </c:strCache>
            </c:strRef>
          </c:tx>
          <c:spPr>
            <a:ln w="22225" cap="rnd">
              <a:solidFill>
                <a:schemeClr val="bg1"/>
              </a:solidFill>
              <a:prstDash val="dash"/>
              <a:round/>
            </a:ln>
            <a:effectLst/>
          </c:spPr>
          <c:marker>
            <c:symbol val="none"/>
          </c:marker>
          <c:dLbls>
            <c:dLbl>
              <c:idx val="0"/>
              <c:layout>
                <c:manualLayout>
                  <c:x val="-8.694499305709083E-2"/>
                  <c:y val="-4.49799299198524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AE-4964-8A1F-4F7B51E18913}"/>
                </c:ext>
              </c:extLst>
            </c:dLbl>
            <c:dLbl>
              <c:idx val="3"/>
              <c:layout>
                <c:manualLayout>
                  <c:x val="-4.2412191735166256E-3"/>
                  <c:y val="1.5439152718749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AE-4964-8A1F-4F7B51E1891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Graficos!$AG$38:$AJ$38</c:f>
              <c:numCache>
                <c:formatCode>General</c:formatCode>
                <c:ptCount val="4"/>
                <c:pt idx="0">
                  <c:v>2020</c:v>
                </c:pt>
                <c:pt idx="1">
                  <c:v>2030</c:v>
                </c:pt>
                <c:pt idx="2">
                  <c:v>2040</c:v>
                </c:pt>
                <c:pt idx="3">
                  <c:v>2050</c:v>
                </c:pt>
              </c:numCache>
            </c:numRef>
          </c:cat>
          <c:val>
            <c:numRef>
              <c:f>Graficos!$AG$42:$AJ$42</c:f>
              <c:numCache>
                <c:formatCode>_ * #,##0.0_ ;_ * \-#,##0.0_ ;_ * "-"_ ;_ @_ </c:formatCode>
                <c:ptCount val="4"/>
                <c:pt idx="0">
                  <c:v>3.9</c:v>
                </c:pt>
                <c:pt idx="1">
                  <c:v>3.5</c:v>
                </c:pt>
                <c:pt idx="2">
                  <c:v>3.4</c:v>
                </c:pt>
                <c:pt idx="3">
                  <c:v>3.3</c:v>
                </c:pt>
              </c:numCache>
            </c:numRef>
          </c:val>
          <c:smooth val="0"/>
          <c:extLst>
            <c:ext xmlns:c16="http://schemas.microsoft.com/office/drawing/2014/chart" uri="{C3380CC4-5D6E-409C-BE32-E72D297353CC}">
              <c16:uniqueId val="{0000000A-8BAE-4964-8A1F-4F7B51E18913}"/>
            </c:ext>
          </c:extLst>
        </c:ser>
        <c:ser>
          <c:idx val="5"/>
          <c:order val="5"/>
          <c:tx>
            <c:strRef>
              <c:f>Graficos!$AF$43</c:f>
              <c:strCache>
                <c:ptCount val="1"/>
                <c:pt idx="0">
                  <c:v>Argentina</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Graficos!$AG$38:$AJ$38</c:f>
              <c:numCache>
                <c:formatCode>General</c:formatCode>
                <c:ptCount val="4"/>
                <c:pt idx="0">
                  <c:v>2020</c:v>
                </c:pt>
                <c:pt idx="1">
                  <c:v>2030</c:v>
                </c:pt>
                <c:pt idx="2">
                  <c:v>2040</c:v>
                </c:pt>
                <c:pt idx="3">
                  <c:v>2050</c:v>
                </c:pt>
              </c:numCache>
            </c:numRef>
          </c:cat>
          <c:val>
            <c:numRef>
              <c:f>Graficos!$AG$43:$AJ$43</c:f>
              <c:numCache>
                <c:formatCode>_ * #,##0.0_ ;_ * \-#,##0.0_ ;_ * "-"_ ;_ @_ </c:formatCode>
                <c:ptCount val="4"/>
                <c:pt idx="0">
                  <c:v>3.42</c:v>
                </c:pt>
                <c:pt idx="1">
                  <c:v>3.4</c:v>
                </c:pt>
                <c:pt idx="2">
                  <c:v>3.3499999999999996</c:v>
                </c:pt>
                <c:pt idx="3">
                  <c:v>3.3</c:v>
                </c:pt>
              </c:numCache>
            </c:numRef>
          </c:val>
          <c:smooth val="0"/>
          <c:extLst>
            <c:ext xmlns:c16="http://schemas.microsoft.com/office/drawing/2014/chart" uri="{C3380CC4-5D6E-409C-BE32-E72D297353CC}">
              <c16:uniqueId val="{0000000B-8BAE-4964-8A1F-4F7B51E18913}"/>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4.5"/>
          <c:min val="2"/>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GJ /</a:t>
                </a:r>
                <a:r>
                  <a:rPr lang="es-CL" baseline="0"/>
                  <a:t> tCk</a:t>
                </a:r>
                <a:endParaRPr lang="es-CL"/>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3010323862167725"/>
          <c:y val="2.9532875414845203E-2"/>
          <c:w val="0.84232883675046466"/>
          <c:h val="0.83687198946978614"/>
        </c:manualLayout>
      </c:layout>
      <c:lineChart>
        <c:grouping val="standard"/>
        <c:varyColors val="0"/>
        <c:ser>
          <c:idx val="1"/>
          <c:order val="0"/>
          <c:tx>
            <c:strRef>
              <c:f>Graficos!$AN$38</c:f>
              <c:strCache>
                <c:ptCount val="1"/>
                <c:pt idx="0">
                  <c:v>Aumento Demanda</c:v>
                </c:pt>
              </c:strCache>
            </c:strRef>
          </c:tx>
          <c:spPr>
            <a:ln w="28575" cap="rnd">
              <a:solidFill>
                <a:schemeClr val="accent2">
                  <a:tint val="70000"/>
                </a:schemeClr>
              </a:solidFill>
              <a:round/>
            </a:ln>
            <a:effectLst/>
          </c:spPr>
          <c:marker>
            <c:symbol val="circle"/>
            <c:size val="5"/>
            <c:spPr>
              <a:solidFill>
                <a:schemeClr val="bg1"/>
              </a:solidFill>
              <a:ln w="9525">
                <a:solidFill>
                  <a:srgbClr val="92D050"/>
                </a:solidFill>
              </a:ln>
              <a:effectLst/>
            </c:spPr>
          </c:marker>
          <c:cat>
            <c:numRef>
              <c:f>Graficos!$AO$38:$AQ$38</c:f>
              <c:numCache>
                <c:formatCode>General</c:formatCode>
                <c:ptCount val="3"/>
                <c:pt idx="0">
                  <c:v>2030</c:v>
                </c:pt>
                <c:pt idx="1">
                  <c:v>2040</c:v>
                </c:pt>
                <c:pt idx="2">
                  <c:v>2050</c:v>
                </c:pt>
              </c:numCache>
            </c:numRef>
          </c:cat>
          <c:val>
            <c:numRef>
              <c:f>Graficos!$AO$38:$AQ$38</c:f>
              <c:numCache>
                <c:formatCode>General</c:formatCode>
                <c:ptCount val="3"/>
                <c:pt idx="0">
                  <c:v>2030</c:v>
                </c:pt>
                <c:pt idx="1">
                  <c:v>2040</c:v>
                </c:pt>
                <c:pt idx="2">
                  <c:v>2050</c:v>
                </c:pt>
              </c:numCache>
            </c:numRef>
          </c:val>
          <c:smooth val="0"/>
          <c:extLst>
            <c:ext xmlns:c16="http://schemas.microsoft.com/office/drawing/2014/chart" uri="{C3380CC4-5D6E-409C-BE32-E72D297353CC}">
              <c16:uniqueId val="{00000000-C9B7-4483-8594-BFF24A0BEC5B}"/>
            </c:ext>
          </c:extLst>
        </c:ser>
        <c:ser>
          <c:idx val="2"/>
          <c:order val="1"/>
          <c:tx>
            <c:strRef>
              <c:f>Graficos!$AN$39</c:f>
              <c:strCache>
                <c:ptCount val="1"/>
                <c:pt idx="0">
                  <c:v>FICEM</c:v>
                </c:pt>
              </c:strCache>
            </c:strRef>
          </c:tx>
          <c:spPr>
            <a:ln w="28575" cap="rnd">
              <a:solidFill>
                <a:srgbClr val="92D050"/>
              </a:solidFill>
              <a:round/>
            </a:ln>
            <a:effectLst/>
          </c:spPr>
          <c:marker>
            <c:symbol val="circle"/>
            <c:size val="5"/>
            <c:spPr>
              <a:solidFill>
                <a:schemeClr val="bg1"/>
              </a:solidFill>
              <a:ln w="9525">
                <a:solidFill>
                  <a:srgbClr val="92D050"/>
                </a:solidFill>
              </a:ln>
              <a:effectLst/>
            </c:spPr>
          </c:marker>
          <c:dLbls>
            <c:dLbl>
              <c:idx val="1"/>
              <c:layout>
                <c:manualLayout>
                  <c:x val="8.4388678617645738E-3"/>
                  <c:y val="-7.390835337914794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B7-4483-8594-BFF24A0BEC5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2D05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Graficos!$AO$38:$AQ$38</c:f>
              <c:numCache>
                <c:formatCode>General</c:formatCode>
                <c:ptCount val="3"/>
                <c:pt idx="0">
                  <c:v>2030</c:v>
                </c:pt>
                <c:pt idx="1">
                  <c:v>2040</c:v>
                </c:pt>
                <c:pt idx="2">
                  <c:v>2050</c:v>
                </c:pt>
              </c:numCache>
            </c:numRef>
          </c:cat>
          <c:val>
            <c:numRef>
              <c:f>Graficos!$AO$39:$AQ$39</c:f>
              <c:numCache>
                <c:formatCode>_(* #,##0_);_(* \(#,##0\);_(* "-"_);_(@_)</c:formatCode>
                <c:ptCount val="3"/>
                <c:pt idx="0">
                  <c:v>20</c:v>
                </c:pt>
                <c:pt idx="1">
                  <c:v>45</c:v>
                </c:pt>
                <c:pt idx="2">
                  <c:v>70</c:v>
                </c:pt>
              </c:numCache>
            </c:numRef>
          </c:val>
          <c:smooth val="0"/>
          <c:extLst>
            <c:ext xmlns:c16="http://schemas.microsoft.com/office/drawing/2014/chart" uri="{C3380CC4-5D6E-409C-BE32-E72D297353CC}">
              <c16:uniqueId val="{00000002-C9B7-4483-8594-BFF24A0BEC5B}"/>
            </c:ext>
          </c:extLst>
        </c:ser>
        <c:ser>
          <c:idx val="3"/>
          <c:order val="2"/>
          <c:tx>
            <c:strRef>
              <c:f>Graficos!$AN$40</c:f>
              <c:strCache>
                <c:ptCount val="1"/>
                <c:pt idx="0">
                  <c:v>Perú</c:v>
                </c:pt>
              </c:strCache>
            </c:strRef>
          </c:tx>
          <c:spPr>
            <a:ln w="22225" cap="rnd">
              <a:solidFill>
                <a:schemeClr val="bg1"/>
              </a:solidFill>
              <a:prstDash val="lgDashDot"/>
              <a:round/>
            </a:ln>
            <a:effectLst/>
          </c:spPr>
          <c:marker>
            <c:symbol val="none"/>
          </c:marker>
          <c:dPt>
            <c:idx val="1"/>
            <c:marker>
              <c:symbol val="none"/>
            </c:marker>
            <c:bubble3D val="0"/>
            <c:spPr>
              <a:ln w="22225" cap="rnd">
                <a:solidFill>
                  <a:schemeClr val="bg1"/>
                </a:solidFill>
                <a:prstDash val="solid"/>
                <a:round/>
              </a:ln>
              <a:effectLst/>
            </c:spPr>
            <c:extLst>
              <c:ext xmlns:c16="http://schemas.microsoft.com/office/drawing/2014/chart" uri="{C3380CC4-5D6E-409C-BE32-E72D297353CC}">
                <c16:uniqueId val="{00000004-C9B7-4483-8594-BFF24A0BEC5B}"/>
              </c:ext>
            </c:extLst>
          </c:dPt>
          <c:dPt>
            <c:idx val="2"/>
            <c:marker>
              <c:symbol val="none"/>
            </c:marker>
            <c:bubble3D val="0"/>
            <c:spPr>
              <a:ln w="22225" cap="rnd">
                <a:solidFill>
                  <a:schemeClr val="bg1"/>
                </a:solidFill>
                <a:prstDash val="solid"/>
                <a:round/>
              </a:ln>
              <a:effectLst/>
            </c:spPr>
            <c:extLst>
              <c:ext xmlns:c16="http://schemas.microsoft.com/office/drawing/2014/chart" uri="{C3380CC4-5D6E-409C-BE32-E72D297353CC}">
                <c16:uniqueId val="{00000006-C9B7-4483-8594-BFF24A0BEC5B}"/>
              </c:ext>
            </c:extLst>
          </c:dPt>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B7-4483-8594-BFF24A0BEC5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Graficos!$AO$38:$AQ$38</c:f>
              <c:numCache>
                <c:formatCode>General</c:formatCode>
                <c:ptCount val="3"/>
                <c:pt idx="0">
                  <c:v>2030</c:v>
                </c:pt>
                <c:pt idx="1">
                  <c:v>2040</c:v>
                </c:pt>
                <c:pt idx="2">
                  <c:v>2050</c:v>
                </c:pt>
              </c:numCache>
            </c:numRef>
          </c:cat>
          <c:val>
            <c:numRef>
              <c:f>Graficos!$AO$40:$AQ$40</c:f>
              <c:numCache>
                <c:formatCode>_(* #,##0_);_(* \(#,##0\);_(* "-"_);_(@_)</c:formatCode>
                <c:ptCount val="3"/>
                <c:pt idx="0">
                  <c:v>20</c:v>
                </c:pt>
                <c:pt idx="1">
                  <c:v>50</c:v>
                </c:pt>
                <c:pt idx="2">
                  <c:v>80</c:v>
                </c:pt>
              </c:numCache>
            </c:numRef>
          </c:val>
          <c:smooth val="0"/>
          <c:extLst>
            <c:ext xmlns:c16="http://schemas.microsoft.com/office/drawing/2014/chart" uri="{C3380CC4-5D6E-409C-BE32-E72D297353CC}">
              <c16:uniqueId val="{00000007-C9B7-4483-8594-BFF24A0BEC5B}"/>
            </c:ext>
          </c:extLst>
        </c:ser>
        <c:ser>
          <c:idx val="4"/>
          <c:order val="3"/>
          <c:tx>
            <c:strRef>
              <c:f>Graficos!$AN$41</c:f>
              <c:strCache>
                <c:ptCount val="1"/>
                <c:pt idx="0">
                  <c:v>Colombia</c:v>
                </c:pt>
              </c:strCache>
            </c:strRef>
          </c:tx>
          <c:spPr>
            <a:ln w="22225" cap="rnd">
              <a:solidFill>
                <a:schemeClr val="bg2">
                  <a:lumMod val="75000"/>
                </a:schemeClr>
              </a:solidFill>
              <a:prstDash val="lgDashDotDot"/>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8-C9B7-4483-8594-BFF24A0BEC5B}"/>
                </c:ext>
              </c:extLst>
            </c:dLbl>
            <c:dLbl>
              <c:idx val="2"/>
              <c:delete val="1"/>
              <c:extLst>
                <c:ext xmlns:c15="http://schemas.microsoft.com/office/drawing/2012/chart" uri="{CE6537A1-D6FC-4f65-9D91-7224C49458BB}"/>
                <c:ext xmlns:c16="http://schemas.microsoft.com/office/drawing/2014/chart" uri="{C3380CC4-5D6E-409C-BE32-E72D297353CC}">
                  <c16:uniqueId val="{00000009-C9B7-4483-8594-BFF24A0BEC5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Graficos!$AO$38:$AQ$38</c:f>
              <c:numCache>
                <c:formatCode>General</c:formatCode>
                <c:ptCount val="3"/>
                <c:pt idx="0">
                  <c:v>2030</c:v>
                </c:pt>
                <c:pt idx="1">
                  <c:v>2040</c:v>
                </c:pt>
                <c:pt idx="2">
                  <c:v>2050</c:v>
                </c:pt>
              </c:numCache>
            </c:numRef>
          </c:cat>
          <c:val>
            <c:numRef>
              <c:f>Graficos!$AO$41:$AQ$41</c:f>
              <c:numCache>
                <c:formatCode>_(* #,##0_);_(* \(#,##0\);_(* "-"_);_(@_)</c:formatCode>
                <c:ptCount val="3"/>
                <c:pt idx="0">
                  <c:v>20</c:v>
                </c:pt>
                <c:pt idx="1">
                  <c:v>35</c:v>
                </c:pt>
                <c:pt idx="2">
                  <c:v>50</c:v>
                </c:pt>
              </c:numCache>
            </c:numRef>
          </c:val>
          <c:smooth val="0"/>
          <c:extLst>
            <c:ext xmlns:c16="http://schemas.microsoft.com/office/drawing/2014/chart" uri="{C3380CC4-5D6E-409C-BE32-E72D297353CC}">
              <c16:uniqueId val="{0000000A-C9B7-4483-8594-BFF24A0BEC5B}"/>
            </c:ext>
          </c:extLst>
        </c:ser>
        <c:ser>
          <c:idx val="5"/>
          <c:order val="4"/>
          <c:tx>
            <c:strRef>
              <c:f>Graficos!$AN$42</c:f>
              <c:strCache>
                <c:ptCount val="1"/>
                <c:pt idx="0">
                  <c:v>Chile</c:v>
                </c:pt>
              </c:strCache>
            </c:strRef>
          </c:tx>
          <c:spPr>
            <a:ln w="22225" cap="rnd">
              <a:solidFill>
                <a:schemeClr val="bg1">
                  <a:lumMod val="75000"/>
                </a:schemeClr>
              </a:solidFill>
              <a:prstDash val="sysDash"/>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B-C9B7-4483-8594-BFF24A0BEC5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Graficos!$AO$38:$AQ$38</c:f>
              <c:numCache>
                <c:formatCode>General</c:formatCode>
                <c:ptCount val="3"/>
                <c:pt idx="0">
                  <c:v>2030</c:v>
                </c:pt>
                <c:pt idx="1">
                  <c:v>2040</c:v>
                </c:pt>
                <c:pt idx="2">
                  <c:v>2050</c:v>
                </c:pt>
              </c:numCache>
            </c:numRef>
          </c:cat>
          <c:val>
            <c:numRef>
              <c:f>Graficos!$AO$42:$AQ$42</c:f>
              <c:numCache>
                <c:formatCode>_(* #,##0_);_(* \(#,##0\);_(* "-"_);_(@_)</c:formatCode>
                <c:ptCount val="3"/>
                <c:pt idx="0">
                  <c:v>10</c:v>
                </c:pt>
                <c:pt idx="1">
                  <c:v>25</c:v>
                </c:pt>
                <c:pt idx="2">
                  <c:v>40</c:v>
                </c:pt>
              </c:numCache>
            </c:numRef>
          </c:val>
          <c:smooth val="0"/>
          <c:extLst>
            <c:ext xmlns:c16="http://schemas.microsoft.com/office/drawing/2014/chart" uri="{C3380CC4-5D6E-409C-BE32-E72D297353CC}">
              <c16:uniqueId val="{0000000C-C9B7-4483-8594-BFF24A0BEC5B}"/>
            </c:ext>
          </c:extLst>
        </c:ser>
        <c:ser>
          <c:idx val="0"/>
          <c:order val="5"/>
          <c:tx>
            <c:strRef>
              <c:f>Graficos!$AN$43</c:f>
              <c:strCache>
                <c:ptCount val="1"/>
                <c:pt idx="0">
                  <c:v>Argentina</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dLbl>
              <c:idx val="1"/>
              <c:layout>
                <c:manualLayout>
                  <c:x val="-4.9263347491146296E-2"/>
                  <c:y val="2.3882440064069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9B7-4483-8594-BFF24A0BEC5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B0F0"/>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Graficos!$AO$38:$AQ$38</c:f>
              <c:numCache>
                <c:formatCode>General</c:formatCode>
                <c:ptCount val="3"/>
                <c:pt idx="0">
                  <c:v>2030</c:v>
                </c:pt>
                <c:pt idx="1">
                  <c:v>2040</c:v>
                </c:pt>
                <c:pt idx="2">
                  <c:v>2050</c:v>
                </c:pt>
              </c:numCache>
            </c:numRef>
          </c:cat>
          <c:val>
            <c:numRef>
              <c:f>Graficos!$AO$43:$AQ$43</c:f>
              <c:numCache>
                <c:formatCode>_(* #,##0_);_(* \(#,##0\);_(* "-"_);_(@_)</c:formatCode>
                <c:ptCount val="3"/>
                <c:pt idx="0">
                  <c:v>18</c:v>
                </c:pt>
                <c:pt idx="1">
                  <c:v>36.5</c:v>
                </c:pt>
                <c:pt idx="2">
                  <c:v>55</c:v>
                </c:pt>
              </c:numCache>
            </c:numRef>
          </c:val>
          <c:smooth val="0"/>
          <c:extLst>
            <c:ext xmlns:c16="http://schemas.microsoft.com/office/drawing/2014/chart" uri="{C3380CC4-5D6E-409C-BE32-E72D297353CC}">
              <c16:uniqueId val="{0000000E-C9B7-4483-8594-BFF24A0BEC5B}"/>
            </c:ext>
          </c:extLst>
        </c:ser>
        <c:dLbls>
          <c:showLegendKey val="0"/>
          <c:showVal val="0"/>
          <c:showCatName val="0"/>
          <c:showSerName val="0"/>
          <c:showPercent val="0"/>
          <c:showBubbleSize val="0"/>
        </c:dLbls>
        <c:marker val="1"/>
        <c:smooth val="0"/>
        <c:axId val="1105230752"/>
        <c:axId val="1105707104"/>
      </c:lineChart>
      <c:catAx>
        <c:axId val="11052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707104"/>
        <c:crosses val="autoZero"/>
        <c:auto val="1"/>
        <c:lblAlgn val="ctr"/>
        <c:lblOffset val="100"/>
        <c:noMultiLvlLbl val="0"/>
      </c:catAx>
      <c:valAx>
        <c:axId val="1105707104"/>
        <c:scaling>
          <c:orientation val="minMax"/>
          <c:max val="100"/>
          <c:min val="0"/>
        </c:scaling>
        <c:delete val="0"/>
        <c:axPos val="l"/>
        <c:majorGridlines>
          <c:spPr>
            <a:ln w="9525" cap="flat" cmpd="sng" algn="ctr">
              <a:solidFill>
                <a:schemeClr val="tx1">
                  <a:lumMod val="95000"/>
                  <a:lumOff val="5000"/>
                </a:schemeClr>
              </a:solidFill>
              <a:prstDash val="sysDot"/>
              <a:round/>
            </a:ln>
            <a:effectLst/>
          </c:spPr>
        </c:majorGridlines>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s-CL"/>
                  <a:t>Proyección Demanda Cemento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crossAx val="1105230752"/>
        <c:crosses val="autoZero"/>
        <c:crossBetween val="between"/>
      </c:valAx>
      <c:spPr>
        <a:noFill/>
        <a:ln w="25400">
          <a:noFill/>
        </a:ln>
        <a:effectLst/>
      </c:spPr>
    </c:plotArea>
    <c:legend>
      <c:legendPos val="b"/>
      <c:legendEntry>
        <c:idx val="0"/>
        <c:delete val="1"/>
      </c:legendEntry>
      <c:layout>
        <c:manualLayout>
          <c:xMode val="edge"/>
          <c:yMode val="edge"/>
          <c:x val="6.3152283707967716E-2"/>
          <c:y val="0.90756013785194134"/>
          <c:w val="0.92933685453151427"/>
          <c:h val="9.2439862148058688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s-CL"/>
        </a:p>
      </c:txPr>
    </c:legend>
    <c:plotVisOnly val="1"/>
    <c:dispBlanksAs val="gap"/>
    <c:showDLblsOverMax val="0"/>
  </c:chart>
  <c:spPr>
    <a:noFill/>
    <a:ln w="9525" cap="flat" cmpd="sng" algn="ctr">
      <a:noFill/>
      <a:round/>
    </a:ln>
    <a:effectLst/>
  </c:spPr>
  <c:txPr>
    <a:bodyPr/>
    <a:lstStyle/>
    <a:p>
      <a:pPr>
        <a:defRPr sz="1400">
          <a:solidFill>
            <a:schemeClr val="bg1"/>
          </a:solidFill>
        </a:defRPr>
      </a:pPr>
      <a:endParaRPr lang="es-C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de-DE" sz="1800"/>
              <a:t>GCCA CO</a:t>
            </a:r>
            <a:r>
              <a:rPr lang="de-DE" sz="1800" baseline="-25000"/>
              <a:t>2</a:t>
            </a:r>
            <a:r>
              <a:rPr lang="de-DE" sz="1800" baseline="0"/>
              <a:t> </a:t>
            </a:r>
            <a:r>
              <a:rPr lang="de-DE" sz="1800"/>
              <a:t>roadmap</a:t>
            </a:r>
            <a:r>
              <a:rPr lang="de-DE" sz="1800" baseline="0"/>
              <a:t> status quo to 2030</a:t>
            </a:r>
            <a:endParaRPr lang="de-DE" sz="1800"/>
          </a:p>
        </c:rich>
      </c:tx>
      <c:overlay val="0"/>
    </c:title>
    <c:autoTitleDeleted val="0"/>
    <c:plotArea>
      <c:layout/>
      <c:barChart>
        <c:barDir val="col"/>
        <c:grouping val="stacked"/>
        <c:varyColors val="0"/>
        <c:ser>
          <c:idx val="0"/>
          <c:order val="0"/>
          <c:tx>
            <c:strRef>
              <c:f>'Waterfall data'!$Q$9</c:f>
              <c:strCache>
                <c:ptCount val="1"/>
                <c:pt idx="0">
                  <c:v>Direct CO2 emissions (Mt CO2)</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'Waterfall data'!$P$10:$P$21</c:f>
              <c:strCache>
                <c:ptCount val="12"/>
                <c:pt idx="0">
                  <c:v>2020</c:v>
                </c:pt>
                <c:pt idx="1">
                  <c:v>Societal demand</c:v>
                </c:pt>
                <c:pt idx="2">
                  <c:v>Design &amp; Construction</c:v>
                </c:pt>
                <c:pt idx="3">
                  <c:v>Concrete</c:v>
                </c:pt>
                <c:pt idx="4">
                  <c:v>Cement &amp; binders</c:v>
                </c:pt>
                <c:pt idx="5">
                  <c:v>New binders</c:v>
                </c:pt>
                <c:pt idx="6">
                  <c:v>Electricity</c:v>
                </c:pt>
                <c:pt idx="7">
                  <c:v>Clinker</c:v>
                </c:pt>
                <c:pt idx="8">
                  <c:v>Recarbonation</c:v>
                </c:pt>
                <c:pt idx="9">
                  <c:v>Fossil waste fuels</c:v>
                </c:pt>
                <c:pt idx="10">
                  <c:v>CCUS</c:v>
                </c:pt>
                <c:pt idx="11">
                  <c:v>2030</c:v>
                </c:pt>
              </c:strCache>
            </c:strRef>
          </c:cat>
          <c:val>
            <c:numRef>
              <c:f>'Waterfall data'!$Q$10:$Q$21</c:f>
              <c:numCache>
                <c:formatCode>#,##0.0</c:formatCode>
                <c:ptCount val="12"/>
                <c:pt idx="0">
                  <c:v>6.1927259064749984</c:v>
                </c:pt>
                <c:pt idx="11">
                  <c:v>5.2610978681780951</c:v>
                </c:pt>
              </c:numCache>
            </c:numRef>
          </c:val>
          <c:extLst>
            <c:ext xmlns:c16="http://schemas.microsoft.com/office/drawing/2014/chart" uri="{C3380CC4-5D6E-409C-BE32-E72D297353CC}">
              <c16:uniqueId val="{00000000-6226-4C02-B1FB-27EE34ECC324}"/>
            </c:ext>
          </c:extLst>
        </c:ser>
        <c:ser>
          <c:idx val="5"/>
          <c:order val="1"/>
          <c:tx>
            <c:strRef>
              <c:f>'Waterfall data'!$U$9</c:f>
              <c:strCache>
                <c:ptCount val="1"/>
                <c:pt idx="0">
                  <c:v>(white)</c:v>
                </c:pt>
              </c:strCache>
            </c:strRef>
          </c:tx>
          <c:spPr>
            <a:noFill/>
          </c:spPr>
          <c:invertIfNegative val="0"/>
          <c:cat>
            <c:strRef>
              <c:f>'Waterfall data'!$P$10:$P$21</c:f>
              <c:strCache>
                <c:ptCount val="12"/>
                <c:pt idx="0">
                  <c:v>2020</c:v>
                </c:pt>
                <c:pt idx="1">
                  <c:v>Societal demand</c:v>
                </c:pt>
                <c:pt idx="2">
                  <c:v>Design &amp; Construction</c:v>
                </c:pt>
                <c:pt idx="3">
                  <c:v>Concrete</c:v>
                </c:pt>
                <c:pt idx="4">
                  <c:v>Cement &amp; binders</c:v>
                </c:pt>
                <c:pt idx="5">
                  <c:v>New binders</c:v>
                </c:pt>
                <c:pt idx="6">
                  <c:v>Electricity</c:v>
                </c:pt>
                <c:pt idx="7">
                  <c:v>Clinker</c:v>
                </c:pt>
                <c:pt idx="8">
                  <c:v>Recarbonation</c:v>
                </c:pt>
                <c:pt idx="9">
                  <c:v>Fossil waste fuels</c:v>
                </c:pt>
                <c:pt idx="10">
                  <c:v>CCUS</c:v>
                </c:pt>
                <c:pt idx="11">
                  <c:v>2030</c:v>
                </c:pt>
              </c:strCache>
            </c:strRef>
          </c:cat>
          <c:val>
            <c:numRef>
              <c:f>'Waterfall data'!$U$10:$U$21</c:f>
              <c:numCache>
                <c:formatCode>#,##0.0</c:formatCode>
                <c:ptCount val="12"/>
                <c:pt idx="1">
                  <c:v>6.6131606411363526</c:v>
                </c:pt>
                <c:pt idx="2">
                  <c:v>7.4590285306678084</c:v>
                </c:pt>
                <c:pt idx="3">
                  <c:v>7.4517559778504081</c:v>
                </c:pt>
                <c:pt idx="4">
                  <c:v>7.2789149113433629</c:v>
                </c:pt>
                <c:pt idx="5">
                  <c:v>7.2674096509296398</c:v>
                </c:pt>
                <c:pt idx="6">
                  <c:v>7.1291322650764677</c:v>
                </c:pt>
                <c:pt idx="7">
                  <c:v>7.1291322650764677</c:v>
                </c:pt>
                <c:pt idx="8">
                  <c:v>5.7258226311907858</c:v>
                </c:pt>
                <c:pt idx="9">
                  <c:v>5.5965693018863893</c:v>
                </c:pt>
                <c:pt idx="10">
                  <c:v>5.5965693018863893</c:v>
                </c:pt>
              </c:numCache>
            </c:numRef>
          </c:val>
          <c:extLst>
            <c:ext xmlns:c16="http://schemas.microsoft.com/office/drawing/2014/chart" uri="{C3380CC4-5D6E-409C-BE32-E72D297353CC}">
              <c16:uniqueId val="{00000001-6226-4C02-B1FB-27EE34ECC324}"/>
            </c:ext>
          </c:extLst>
        </c:ser>
        <c:ser>
          <c:idx val="2"/>
          <c:order val="2"/>
          <c:tx>
            <c:strRef>
              <c:f>'Waterfall data'!$R$9</c:f>
              <c:strCache>
                <c:ptCount val="1"/>
                <c:pt idx="0">
                  <c:v>Indirect CO2 emissions (Mt CO2)</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'Waterfall data'!$P$10:$P$21</c:f>
              <c:strCache>
                <c:ptCount val="12"/>
                <c:pt idx="0">
                  <c:v>2020</c:v>
                </c:pt>
                <c:pt idx="1">
                  <c:v>Societal demand</c:v>
                </c:pt>
                <c:pt idx="2">
                  <c:v>Design &amp; Construction</c:v>
                </c:pt>
                <c:pt idx="3">
                  <c:v>Concrete</c:v>
                </c:pt>
                <c:pt idx="4">
                  <c:v>Cement &amp; binders</c:v>
                </c:pt>
                <c:pt idx="5">
                  <c:v>New binders</c:v>
                </c:pt>
                <c:pt idx="6">
                  <c:v>Electricity</c:v>
                </c:pt>
                <c:pt idx="7">
                  <c:v>Clinker</c:v>
                </c:pt>
                <c:pt idx="8">
                  <c:v>Recarbonation</c:v>
                </c:pt>
                <c:pt idx="9">
                  <c:v>Fossil waste fuels</c:v>
                </c:pt>
                <c:pt idx="10">
                  <c:v>CCUS</c:v>
                </c:pt>
                <c:pt idx="11">
                  <c:v>2030</c:v>
                </c:pt>
              </c:strCache>
            </c:strRef>
          </c:cat>
          <c:val>
            <c:numRef>
              <c:f>'Waterfall data'!$R$10:$R$21</c:f>
              <c:numCache>
                <c:formatCode>#,##0.0</c:formatCode>
                <c:ptCount val="12"/>
                <c:pt idx="0">
                  <c:v>0.42043473466135456</c:v>
                </c:pt>
                <c:pt idx="11">
                  <c:v>0.33547143370829452</c:v>
                </c:pt>
              </c:numCache>
            </c:numRef>
          </c:val>
          <c:extLst>
            <c:ext xmlns:c16="http://schemas.microsoft.com/office/drawing/2014/chart" uri="{C3380CC4-5D6E-409C-BE32-E72D297353CC}">
              <c16:uniqueId val="{00000002-6226-4C02-B1FB-27EE34ECC324}"/>
            </c:ext>
          </c:extLst>
        </c:ser>
        <c:ser>
          <c:idx val="1"/>
          <c:order val="3"/>
          <c:tx>
            <c:strRef>
              <c:f>'Waterfall data'!$S$9</c:f>
              <c:strCache>
                <c:ptCount val="1"/>
                <c:pt idx="0">
                  <c:v>increase (blue)</c:v>
                </c:pt>
              </c:strCache>
            </c:strRef>
          </c:tx>
          <c:spPr>
            <a:solidFill>
              <a:srgbClr val="00B0F0"/>
            </a:solidFill>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1FF7-479F-8C04-1C4024907CC0}"/>
                </c:ext>
              </c:extLst>
            </c:dLbl>
            <c:dLbl>
              <c:idx val="3"/>
              <c:delete val="1"/>
              <c:extLst>
                <c:ext xmlns:c15="http://schemas.microsoft.com/office/drawing/2012/chart" uri="{CE6537A1-D6FC-4f65-9D91-7224C49458BB}"/>
                <c:ext xmlns:c16="http://schemas.microsoft.com/office/drawing/2014/chart" uri="{C3380CC4-5D6E-409C-BE32-E72D297353CC}">
                  <c16:uniqueId val="{00000001-1FF7-479F-8C04-1C4024907CC0}"/>
                </c:ext>
              </c:extLst>
            </c:dLbl>
            <c:dLbl>
              <c:idx val="4"/>
              <c:delete val="1"/>
              <c:extLst>
                <c:ext xmlns:c15="http://schemas.microsoft.com/office/drawing/2012/chart" uri="{CE6537A1-D6FC-4f65-9D91-7224C49458BB}"/>
                <c:ext xmlns:c16="http://schemas.microsoft.com/office/drawing/2014/chart" uri="{C3380CC4-5D6E-409C-BE32-E72D297353CC}">
                  <c16:uniqueId val="{00000002-1FF7-479F-8C04-1C4024907CC0}"/>
                </c:ext>
              </c:extLst>
            </c:dLbl>
            <c:dLbl>
              <c:idx val="6"/>
              <c:delete val="1"/>
              <c:extLst>
                <c:ext xmlns:c15="http://schemas.microsoft.com/office/drawing/2012/chart" uri="{CE6537A1-D6FC-4f65-9D91-7224C49458BB}"/>
                <c:ext xmlns:c16="http://schemas.microsoft.com/office/drawing/2014/chart" uri="{C3380CC4-5D6E-409C-BE32-E72D297353CC}">
                  <c16:uniqueId val="{00000003-1FF7-479F-8C04-1C4024907CC0}"/>
                </c:ext>
              </c:extLst>
            </c:dLbl>
            <c:dLbl>
              <c:idx val="7"/>
              <c:delete val="1"/>
              <c:extLst>
                <c:ext xmlns:c15="http://schemas.microsoft.com/office/drawing/2012/chart" uri="{CE6537A1-D6FC-4f65-9D91-7224C49458BB}"/>
                <c:ext xmlns:c16="http://schemas.microsoft.com/office/drawing/2014/chart" uri="{C3380CC4-5D6E-409C-BE32-E72D297353CC}">
                  <c16:uniqueId val="{00000004-1FF7-479F-8C04-1C4024907CC0}"/>
                </c:ext>
              </c:extLst>
            </c:dLbl>
            <c:dLbl>
              <c:idx val="8"/>
              <c:delete val="1"/>
              <c:extLst>
                <c:ext xmlns:c15="http://schemas.microsoft.com/office/drawing/2012/chart" uri="{CE6537A1-D6FC-4f65-9D91-7224C49458BB}"/>
                <c:ext xmlns:c16="http://schemas.microsoft.com/office/drawing/2014/chart" uri="{C3380CC4-5D6E-409C-BE32-E72D297353CC}">
                  <c16:uniqueId val="{00000005-1FF7-479F-8C04-1C4024907CC0}"/>
                </c:ext>
              </c:extLst>
            </c:dLbl>
            <c:dLbl>
              <c:idx val="9"/>
              <c:delete val="1"/>
              <c:extLst>
                <c:ext xmlns:c15="http://schemas.microsoft.com/office/drawing/2012/chart" uri="{CE6537A1-D6FC-4f65-9D91-7224C49458BB}"/>
                <c:ext xmlns:c16="http://schemas.microsoft.com/office/drawing/2014/chart" uri="{C3380CC4-5D6E-409C-BE32-E72D297353CC}">
                  <c16:uniqueId val="{00000006-1FF7-479F-8C04-1C4024907CC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'Waterfall data'!$P$10:$P$21</c:f>
              <c:strCache>
                <c:ptCount val="12"/>
                <c:pt idx="0">
                  <c:v>2020</c:v>
                </c:pt>
                <c:pt idx="1">
                  <c:v>Societal demand</c:v>
                </c:pt>
                <c:pt idx="2">
                  <c:v>Design &amp; Construction</c:v>
                </c:pt>
                <c:pt idx="3">
                  <c:v>Concrete</c:v>
                </c:pt>
                <c:pt idx="4">
                  <c:v>Cement &amp; binders</c:v>
                </c:pt>
                <c:pt idx="5">
                  <c:v>New binders</c:v>
                </c:pt>
                <c:pt idx="6">
                  <c:v>Electricity</c:v>
                </c:pt>
                <c:pt idx="7">
                  <c:v>Clinker</c:v>
                </c:pt>
                <c:pt idx="8">
                  <c:v>Recarbonation</c:v>
                </c:pt>
                <c:pt idx="9">
                  <c:v>Fossil waste fuels</c:v>
                </c:pt>
                <c:pt idx="10">
                  <c:v>CCUS</c:v>
                </c:pt>
                <c:pt idx="11">
                  <c:v>2030</c:v>
                </c:pt>
              </c:strCache>
            </c:strRef>
          </c:cat>
          <c:val>
            <c:numRef>
              <c:f>'Waterfall data'!$S$10:$S$21</c:f>
              <c:numCache>
                <c:formatCode>#,##0.0</c:formatCode>
                <c:ptCount val="12"/>
                <c:pt idx="1">
                  <c:v>1.1903689154045427</c:v>
                </c:pt>
                <c:pt idx="2">
                  <c:v>0</c:v>
                </c:pt>
                <c:pt idx="3">
                  <c:v>0</c:v>
                </c:pt>
                <c:pt idx="4">
                  <c:v>0</c:v>
                </c:pt>
                <c:pt idx="5">
                  <c:v>0</c:v>
                </c:pt>
                <c:pt idx="6">
                  <c:v>0</c:v>
                </c:pt>
                <c:pt idx="7">
                  <c:v>2.3203222996270867E-3</c:v>
                </c:pt>
                <c:pt idx="8">
                  <c:v>0</c:v>
                </c:pt>
                <c:pt idx="9">
                  <c:v>0</c:v>
                </c:pt>
                <c:pt idx="10">
                  <c:v>0</c:v>
                </c:pt>
              </c:numCache>
            </c:numRef>
          </c:val>
          <c:extLst>
            <c:ext xmlns:c16="http://schemas.microsoft.com/office/drawing/2014/chart" uri="{C3380CC4-5D6E-409C-BE32-E72D297353CC}">
              <c16:uniqueId val="{00000003-6226-4C02-B1FB-27EE34ECC324}"/>
            </c:ext>
          </c:extLst>
        </c:ser>
        <c:ser>
          <c:idx val="4"/>
          <c:order val="4"/>
          <c:tx>
            <c:strRef>
              <c:f>'Waterfall data'!$T$9</c:f>
              <c:strCache>
                <c:ptCount val="1"/>
                <c:pt idx="0">
                  <c:v>decrease (green)</c:v>
                </c:pt>
              </c:strCache>
            </c:strRef>
          </c:tx>
          <c:spPr>
            <a:solidFill>
              <a:srgbClr val="00B050"/>
            </a:solidFill>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7-1FF7-479F-8C04-1C4024907CC0}"/>
                </c:ext>
              </c:extLst>
            </c:dLbl>
            <c:dLbl>
              <c:idx val="2"/>
              <c:layout>
                <c:manualLayout>
                  <c:x val="-2.5052580754496644E-17"/>
                  <c:y val="-3.8095238095238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FF7-479F-8C04-1C4024907CC0}"/>
                </c:ext>
              </c:extLst>
            </c:dLbl>
            <c:dLbl>
              <c:idx val="3"/>
              <c:layout>
                <c:manualLayout>
                  <c:x val="1.3665201907662186E-3"/>
                  <c:y val="-2.1164021164021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FF7-479F-8C04-1C4024907CC0}"/>
                </c:ext>
              </c:extLst>
            </c:dLbl>
            <c:dLbl>
              <c:idx val="4"/>
              <c:layout>
                <c:manualLayout>
                  <c:x val="-2.7330403815324371E-3"/>
                  <c:y val="-3.597883597883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FF7-479F-8C04-1C4024907CC0}"/>
                </c:ext>
              </c:extLst>
            </c:dLbl>
            <c:dLbl>
              <c:idx val="5"/>
              <c:delete val="1"/>
              <c:extLst>
                <c:ext xmlns:c15="http://schemas.microsoft.com/office/drawing/2012/chart" uri="{CE6537A1-D6FC-4f65-9D91-7224C49458BB}"/>
                <c:ext xmlns:c16="http://schemas.microsoft.com/office/drawing/2014/chart" uri="{C3380CC4-5D6E-409C-BE32-E72D297353CC}">
                  <c16:uniqueId val="{00000008-1FF7-479F-8C04-1C4024907CC0}"/>
                </c:ext>
              </c:extLst>
            </c:dLbl>
            <c:dLbl>
              <c:idx val="6"/>
              <c:layout>
                <c:manualLayout>
                  <c:x val="0"/>
                  <c:y val="-2.328042328042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FF7-479F-8C04-1C4024907CC0}"/>
                </c:ext>
              </c:extLst>
            </c:dLbl>
            <c:dLbl>
              <c:idx val="7"/>
              <c:layout>
                <c:manualLayout>
                  <c:x val="-1.3665201907662186E-3"/>
                  <c:y val="-5.0793650793650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FF7-479F-8C04-1C4024907CC0}"/>
                </c:ext>
              </c:extLst>
            </c:dLbl>
            <c:dLbl>
              <c:idx val="8"/>
              <c:layout>
                <c:manualLayout>
                  <c:x val="-1.0021032301798658E-16"/>
                  <c:y val="-4.4444444444444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FF7-479F-8C04-1C4024907CC0}"/>
                </c:ext>
              </c:extLst>
            </c:dLbl>
            <c:dLbl>
              <c:idx val="9"/>
              <c:layout>
                <c:manualLayout>
                  <c:x val="2.7330403815324371E-3"/>
                  <c:y val="-4.4444444444444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FF7-479F-8C04-1C4024907CC0}"/>
                </c:ext>
              </c:extLst>
            </c:dLbl>
            <c:dLbl>
              <c:idx val="10"/>
              <c:delete val="1"/>
              <c:extLst>
                <c:ext xmlns:c15="http://schemas.microsoft.com/office/drawing/2012/chart" uri="{CE6537A1-D6FC-4f65-9D91-7224C49458BB}"/>
                <c:ext xmlns:c16="http://schemas.microsoft.com/office/drawing/2014/chart" uri="{C3380CC4-5D6E-409C-BE32-E72D297353CC}">
                  <c16:uniqueId val="{00000009-1FF7-479F-8C04-1C4024907CC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'Waterfall data'!$P$10:$P$21</c:f>
              <c:strCache>
                <c:ptCount val="12"/>
                <c:pt idx="0">
                  <c:v>2020</c:v>
                </c:pt>
                <c:pt idx="1">
                  <c:v>Societal demand</c:v>
                </c:pt>
                <c:pt idx="2">
                  <c:v>Design &amp; Construction</c:v>
                </c:pt>
                <c:pt idx="3">
                  <c:v>Concrete</c:v>
                </c:pt>
                <c:pt idx="4">
                  <c:v>Cement &amp; binders</c:v>
                </c:pt>
                <c:pt idx="5">
                  <c:v>New binders</c:v>
                </c:pt>
                <c:pt idx="6">
                  <c:v>Electricity</c:v>
                </c:pt>
                <c:pt idx="7">
                  <c:v>Clinker</c:v>
                </c:pt>
                <c:pt idx="8">
                  <c:v>Recarbonation</c:v>
                </c:pt>
                <c:pt idx="9">
                  <c:v>Fossil waste fuels</c:v>
                </c:pt>
                <c:pt idx="10">
                  <c:v>CCUS</c:v>
                </c:pt>
                <c:pt idx="11">
                  <c:v>2030</c:v>
                </c:pt>
              </c:strCache>
            </c:strRef>
          </c:cat>
          <c:val>
            <c:numRef>
              <c:f>'Waterfall data'!$T$10:$T$21</c:f>
              <c:numCache>
                <c:formatCode>#,##0.0</c:formatCode>
                <c:ptCount val="12"/>
                <c:pt idx="1">
                  <c:v>0</c:v>
                </c:pt>
                <c:pt idx="2">
                  <c:v>0.34450102587308695</c:v>
                </c:pt>
                <c:pt idx="3" formatCode="#,##0.00">
                  <c:v>7.2725528174002463E-3</c:v>
                </c:pt>
                <c:pt idx="4">
                  <c:v>0.17284106650704523</c:v>
                </c:pt>
                <c:pt idx="5" formatCode="#,##0.00">
                  <c:v>1.1505260413723128E-2</c:v>
                </c:pt>
                <c:pt idx="6">
                  <c:v>0.13827738585317206</c:v>
                </c:pt>
                <c:pt idx="7">
                  <c:v>0</c:v>
                </c:pt>
                <c:pt idx="8">
                  <c:v>1.4056299561853089</c:v>
                </c:pt>
                <c:pt idx="9">
                  <c:v>0.12925332930439648</c:v>
                </c:pt>
                <c:pt idx="10">
                  <c:v>0</c:v>
                </c:pt>
              </c:numCache>
            </c:numRef>
          </c:val>
          <c:extLst>
            <c:ext xmlns:c16="http://schemas.microsoft.com/office/drawing/2014/chart" uri="{C3380CC4-5D6E-409C-BE32-E72D297353CC}">
              <c16:uniqueId val="{00000004-6226-4C02-B1FB-27EE34ECC324}"/>
            </c:ext>
          </c:extLst>
        </c:ser>
        <c:dLbls>
          <c:showLegendKey val="0"/>
          <c:showVal val="0"/>
          <c:showCatName val="0"/>
          <c:showSerName val="0"/>
          <c:showPercent val="0"/>
          <c:showBubbleSize val="0"/>
        </c:dLbls>
        <c:gapWidth val="150"/>
        <c:overlap val="100"/>
        <c:axId val="136259840"/>
        <c:axId val="136290304"/>
      </c:barChart>
      <c:catAx>
        <c:axId val="136259840"/>
        <c:scaling>
          <c:orientation val="minMax"/>
        </c:scaling>
        <c:delete val="0"/>
        <c:axPos val="b"/>
        <c:numFmt formatCode="General" sourceLinked="0"/>
        <c:majorTickMark val="out"/>
        <c:minorTickMark val="none"/>
        <c:tickLblPos val="low"/>
        <c:crossAx val="136290304"/>
        <c:crosses val="autoZero"/>
        <c:auto val="1"/>
        <c:lblAlgn val="ctr"/>
        <c:lblOffset val="100"/>
        <c:noMultiLvlLbl val="0"/>
      </c:catAx>
      <c:valAx>
        <c:axId val="136290304"/>
        <c:scaling>
          <c:orientation val="minMax"/>
          <c:max val="12"/>
        </c:scaling>
        <c:delete val="0"/>
        <c:axPos val="l"/>
        <c:majorGridlines/>
        <c:title>
          <c:tx>
            <c:rich>
              <a:bodyPr rot="-5400000" vert="horz"/>
              <a:lstStyle/>
              <a:p>
                <a:pPr>
                  <a:defRPr sz="1400" b="0"/>
                </a:pPr>
                <a:r>
                  <a:rPr lang="de-DE" sz="1400" b="0"/>
                  <a:t>CO</a:t>
                </a:r>
                <a:r>
                  <a:rPr lang="de-DE" sz="1400" b="0" baseline="-25000"/>
                  <a:t>2</a:t>
                </a:r>
                <a:r>
                  <a:rPr lang="de-DE" sz="1400" b="0"/>
                  <a:t> emissions  (Mt CO</a:t>
                </a:r>
                <a:r>
                  <a:rPr lang="de-DE" sz="1400" b="0" baseline="-25000"/>
                  <a:t>2</a:t>
                </a:r>
                <a:r>
                  <a:rPr lang="de-DE" sz="1400" b="0"/>
                  <a:t>)</a:t>
                </a:r>
              </a:p>
            </c:rich>
          </c:tx>
          <c:overlay val="0"/>
        </c:title>
        <c:numFmt formatCode="#,##0" sourceLinked="0"/>
        <c:majorTickMark val="out"/>
        <c:minorTickMark val="none"/>
        <c:tickLblPos val="nextTo"/>
        <c:crossAx val="136259840"/>
        <c:crosses val="autoZero"/>
        <c:crossBetween val="between"/>
        <c:majorUnit val="1"/>
      </c:valAx>
      <c:spPr>
        <a:ln>
          <a:solidFill>
            <a:sysClr val="windowText" lastClr="000000"/>
          </a:solidFill>
        </a:ln>
      </c:spPr>
    </c:plotArea>
    <c:legend>
      <c:legendPos val="r"/>
      <c:legendEntry>
        <c:idx val="3"/>
        <c:delete val="1"/>
      </c:legendEntry>
      <c:overlay val="0"/>
      <c:txPr>
        <a:bodyPr/>
        <a:lstStyle/>
        <a:p>
          <a:pPr>
            <a:defRPr sz="1000"/>
          </a:pPr>
          <a:endParaRPr lang="es-CL"/>
        </a:p>
      </c:txPr>
    </c:legend>
    <c:plotVisOnly val="1"/>
    <c:dispBlanksAs val="gap"/>
    <c:showDLblsOverMax val="0"/>
  </c:chart>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1"/>
              <a:t>Trayectoria Net Zero Chile 2050</a:t>
            </a:r>
          </a:p>
        </c:rich>
      </c:tx>
      <c:layout>
        <c:manualLayout>
          <c:xMode val="edge"/>
          <c:yMode val="edge"/>
          <c:x val="0.32775433887442179"/>
          <c:y val="1.6182335419994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areaChart>
        <c:grouping val="stacked"/>
        <c:varyColors val="0"/>
        <c:ser>
          <c:idx val="0"/>
          <c:order val="0"/>
          <c:tx>
            <c:strRef>
              <c:f>'Stacked areas data'!$B$9</c:f>
              <c:strCache>
                <c:ptCount val="1"/>
                <c:pt idx="0">
                  <c:v>Direct CO2 emissions</c:v>
                </c:pt>
              </c:strCache>
            </c:strRef>
          </c:tx>
          <c:spPr>
            <a:solidFill>
              <a:schemeClr val="bg1">
                <a:lumMod val="65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data'!$B$10:$B$40</c:f>
              <c:numCache>
                <c:formatCode>#,##0.00</c:formatCode>
                <c:ptCount val="31"/>
                <c:pt idx="0">
                  <c:v>4.9135975314749984</c:v>
                </c:pt>
                <c:pt idx="1">
                  <c:v>4.9483475651453084</c:v>
                </c:pt>
                <c:pt idx="2">
                  <c:v>4.9830975988156183</c:v>
                </c:pt>
                <c:pt idx="3">
                  <c:v>5.0178476324859282</c:v>
                </c:pt>
                <c:pt idx="4">
                  <c:v>5.0525976661562382</c:v>
                </c:pt>
                <c:pt idx="5">
                  <c:v>5.0873476998265481</c:v>
                </c:pt>
                <c:pt idx="6">
                  <c:v>5.122097733496858</c:v>
                </c:pt>
                <c:pt idx="7">
                  <c:v>5.156847767167168</c:v>
                </c:pt>
                <c:pt idx="8">
                  <c:v>5.1915978008374779</c:v>
                </c:pt>
                <c:pt idx="9">
                  <c:v>5.2263478345077878</c:v>
                </c:pt>
                <c:pt idx="10">
                  <c:v>5.2610978681780951</c:v>
                </c:pt>
                <c:pt idx="11">
                  <c:v>4.9980429747691906</c:v>
                </c:pt>
                <c:pt idx="12">
                  <c:v>4.734988081360286</c:v>
                </c:pt>
                <c:pt idx="13">
                  <c:v>4.4719331879513815</c:v>
                </c:pt>
                <c:pt idx="14">
                  <c:v>4.208878294542477</c:v>
                </c:pt>
                <c:pt idx="15">
                  <c:v>3.945823401133572</c:v>
                </c:pt>
                <c:pt idx="16">
                  <c:v>3.682768507724667</c:v>
                </c:pt>
                <c:pt idx="17">
                  <c:v>3.419713614315762</c:v>
                </c:pt>
                <c:pt idx="18">
                  <c:v>3.1566587209068571</c:v>
                </c:pt>
                <c:pt idx="19">
                  <c:v>2.8936038274979521</c:v>
                </c:pt>
                <c:pt idx="20">
                  <c:v>2.6305489340890471</c:v>
                </c:pt>
                <c:pt idx="21">
                  <c:v>2.3674940406801421</c:v>
                </c:pt>
                <c:pt idx="22">
                  <c:v>2.1044391472712372</c:v>
                </c:pt>
                <c:pt idx="23">
                  <c:v>1.8413842538623322</c:v>
                </c:pt>
                <c:pt idx="24">
                  <c:v>1.5783293604534272</c:v>
                </c:pt>
                <c:pt idx="25">
                  <c:v>1.3152744670445222</c:v>
                </c:pt>
                <c:pt idx="26">
                  <c:v>1.0522195736356172</c:v>
                </c:pt>
                <c:pt idx="27">
                  <c:v>0.78916468022671238</c:v>
                </c:pt>
                <c:pt idx="28">
                  <c:v>0.52610978681780751</c:v>
                </c:pt>
                <c:pt idx="29">
                  <c:v>0.26305489340890265</c:v>
                </c:pt>
                <c:pt idx="30">
                  <c:v>-2.9976021664879227E-15</c:v>
                </c:pt>
              </c:numCache>
            </c:numRef>
          </c:val>
          <c:extLst>
            <c:ext xmlns:c16="http://schemas.microsoft.com/office/drawing/2014/chart" uri="{C3380CC4-5D6E-409C-BE32-E72D297353CC}">
              <c16:uniqueId val="{00000000-C6B1-4AB6-A377-BDB530BE2858}"/>
            </c:ext>
          </c:extLst>
        </c:ser>
        <c:ser>
          <c:idx val="1"/>
          <c:order val="1"/>
          <c:tx>
            <c:strRef>
              <c:f>'Stacked areas data'!$C$9</c:f>
              <c:strCache>
                <c:ptCount val="1"/>
                <c:pt idx="0">
                  <c:v>Indirect CO2 emissions</c:v>
                </c:pt>
              </c:strCache>
            </c:strRef>
          </c:tx>
          <c:spPr>
            <a:solidFill>
              <a:schemeClr val="bg1">
                <a:lumMod val="85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data'!$C$10:$C$40</c:f>
              <c:numCache>
                <c:formatCode>#,##0.00</c:formatCode>
                <c:ptCount val="31"/>
                <c:pt idx="0">
                  <c:v>0.42043473466135456</c:v>
                </c:pt>
                <c:pt idx="1">
                  <c:v>0.41193840456604858</c:v>
                </c:pt>
                <c:pt idx="2">
                  <c:v>0.4034420744707426</c:v>
                </c:pt>
                <c:pt idx="3">
                  <c:v>0.39494574437543661</c:v>
                </c:pt>
                <c:pt idx="4">
                  <c:v>0.38644941428013063</c:v>
                </c:pt>
                <c:pt idx="5">
                  <c:v>0.37795308418482465</c:v>
                </c:pt>
                <c:pt idx="6">
                  <c:v>0.36945675408951867</c:v>
                </c:pt>
                <c:pt idx="7">
                  <c:v>0.36096042399421269</c:v>
                </c:pt>
                <c:pt idx="8">
                  <c:v>0.35246409389890671</c:v>
                </c:pt>
                <c:pt idx="9">
                  <c:v>0.34396776380360072</c:v>
                </c:pt>
                <c:pt idx="10">
                  <c:v>0.33547143370829452</c:v>
                </c:pt>
                <c:pt idx="11">
                  <c:v>0.32130198237475821</c:v>
                </c:pt>
                <c:pt idx="12">
                  <c:v>0.3071325310412219</c:v>
                </c:pt>
                <c:pt idx="13">
                  <c:v>0.29296307970768559</c:v>
                </c:pt>
                <c:pt idx="14">
                  <c:v>0.27879362837414928</c:v>
                </c:pt>
                <c:pt idx="15">
                  <c:v>0.26462417704061297</c:v>
                </c:pt>
                <c:pt idx="16">
                  <c:v>0.25045472570707666</c:v>
                </c:pt>
                <c:pt idx="17">
                  <c:v>0.23628527437354035</c:v>
                </c:pt>
                <c:pt idx="18">
                  <c:v>0.22211582304000405</c:v>
                </c:pt>
                <c:pt idx="19">
                  <c:v>0.20794637170646774</c:v>
                </c:pt>
                <c:pt idx="20">
                  <c:v>0.19377692037293143</c:v>
                </c:pt>
                <c:pt idx="21">
                  <c:v>0.17960746903939512</c:v>
                </c:pt>
                <c:pt idx="22">
                  <c:v>0.16543801770585881</c:v>
                </c:pt>
                <c:pt idx="23">
                  <c:v>0.1512685663723225</c:v>
                </c:pt>
                <c:pt idx="24">
                  <c:v>0.13709911503878619</c:v>
                </c:pt>
                <c:pt idx="25">
                  <c:v>0.12292966370524989</c:v>
                </c:pt>
                <c:pt idx="26">
                  <c:v>0.1087602123717136</c:v>
                </c:pt>
                <c:pt idx="27">
                  <c:v>9.4590761038177304E-2</c:v>
                </c:pt>
                <c:pt idx="28">
                  <c:v>8.0421309704641009E-2</c:v>
                </c:pt>
                <c:pt idx="29">
                  <c:v>6.6251858371104713E-2</c:v>
                </c:pt>
                <c:pt idx="30">
                  <c:v>5.2082407037568494E-2</c:v>
                </c:pt>
              </c:numCache>
            </c:numRef>
          </c:val>
          <c:extLst>
            <c:ext xmlns:c16="http://schemas.microsoft.com/office/drawing/2014/chart" uri="{C3380CC4-5D6E-409C-BE32-E72D297353CC}">
              <c16:uniqueId val="{00000001-C6B1-4AB6-A377-BDB530BE2858}"/>
            </c:ext>
          </c:extLst>
        </c:ser>
        <c:ser>
          <c:idx val="4"/>
          <c:order val="2"/>
          <c:tx>
            <c:strRef>
              <c:f>'Stacked areas data'!$F$9</c:f>
              <c:strCache>
                <c:ptCount val="1"/>
                <c:pt idx="0">
                  <c:v>Recarbonation</c:v>
                </c:pt>
              </c:strCache>
            </c:strRef>
          </c:tx>
          <c:spPr>
            <a:solidFill>
              <a:srgbClr val="00D1CC"/>
            </a:solidFill>
            <a:ln>
              <a:noFill/>
            </a:ln>
            <a:effectLst/>
          </c:spPr>
          <c:cat>
            <c:numRef>
              <c:f>'Stacked areas data'!$A$10:$A$40</c:f>
              <c:numCache>
                <c:formatCode>General</c:formatCode>
                <c:ptCount val="31"/>
                <c:pt idx="0">
                  <c:v>2020</c:v>
                </c:pt>
                <c:pt idx="10">
                  <c:v>2030</c:v>
                </c:pt>
                <c:pt idx="30">
                  <c:v>2050</c:v>
                </c:pt>
              </c:numCache>
            </c:numRef>
          </c:cat>
          <c:val>
            <c:numRef>
              <c:f>'Stacked areas data'!$F$10:$F$40</c:f>
              <c:numCache>
                <c:formatCode>#,##0.00</c:formatCode>
                <c:ptCount val="31"/>
                <c:pt idx="0">
                  <c:v>1.2791283749999998</c:v>
                </c:pt>
                <c:pt idx="1">
                  <c:v>1.2917785331185307</c:v>
                </c:pt>
                <c:pt idx="2">
                  <c:v>1.3044286912370617</c:v>
                </c:pt>
                <c:pt idx="3">
                  <c:v>1.3170788493555927</c:v>
                </c:pt>
                <c:pt idx="4">
                  <c:v>1.3297290074741237</c:v>
                </c:pt>
                <c:pt idx="5">
                  <c:v>1.3423791655926547</c:v>
                </c:pt>
                <c:pt idx="6">
                  <c:v>1.3550293237111857</c:v>
                </c:pt>
                <c:pt idx="7">
                  <c:v>1.3676794818297167</c:v>
                </c:pt>
                <c:pt idx="8">
                  <c:v>1.3803296399482476</c:v>
                </c:pt>
                <c:pt idx="9">
                  <c:v>1.3929797980667786</c:v>
                </c:pt>
                <c:pt idx="10">
                  <c:v>1.4056299561853089</c:v>
                </c:pt>
                <c:pt idx="11">
                  <c:v>1.4149331777600811</c:v>
                </c:pt>
                <c:pt idx="12">
                  <c:v>1.4242363993348532</c:v>
                </c:pt>
                <c:pt idx="13">
                  <c:v>1.4335396209096254</c:v>
                </c:pt>
                <c:pt idx="14">
                  <c:v>1.4428428424843975</c:v>
                </c:pt>
                <c:pt idx="15">
                  <c:v>1.4521460640591697</c:v>
                </c:pt>
                <c:pt idx="16">
                  <c:v>1.4614492856339418</c:v>
                </c:pt>
                <c:pt idx="17">
                  <c:v>1.470752507208714</c:v>
                </c:pt>
                <c:pt idx="18">
                  <c:v>1.4800557287834861</c:v>
                </c:pt>
                <c:pt idx="19">
                  <c:v>1.4893589503582583</c:v>
                </c:pt>
                <c:pt idx="20">
                  <c:v>1.4986621719330304</c:v>
                </c:pt>
                <c:pt idx="21">
                  <c:v>1.5079653935078026</c:v>
                </c:pt>
                <c:pt idx="22">
                  <c:v>1.5172686150825747</c:v>
                </c:pt>
                <c:pt idx="23">
                  <c:v>1.5265718366573469</c:v>
                </c:pt>
                <c:pt idx="24">
                  <c:v>1.535875058232119</c:v>
                </c:pt>
                <c:pt idx="25">
                  <c:v>1.5451782798068912</c:v>
                </c:pt>
                <c:pt idx="26">
                  <c:v>1.5544815013816633</c:v>
                </c:pt>
                <c:pt idx="27">
                  <c:v>1.5637847229564354</c:v>
                </c:pt>
                <c:pt idx="28">
                  <c:v>1.5730879445312076</c:v>
                </c:pt>
                <c:pt idx="29">
                  <c:v>1.5823911661059797</c:v>
                </c:pt>
                <c:pt idx="30">
                  <c:v>1.591694387680751</c:v>
                </c:pt>
              </c:numCache>
            </c:numRef>
          </c:val>
          <c:extLst>
            <c:ext xmlns:c16="http://schemas.microsoft.com/office/drawing/2014/chart" uri="{C3380CC4-5D6E-409C-BE32-E72D297353CC}">
              <c16:uniqueId val="{00000002-C6B1-4AB6-A377-BDB530BE2858}"/>
            </c:ext>
          </c:extLst>
        </c:ser>
        <c:ser>
          <c:idx val="6"/>
          <c:order val="3"/>
          <c:tx>
            <c:strRef>
              <c:f>'Stacked areas data'!$H$9</c:f>
              <c:strCache>
                <c:ptCount val="1"/>
                <c:pt idx="0">
                  <c:v>Electricity</c:v>
                </c:pt>
              </c:strCache>
            </c:strRef>
          </c:tx>
          <c:spPr>
            <a:solidFill>
              <a:schemeClr val="accent2">
                <a:lumMod val="40000"/>
                <a:lumOff val="60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data'!$H$10:$H$40</c:f>
              <c:numCache>
                <c:formatCode>#,##0.00</c:formatCode>
                <c:ptCount val="31"/>
                <c:pt idx="0">
                  <c:v>0</c:v>
                </c:pt>
                <c:pt idx="1">
                  <c:v>1.3827738585317207E-2</c:v>
                </c:pt>
                <c:pt idx="2">
                  <c:v>2.7655477170634414E-2</c:v>
                </c:pt>
                <c:pt idx="3">
                  <c:v>4.1483215755951625E-2</c:v>
                </c:pt>
                <c:pt idx="4">
                  <c:v>5.5310954341268828E-2</c:v>
                </c:pt>
                <c:pt idx="5">
                  <c:v>6.9138692926586032E-2</c:v>
                </c:pt>
                <c:pt idx="6">
                  <c:v>8.2966431511903235E-2</c:v>
                </c:pt>
                <c:pt idx="7">
                  <c:v>9.6794170097220439E-2</c:v>
                </c:pt>
                <c:pt idx="8">
                  <c:v>0.11062190868253764</c:v>
                </c:pt>
                <c:pt idx="9">
                  <c:v>0.12444964726785485</c:v>
                </c:pt>
                <c:pt idx="10">
                  <c:v>0.13827738585317206</c:v>
                </c:pt>
                <c:pt idx="11">
                  <c:v>0.15708987742433728</c:v>
                </c:pt>
                <c:pt idx="12">
                  <c:v>0.17590236899550249</c:v>
                </c:pt>
                <c:pt idx="13">
                  <c:v>0.1947148605666677</c:v>
                </c:pt>
                <c:pt idx="14">
                  <c:v>0.21352735213783292</c:v>
                </c:pt>
                <c:pt idx="15">
                  <c:v>0.23233984370899813</c:v>
                </c:pt>
                <c:pt idx="16">
                  <c:v>0.25115233528016334</c:v>
                </c:pt>
                <c:pt idx="17">
                  <c:v>0.26996482685132855</c:v>
                </c:pt>
                <c:pt idx="18">
                  <c:v>0.28877731842249377</c:v>
                </c:pt>
                <c:pt idx="19">
                  <c:v>0.30758980999365898</c:v>
                </c:pt>
                <c:pt idx="20">
                  <c:v>0.32640230156482419</c:v>
                </c:pt>
                <c:pt idx="21">
                  <c:v>0.34521479313598941</c:v>
                </c:pt>
                <c:pt idx="22">
                  <c:v>0.36402728470715462</c:v>
                </c:pt>
                <c:pt idx="23">
                  <c:v>0.38283977627831983</c:v>
                </c:pt>
                <c:pt idx="24">
                  <c:v>0.40165226784948505</c:v>
                </c:pt>
                <c:pt idx="25">
                  <c:v>0.42046475942065026</c:v>
                </c:pt>
                <c:pt idx="26">
                  <c:v>0.43927725099181547</c:v>
                </c:pt>
                <c:pt idx="27">
                  <c:v>0.45808974256298068</c:v>
                </c:pt>
                <c:pt idx="28">
                  <c:v>0.4769022341341459</c:v>
                </c:pt>
                <c:pt idx="29">
                  <c:v>0.49571472570531111</c:v>
                </c:pt>
                <c:pt idx="30">
                  <c:v>0.5145272172764761</c:v>
                </c:pt>
              </c:numCache>
            </c:numRef>
          </c:val>
          <c:extLst>
            <c:ext xmlns:c16="http://schemas.microsoft.com/office/drawing/2014/chart" uri="{C3380CC4-5D6E-409C-BE32-E72D297353CC}">
              <c16:uniqueId val="{00000003-C6B1-4AB6-A377-BDB530BE2858}"/>
            </c:ext>
          </c:extLst>
        </c:ser>
        <c:ser>
          <c:idx val="3"/>
          <c:order val="4"/>
          <c:tx>
            <c:strRef>
              <c:f>'Stacked areas data'!$E$9</c:f>
              <c:strCache>
                <c:ptCount val="1"/>
                <c:pt idx="0">
                  <c:v>Fossil waste fuels</c:v>
                </c:pt>
              </c:strCache>
            </c:strRef>
          </c:tx>
          <c:spPr>
            <a:solidFill>
              <a:schemeClr val="bg1">
                <a:lumMod val="50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data'!$E$10:$E$40</c:f>
              <c:numCache>
                <c:formatCode>#,##0.00</c:formatCode>
                <c:ptCount val="31"/>
                <c:pt idx="0">
                  <c:v>0</c:v>
                </c:pt>
                <c:pt idx="1">
                  <c:v>1.2925332930439648E-2</c:v>
                </c:pt>
                <c:pt idx="2">
                  <c:v>2.5850665860879297E-2</c:v>
                </c:pt>
                <c:pt idx="3">
                  <c:v>3.8775998791318947E-2</c:v>
                </c:pt>
                <c:pt idx="4">
                  <c:v>5.1701331721758594E-2</c:v>
                </c:pt>
                <c:pt idx="5">
                  <c:v>6.462666465219824E-2</c:v>
                </c:pt>
                <c:pt idx="6">
                  <c:v>7.7551997582637894E-2</c:v>
                </c:pt>
                <c:pt idx="7">
                  <c:v>9.0477330513077547E-2</c:v>
                </c:pt>
                <c:pt idx="8">
                  <c:v>0.1034026634435172</c:v>
                </c:pt>
                <c:pt idx="9">
                  <c:v>0.11632799637395685</c:v>
                </c:pt>
                <c:pt idx="10">
                  <c:v>0.12925332930439648</c:v>
                </c:pt>
                <c:pt idx="11">
                  <c:v>0.13383059238525793</c:v>
                </c:pt>
                <c:pt idx="12">
                  <c:v>0.13840785546611939</c:v>
                </c:pt>
                <c:pt idx="13">
                  <c:v>0.14298511854698084</c:v>
                </c:pt>
                <c:pt idx="14">
                  <c:v>0.1475623816278423</c:v>
                </c:pt>
                <c:pt idx="15">
                  <c:v>0.15213964470870375</c:v>
                </c:pt>
                <c:pt idx="16">
                  <c:v>0.15671690778956521</c:v>
                </c:pt>
                <c:pt idx="17">
                  <c:v>0.16129417087042666</c:v>
                </c:pt>
                <c:pt idx="18">
                  <c:v>0.16587143395128812</c:v>
                </c:pt>
                <c:pt idx="19">
                  <c:v>0.17044869703214957</c:v>
                </c:pt>
                <c:pt idx="20">
                  <c:v>0.17502596011301103</c:v>
                </c:pt>
                <c:pt idx="21">
                  <c:v>0.17960322319387248</c:v>
                </c:pt>
                <c:pt idx="22">
                  <c:v>0.18418048627473393</c:v>
                </c:pt>
                <c:pt idx="23">
                  <c:v>0.18875774935559539</c:v>
                </c:pt>
                <c:pt idx="24">
                  <c:v>0.19333501243645684</c:v>
                </c:pt>
                <c:pt idx="25">
                  <c:v>0.1979122755173183</c:v>
                </c:pt>
                <c:pt idx="26">
                  <c:v>0.20248953859817975</c:v>
                </c:pt>
                <c:pt idx="27">
                  <c:v>0.20706680167904121</c:v>
                </c:pt>
                <c:pt idx="28">
                  <c:v>0.21164406475990266</c:v>
                </c:pt>
                <c:pt idx="29">
                  <c:v>0.21622132784076412</c:v>
                </c:pt>
                <c:pt idx="30">
                  <c:v>0.22079859092162568</c:v>
                </c:pt>
              </c:numCache>
            </c:numRef>
          </c:val>
          <c:extLst>
            <c:ext xmlns:c16="http://schemas.microsoft.com/office/drawing/2014/chart" uri="{C3380CC4-5D6E-409C-BE32-E72D297353CC}">
              <c16:uniqueId val="{00000004-C6B1-4AB6-A377-BDB530BE2858}"/>
            </c:ext>
          </c:extLst>
        </c:ser>
        <c:ser>
          <c:idx val="2"/>
          <c:order val="5"/>
          <c:tx>
            <c:strRef>
              <c:f>'Stacked areas data'!$D$9</c:f>
              <c:strCache>
                <c:ptCount val="1"/>
                <c:pt idx="0">
                  <c:v>CCUS</c:v>
                </c:pt>
              </c:strCache>
            </c:strRef>
          </c:tx>
          <c:spPr>
            <a:solidFill>
              <a:srgbClr val="7030A0"/>
            </a:solidFill>
            <a:ln>
              <a:noFill/>
            </a:ln>
            <a:effectLst/>
          </c:spPr>
          <c:cat>
            <c:numRef>
              <c:f>'Stacked areas data'!$A$10:$A$40</c:f>
              <c:numCache>
                <c:formatCode>General</c:formatCode>
                <c:ptCount val="31"/>
                <c:pt idx="0">
                  <c:v>2020</c:v>
                </c:pt>
                <c:pt idx="10">
                  <c:v>2030</c:v>
                </c:pt>
                <c:pt idx="30">
                  <c:v>2050</c:v>
                </c:pt>
              </c:numCache>
            </c:numRef>
          </c:cat>
          <c:val>
            <c:numRef>
              <c:f>'Stacked areas data'!$D$10:$D$40</c:f>
              <c:numCache>
                <c:formatCode>#,##0.00</c:formatCode>
                <c:ptCount val="31"/>
                <c:pt idx="0">
                  <c:v>0</c:v>
                </c:pt>
                <c:pt idx="1">
                  <c:v>0</c:v>
                </c:pt>
                <c:pt idx="2">
                  <c:v>0</c:v>
                </c:pt>
                <c:pt idx="3">
                  <c:v>0</c:v>
                </c:pt>
                <c:pt idx="4">
                  <c:v>0</c:v>
                </c:pt>
                <c:pt idx="5">
                  <c:v>0</c:v>
                </c:pt>
                <c:pt idx="6">
                  <c:v>0</c:v>
                </c:pt>
                <c:pt idx="7">
                  <c:v>0</c:v>
                </c:pt>
                <c:pt idx="8">
                  <c:v>0</c:v>
                </c:pt>
                <c:pt idx="9">
                  <c:v>0</c:v>
                </c:pt>
                <c:pt idx="10">
                  <c:v>0</c:v>
                </c:pt>
                <c:pt idx="11">
                  <c:v>0.27534370109139433</c:v>
                </c:pt>
                <c:pt idx="12">
                  <c:v>0.55068740218278867</c:v>
                </c:pt>
                <c:pt idx="13">
                  <c:v>0.82603110327418294</c:v>
                </c:pt>
                <c:pt idx="14">
                  <c:v>1.1013748043655773</c:v>
                </c:pt>
                <c:pt idx="15">
                  <c:v>1.3767185054569717</c:v>
                </c:pt>
                <c:pt idx="16">
                  <c:v>1.6520622065483661</c:v>
                </c:pt>
                <c:pt idx="17">
                  <c:v>1.9274059076397605</c:v>
                </c:pt>
                <c:pt idx="18">
                  <c:v>2.2027496087311547</c:v>
                </c:pt>
                <c:pt idx="19">
                  <c:v>2.4780933098225488</c:v>
                </c:pt>
                <c:pt idx="20">
                  <c:v>2.753437010913943</c:v>
                </c:pt>
                <c:pt idx="21">
                  <c:v>3.0287807120053372</c:v>
                </c:pt>
                <c:pt idx="22">
                  <c:v>3.3041244130967313</c:v>
                </c:pt>
                <c:pt idx="23">
                  <c:v>3.5794681141881255</c:v>
                </c:pt>
                <c:pt idx="24">
                  <c:v>3.8548118152795197</c:v>
                </c:pt>
                <c:pt idx="25">
                  <c:v>4.1301555163709143</c:v>
                </c:pt>
                <c:pt idx="26">
                  <c:v>4.4054992174623084</c:v>
                </c:pt>
                <c:pt idx="27">
                  <c:v>4.6808429185537026</c:v>
                </c:pt>
                <c:pt idx="28">
                  <c:v>4.9561866196450968</c:v>
                </c:pt>
                <c:pt idx="29">
                  <c:v>5.2315303207364909</c:v>
                </c:pt>
                <c:pt idx="30">
                  <c:v>5.5068740218278869</c:v>
                </c:pt>
              </c:numCache>
            </c:numRef>
          </c:val>
          <c:extLst>
            <c:ext xmlns:c16="http://schemas.microsoft.com/office/drawing/2014/chart" uri="{C3380CC4-5D6E-409C-BE32-E72D297353CC}">
              <c16:uniqueId val="{00000005-C6B1-4AB6-A377-BDB530BE2858}"/>
            </c:ext>
          </c:extLst>
        </c:ser>
        <c:ser>
          <c:idx val="5"/>
          <c:order val="6"/>
          <c:tx>
            <c:strRef>
              <c:f>'Stacked areas data'!$G$9</c:f>
              <c:strCache>
                <c:ptCount val="1"/>
                <c:pt idx="0">
                  <c:v>Clinker</c:v>
                </c:pt>
              </c:strCache>
            </c:strRef>
          </c:tx>
          <c:spPr>
            <a:solidFill>
              <a:schemeClr val="accent4">
                <a:lumMod val="60000"/>
                <a:lumOff val="40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data'!$G$10:$G$40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0.36101286893949514</c:v>
                </c:pt>
              </c:numCache>
            </c:numRef>
          </c:val>
          <c:extLst>
            <c:ext xmlns:c16="http://schemas.microsoft.com/office/drawing/2014/chart" uri="{C3380CC4-5D6E-409C-BE32-E72D297353CC}">
              <c16:uniqueId val="{00000006-C6B1-4AB6-A377-BDB530BE2858}"/>
            </c:ext>
          </c:extLst>
        </c:ser>
        <c:ser>
          <c:idx val="7"/>
          <c:order val="7"/>
          <c:tx>
            <c:strRef>
              <c:f>'Stacked areas data'!$I$9</c:f>
              <c:strCache>
                <c:ptCount val="1"/>
                <c:pt idx="0">
                  <c:v>New binders</c:v>
                </c:pt>
              </c:strCache>
            </c:strRef>
          </c:tx>
          <c:spPr>
            <a:solidFill>
              <a:schemeClr val="accent2">
                <a:lumMod val="60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data'!$I$10:$I$40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C6B1-4AB6-A377-BDB530BE2858}"/>
            </c:ext>
          </c:extLst>
        </c:ser>
        <c:ser>
          <c:idx val="8"/>
          <c:order val="8"/>
          <c:tx>
            <c:strRef>
              <c:f>'Stacked areas data'!$J$9</c:f>
              <c:strCache>
                <c:ptCount val="1"/>
                <c:pt idx="0">
                  <c:v>Cement &amp; binders</c:v>
                </c:pt>
              </c:strCache>
            </c:strRef>
          </c:tx>
          <c:spPr>
            <a:solidFill>
              <a:srgbClr val="FFFFCC"/>
            </a:solidFill>
            <a:ln>
              <a:noFill/>
            </a:ln>
            <a:effectLst/>
          </c:spPr>
          <c:cat>
            <c:numRef>
              <c:f>'Stacked areas data'!$A$10:$A$40</c:f>
              <c:numCache>
                <c:formatCode>General</c:formatCode>
                <c:ptCount val="31"/>
                <c:pt idx="0">
                  <c:v>2020</c:v>
                </c:pt>
                <c:pt idx="10">
                  <c:v>2030</c:v>
                </c:pt>
                <c:pt idx="30">
                  <c:v>2050</c:v>
                </c:pt>
              </c:numCache>
            </c:numRef>
          </c:cat>
          <c:val>
            <c:numRef>
              <c:f>'Stacked areas data'!$J$10:$J$40</c:f>
              <c:numCache>
                <c:formatCode>#,##0.00</c:formatCode>
                <c:ptCount val="31"/>
                <c:pt idx="0">
                  <c:v>0</c:v>
                </c:pt>
                <c:pt idx="1">
                  <c:v>1.7284106650704522E-2</c:v>
                </c:pt>
                <c:pt idx="2">
                  <c:v>3.4568213301409044E-2</c:v>
                </c:pt>
                <c:pt idx="3">
                  <c:v>5.1852319952113562E-2</c:v>
                </c:pt>
                <c:pt idx="4">
                  <c:v>6.9136426602818088E-2</c:v>
                </c:pt>
                <c:pt idx="5">
                  <c:v>8.6420533253522613E-2</c:v>
                </c:pt>
                <c:pt idx="6">
                  <c:v>0.10370463990422714</c:v>
                </c:pt>
                <c:pt idx="7">
                  <c:v>0.12098874655493166</c:v>
                </c:pt>
                <c:pt idx="8">
                  <c:v>0.13827285320563618</c:v>
                </c:pt>
                <c:pt idx="9">
                  <c:v>0.15555695985634069</c:v>
                </c:pt>
                <c:pt idx="10">
                  <c:v>0.17284106650704523</c:v>
                </c:pt>
                <c:pt idx="11">
                  <c:v>0.19618970120507279</c:v>
                </c:pt>
                <c:pt idx="12">
                  <c:v>0.21953833590310035</c:v>
                </c:pt>
                <c:pt idx="13">
                  <c:v>0.24288697060112791</c:v>
                </c:pt>
                <c:pt idx="14">
                  <c:v>0.26623560529915546</c:v>
                </c:pt>
                <c:pt idx="15">
                  <c:v>0.28958423999718302</c:v>
                </c:pt>
                <c:pt idx="16">
                  <c:v>0.31293287469521058</c:v>
                </c:pt>
                <c:pt idx="17">
                  <c:v>0.33628150939323814</c:v>
                </c:pt>
                <c:pt idx="18">
                  <c:v>0.3596301440912657</c:v>
                </c:pt>
                <c:pt idx="19">
                  <c:v>0.38297877878929326</c:v>
                </c:pt>
                <c:pt idx="20">
                  <c:v>0.40632741348732082</c:v>
                </c:pt>
                <c:pt idx="21">
                  <c:v>0.42967604818534838</c:v>
                </c:pt>
                <c:pt idx="22">
                  <c:v>0.45302468288337594</c:v>
                </c:pt>
                <c:pt idx="23">
                  <c:v>0.4763733175814035</c:v>
                </c:pt>
                <c:pt idx="24">
                  <c:v>0.49972195227943106</c:v>
                </c:pt>
                <c:pt idx="25">
                  <c:v>0.52307058697745867</c:v>
                </c:pt>
                <c:pt idx="26">
                  <c:v>0.54641922167548629</c:v>
                </c:pt>
                <c:pt idx="27">
                  <c:v>0.5697678563735139</c:v>
                </c:pt>
                <c:pt idx="28">
                  <c:v>0.59311649107154152</c:v>
                </c:pt>
                <c:pt idx="29">
                  <c:v>0.61646512576956913</c:v>
                </c:pt>
                <c:pt idx="30">
                  <c:v>0.63981376046759664</c:v>
                </c:pt>
              </c:numCache>
            </c:numRef>
          </c:val>
          <c:extLst>
            <c:ext xmlns:c16="http://schemas.microsoft.com/office/drawing/2014/chart" uri="{C3380CC4-5D6E-409C-BE32-E72D297353CC}">
              <c16:uniqueId val="{00000008-C6B1-4AB6-A377-BDB530BE2858}"/>
            </c:ext>
          </c:extLst>
        </c:ser>
        <c:ser>
          <c:idx val="9"/>
          <c:order val="9"/>
          <c:tx>
            <c:strRef>
              <c:f>'Stacked areas data'!$K$9</c:f>
              <c:strCache>
                <c:ptCount val="1"/>
                <c:pt idx="0">
                  <c:v>Concrete</c:v>
                </c:pt>
              </c:strCache>
            </c:strRef>
          </c:tx>
          <c:spPr>
            <a:solidFill>
              <a:schemeClr val="tx2">
                <a:lumMod val="75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data'!$K$10:$K$40</c:f>
              <c:numCache>
                <c:formatCode>#,##0.00</c:formatCode>
                <c:ptCount val="31"/>
                <c:pt idx="0">
                  <c:v>0</c:v>
                </c:pt>
                <c:pt idx="1">
                  <c:v>7.2725528174002465E-4</c:v>
                </c:pt>
                <c:pt idx="2">
                  <c:v>1.4545105634800493E-3</c:v>
                </c:pt>
                <c:pt idx="3">
                  <c:v>2.1817658452200741E-3</c:v>
                </c:pt>
                <c:pt idx="4">
                  <c:v>2.9090211269600986E-3</c:v>
                </c:pt>
                <c:pt idx="5">
                  <c:v>3.6362764087001231E-3</c:v>
                </c:pt>
                <c:pt idx="6">
                  <c:v>4.3635316904401481E-3</c:v>
                </c:pt>
                <c:pt idx="7">
                  <c:v>5.0907869721801731E-3</c:v>
                </c:pt>
                <c:pt idx="8">
                  <c:v>5.8180422539201981E-3</c:v>
                </c:pt>
                <c:pt idx="9">
                  <c:v>6.545297535660223E-3</c:v>
                </c:pt>
                <c:pt idx="10">
                  <c:v>7.2725528174002463E-3</c:v>
                </c:pt>
                <c:pt idx="11">
                  <c:v>3.1687138121341316E-2</c:v>
                </c:pt>
                <c:pt idx="12">
                  <c:v>5.6101723425282385E-2</c:v>
                </c:pt>
                <c:pt idx="13">
                  <c:v>8.0516308729223454E-2</c:v>
                </c:pt>
                <c:pt idx="14">
                  <c:v>0.10493089403316452</c:v>
                </c:pt>
                <c:pt idx="15">
                  <c:v>0.12934547933710561</c:v>
                </c:pt>
                <c:pt idx="16">
                  <c:v>0.15376006464104669</c:v>
                </c:pt>
                <c:pt idx="17">
                  <c:v>0.17817464994498777</c:v>
                </c:pt>
                <c:pt idx="18">
                  <c:v>0.20258923524892886</c:v>
                </c:pt>
                <c:pt idx="19">
                  <c:v>0.22700382055286994</c:v>
                </c:pt>
                <c:pt idx="20">
                  <c:v>0.25141840585681102</c:v>
                </c:pt>
                <c:pt idx="21">
                  <c:v>0.27583299116075211</c:v>
                </c:pt>
                <c:pt idx="22">
                  <c:v>0.30024757646469319</c:v>
                </c:pt>
                <c:pt idx="23">
                  <c:v>0.32466216176863427</c:v>
                </c:pt>
                <c:pt idx="24">
                  <c:v>0.34907674707257536</c:v>
                </c:pt>
                <c:pt idx="25">
                  <c:v>0.37349133237651644</c:v>
                </c:pt>
                <c:pt idx="26">
                  <c:v>0.39790591768045752</c:v>
                </c:pt>
                <c:pt idx="27">
                  <c:v>0.4223205029843986</c:v>
                </c:pt>
                <c:pt idx="28">
                  <c:v>0.44673508828833969</c:v>
                </c:pt>
                <c:pt idx="29">
                  <c:v>0.47114967359228077</c:v>
                </c:pt>
                <c:pt idx="30">
                  <c:v>0.49556425889622169</c:v>
                </c:pt>
              </c:numCache>
            </c:numRef>
          </c:val>
          <c:extLst>
            <c:ext xmlns:c16="http://schemas.microsoft.com/office/drawing/2014/chart" uri="{C3380CC4-5D6E-409C-BE32-E72D297353CC}">
              <c16:uniqueId val="{00000009-C6B1-4AB6-A377-BDB530BE2858}"/>
            </c:ext>
          </c:extLst>
        </c:ser>
        <c:ser>
          <c:idx val="10"/>
          <c:order val="10"/>
          <c:tx>
            <c:strRef>
              <c:f>'Stacked areas data'!$L$9</c:f>
              <c:strCache>
                <c:ptCount val="1"/>
                <c:pt idx="0">
                  <c:v>Design &amp; Construction</c:v>
                </c:pt>
              </c:strCache>
            </c:strRef>
          </c:tx>
          <c:spPr>
            <a:solidFill>
              <a:schemeClr val="tx2">
                <a:lumMod val="20000"/>
                <a:lumOff val="80000"/>
              </a:schemeClr>
            </a:solidFill>
            <a:ln>
              <a:noFill/>
            </a:ln>
            <a:effectLst/>
          </c:spPr>
          <c:cat>
            <c:numRef>
              <c:f>'Stacked areas data'!$A$10:$A$40</c:f>
              <c:numCache>
                <c:formatCode>General</c:formatCode>
                <c:ptCount val="31"/>
                <c:pt idx="0">
                  <c:v>2020</c:v>
                </c:pt>
                <c:pt idx="10">
                  <c:v>2030</c:v>
                </c:pt>
                <c:pt idx="30">
                  <c:v>2050</c:v>
                </c:pt>
              </c:numCache>
            </c:numRef>
          </c:cat>
          <c:val>
            <c:numRef>
              <c:f>'Stacked areas data'!$L$10:$L$40</c:f>
              <c:numCache>
                <c:formatCode>#,##0.00</c:formatCode>
                <c:ptCount val="31"/>
                <c:pt idx="0">
                  <c:v>0</c:v>
                </c:pt>
                <c:pt idx="1">
                  <c:v>3.4450102587308698E-2</c:v>
                </c:pt>
                <c:pt idx="2">
                  <c:v>6.8900205174617396E-2</c:v>
                </c:pt>
                <c:pt idx="3">
                  <c:v>0.10335030776192609</c:v>
                </c:pt>
                <c:pt idx="4">
                  <c:v>0.13780041034923479</c:v>
                </c:pt>
                <c:pt idx="5">
                  <c:v>0.17225051293654348</c:v>
                </c:pt>
                <c:pt idx="6">
                  <c:v>0.20670061552385216</c:v>
                </c:pt>
                <c:pt idx="7">
                  <c:v>0.24115071811116084</c:v>
                </c:pt>
                <c:pt idx="8">
                  <c:v>0.27560082069846953</c:v>
                </c:pt>
                <c:pt idx="9">
                  <c:v>0.31005092328577821</c:v>
                </c:pt>
                <c:pt idx="10">
                  <c:v>0.34450102587308695</c:v>
                </c:pt>
                <c:pt idx="11">
                  <c:v>0.36939795663938024</c:v>
                </c:pt>
                <c:pt idx="12">
                  <c:v>0.39429488740567353</c:v>
                </c:pt>
                <c:pt idx="13">
                  <c:v>0.41919181817196682</c:v>
                </c:pt>
                <c:pt idx="14">
                  <c:v>0.44408874893826011</c:v>
                </c:pt>
                <c:pt idx="15">
                  <c:v>0.4689856797045534</c:v>
                </c:pt>
                <c:pt idx="16">
                  <c:v>0.49388261047084669</c:v>
                </c:pt>
                <c:pt idx="17">
                  <c:v>0.51877954123713999</c:v>
                </c:pt>
                <c:pt idx="18">
                  <c:v>0.54367647200343328</c:v>
                </c:pt>
                <c:pt idx="19">
                  <c:v>0.56857340276972657</c:v>
                </c:pt>
                <c:pt idx="20">
                  <c:v>0.59347033353601986</c:v>
                </c:pt>
                <c:pt idx="21">
                  <c:v>0.61836726430231315</c:v>
                </c:pt>
                <c:pt idx="22">
                  <c:v>0.64326419506860644</c:v>
                </c:pt>
                <c:pt idx="23">
                  <c:v>0.66816112583489973</c:v>
                </c:pt>
                <c:pt idx="24">
                  <c:v>0.69305805660119302</c:v>
                </c:pt>
                <c:pt idx="25">
                  <c:v>0.71795498736748631</c:v>
                </c:pt>
                <c:pt idx="26">
                  <c:v>0.7428519181337796</c:v>
                </c:pt>
                <c:pt idx="27">
                  <c:v>0.76774884890007289</c:v>
                </c:pt>
                <c:pt idx="28">
                  <c:v>0.79264577966636618</c:v>
                </c:pt>
                <c:pt idx="29">
                  <c:v>0.81754271043265947</c:v>
                </c:pt>
                <c:pt idx="30">
                  <c:v>0.84243964119895232</c:v>
                </c:pt>
              </c:numCache>
            </c:numRef>
          </c:val>
          <c:extLst>
            <c:ext xmlns:c16="http://schemas.microsoft.com/office/drawing/2014/chart" uri="{C3380CC4-5D6E-409C-BE32-E72D297353CC}">
              <c16:uniqueId val="{0000000A-C6B1-4AB6-A377-BDB530BE2858}"/>
            </c:ext>
          </c:extLst>
        </c:ser>
        <c:dLbls>
          <c:showLegendKey val="0"/>
          <c:showVal val="0"/>
          <c:showCatName val="0"/>
          <c:showSerName val="0"/>
          <c:showPercent val="0"/>
          <c:showBubbleSize val="0"/>
        </c:dLbls>
        <c:axId val="764732479"/>
        <c:axId val="764731231"/>
      </c:areaChart>
      <c:lineChart>
        <c:grouping val="standard"/>
        <c:varyColors val="0"/>
        <c:ser>
          <c:idx val="11"/>
          <c:order val="11"/>
          <c:tx>
            <c:strRef>
              <c:f>'Stacked areas data'!$M$9</c:f>
              <c:strCache>
                <c:ptCount val="1"/>
                <c:pt idx="0">
                  <c:v>Societal demand</c:v>
                </c:pt>
              </c:strCache>
            </c:strRef>
          </c:tx>
          <c:spPr>
            <a:ln w="28575" cap="rnd">
              <a:solidFill>
                <a:schemeClr val="accent6">
                  <a:lumMod val="60000"/>
                </a:schemeClr>
              </a:solidFill>
              <a:prstDash val="dash"/>
              <a:round/>
            </a:ln>
            <a:effectLst/>
          </c:spPr>
          <c:marker>
            <c:symbol val="none"/>
          </c:marker>
          <c:cat>
            <c:numRef>
              <c:f>'Stacked areas data'!$A$10:$A$40</c:f>
              <c:numCache>
                <c:formatCode>General</c:formatCode>
                <c:ptCount val="31"/>
                <c:pt idx="0">
                  <c:v>2020</c:v>
                </c:pt>
                <c:pt idx="10">
                  <c:v>2030</c:v>
                </c:pt>
                <c:pt idx="30">
                  <c:v>2050</c:v>
                </c:pt>
              </c:numCache>
            </c:numRef>
          </c:cat>
          <c:val>
            <c:numRef>
              <c:f>'Stacked areas data'!$M$10:$M$40</c:f>
              <c:numCache>
                <c:formatCode>#,##0.00</c:formatCode>
                <c:ptCount val="31"/>
                <c:pt idx="0">
                  <c:v>6.6131606411363526</c:v>
                </c:pt>
                <c:pt idx="1">
                  <c:v>6.7321975326768069</c:v>
                </c:pt>
                <c:pt idx="2">
                  <c:v>6.8512344242172611</c:v>
                </c:pt>
                <c:pt idx="3">
                  <c:v>6.9702713157577154</c:v>
                </c:pt>
                <c:pt idx="4">
                  <c:v>7.0893082072981697</c:v>
                </c:pt>
                <c:pt idx="5">
                  <c:v>7.208345098838624</c:v>
                </c:pt>
                <c:pt idx="6">
                  <c:v>7.3273819903790782</c:v>
                </c:pt>
                <c:pt idx="7">
                  <c:v>7.4464188819195325</c:v>
                </c:pt>
                <c:pt idx="8">
                  <c:v>7.5654557734599868</c:v>
                </c:pt>
                <c:pt idx="9">
                  <c:v>7.684492665000441</c:v>
                </c:pt>
                <c:pt idx="10">
                  <c:v>7.8035295565408953</c:v>
                </c:pt>
                <c:pt idx="11">
                  <c:v>7.9258730284019183</c:v>
                </c:pt>
                <c:pt idx="12">
                  <c:v>8.0482165002629404</c:v>
                </c:pt>
                <c:pt idx="13">
                  <c:v>8.1705599721239626</c:v>
                </c:pt>
                <c:pt idx="14">
                  <c:v>8.2929034439849847</c:v>
                </c:pt>
                <c:pt idx="15">
                  <c:v>8.4152469158460068</c:v>
                </c:pt>
                <c:pt idx="16">
                  <c:v>8.5375903877070289</c:v>
                </c:pt>
                <c:pt idx="17">
                  <c:v>8.6599338595680511</c:v>
                </c:pt>
                <c:pt idx="18">
                  <c:v>8.7822773314290732</c:v>
                </c:pt>
                <c:pt idx="19">
                  <c:v>8.9046208032900953</c:v>
                </c:pt>
                <c:pt idx="20">
                  <c:v>9.0269642751511174</c:v>
                </c:pt>
                <c:pt idx="21">
                  <c:v>9.1493077470121396</c:v>
                </c:pt>
                <c:pt idx="22">
                  <c:v>9.2716512188731617</c:v>
                </c:pt>
                <c:pt idx="23">
                  <c:v>9.3939946907341838</c:v>
                </c:pt>
                <c:pt idx="24">
                  <c:v>9.5163381625952059</c:v>
                </c:pt>
                <c:pt idx="25">
                  <c:v>9.6386816344562281</c:v>
                </c:pt>
                <c:pt idx="26">
                  <c:v>9.7610251063172502</c:v>
                </c:pt>
                <c:pt idx="27">
                  <c:v>9.8833685781782723</c:v>
                </c:pt>
                <c:pt idx="28">
                  <c:v>10.005712050039294</c:v>
                </c:pt>
                <c:pt idx="29">
                  <c:v>10.128055521900317</c:v>
                </c:pt>
                <c:pt idx="30">
                  <c:v>10.250398993761348</c:v>
                </c:pt>
              </c:numCache>
            </c:numRef>
          </c:val>
          <c:smooth val="0"/>
          <c:extLst>
            <c:ext xmlns:c16="http://schemas.microsoft.com/office/drawing/2014/chart" uri="{C3380CC4-5D6E-409C-BE32-E72D297353CC}">
              <c16:uniqueId val="{0000000B-C6B1-4AB6-A377-BDB530BE2858}"/>
            </c:ext>
          </c:extLst>
        </c:ser>
        <c:dLbls>
          <c:showLegendKey val="0"/>
          <c:showVal val="0"/>
          <c:showCatName val="0"/>
          <c:showSerName val="0"/>
          <c:showPercent val="0"/>
          <c:showBubbleSize val="0"/>
        </c:dLbls>
        <c:marker val="1"/>
        <c:smooth val="0"/>
        <c:axId val="764732479"/>
        <c:axId val="764731231"/>
      </c:lineChart>
      <c:catAx>
        <c:axId val="764732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64731231"/>
        <c:crosses val="autoZero"/>
        <c:auto val="1"/>
        <c:lblAlgn val="ctr"/>
        <c:lblOffset val="100"/>
        <c:noMultiLvlLbl val="0"/>
      </c:catAx>
      <c:valAx>
        <c:axId val="76473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a:t>
                </a:r>
                <a:r>
                  <a:rPr lang="de-DE" baseline="-25000"/>
                  <a:t>2</a:t>
                </a:r>
                <a:r>
                  <a:rPr lang="de-DE" baseline="0"/>
                  <a:t> emissions (Mt CO</a:t>
                </a:r>
                <a:r>
                  <a:rPr lang="de-DE" baseline="-25000"/>
                  <a:t>2</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64732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Contributions to achieve net</a:t>
            </a:r>
            <a:r>
              <a:rPr lang="de-DE" baseline="0"/>
              <a:t> zero</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stacked"/>
        <c:varyColors val="0"/>
        <c:ser>
          <c:idx val="2"/>
          <c:order val="0"/>
          <c:tx>
            <c:strRef>
              <c:f>'Stacked bar and box data'!$E$16</c:f>
              <c:strCache>
                <c:ptCount val="1"/>
                <c:pt idx="0">
                  <c:v>Recarbonation</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data'!$E$20</c:f>
              <c:numCache>
                <c:formatCode>0.0%</c:formatCode>
                <c:ptCount val="1"/>
                <c:pt idx="0">
                  <c:v>0.15528121282395901</c:v>
                </c:pt>
              </c:numCache>
            </c:numRef>
          </c:val>
          <c:extLst>
            <c:ext xmlns:c16="http://schemas.microsoft.com/office/drawing/2014/chart" uri="{C3380CC4-5D6E-409C-BE32-E72D297353CC}">
              <c16:uniqueId val="{00000000-BACA-42AD-8A97-47FB5DF83BE9}"/>
            </c:ext>
          </c:extLst>
        </c:ser>
        <c:ser>
          <c:idx val="4"/>
          <c:order val="1"/>
          <c:tx>
            <c:strRef>
              <c:f>'Stacked bar and box data'!$G$16</c:f>
              <c:strCache>
                <c:ptCount val="1"/>
                <c:pt idx="0">
                  <c:v>Electricity</c:v>
                </c:pt>
              </c:strCache>
            </c:strRef>
          </c:tx>
          <c:spPr>
            <a:solidFill>
              <a:srgbClr val="0070C0"/>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8-BACA-42AD-8A97-47FB5DF83BE9}"/>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data'!$G$20</c:f>
              <c:numCache>
                <c:formatCode>0.0%</c:formatCode>
                <c:ptCount val="1"/>
                <c:pt idx="0">
                  <c:v>5.019582336157162E-2</c:v>
                </c:pt>
              </c:numCache>
            </c:numRef>
          </c:val>
          <c:extLst>
            <c:ext xmlns:c16="http://schemas.microsoft.com/office/drawing/2014/chart" uri="{C3380CC4-5D6E-409C-BE32-E72D297353CC}">
              <c16:uniqueId val="{00000001-BACA-42AD-8A97-47FB5DF83BE9}"/>
            </c:ext>
          </c:extLst>
        </c:ser>
        <c:ser>
          <c:idx val="0"/>
          <c:order val="2"/>
          <c:tx>
            <c:strRef>
              <c:f>'Stacked bar and box data'!$D$16</c:f>
              <c:strCache>
                <c:ptCount val="1"/>
                <c:pt idx="0">
                  <c:v>CCUS</c:v>
                </c:pt>
              </c:strCache>
            </c:strRef>
          </c:tx>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9-BACA-42AD-8A97-47FB5DF83BE9}"/>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data'!$D$20</c:f>
              <c:numCache>
                <c:formatCode>0.0%</c:formatCode>
                <c:ptCount val="1"/>
                <c:pt idx="0">
                  <c:v>0.53723508959792787</c:v>
                </c:pt>
              </c:numCache>
            </c:numRef>
          </c:val>
          <c:extLst>
            <c:ext xmlns:c16="http://schemas.microsoft.com/office/drawing/2014/chart" uri="{C3380CC4-5D6E-409C-BE32-E72D297353CC}">
              <c16:uniqueId val="{00000002-BACA-42AD-8A97-47FB5DF83BE9}"/>
            </c:ext>
          </c:extLst>
        </c:ser>
        <c:ser>
          <c:idx val="3"/>
          <c:order val="3"/>
          <c:tx>
            <c:strRef>
              <c:f>'Stacked bar and box data'!$F$16</c:f>
              <c:strCache>
                <c:ptCount val="1"/>
                <c:pt idx="0">
                  <c:v>Clinker (incl. fossil waste fuels)</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data'!$F$20</c:f>
              <c:numCache>
                <c:formatCode>0.0%</c:formatCode>
                <c:ptCount val="1"/>
                <c:pt idx="0">
                  <c:v>5.6759884197212812E-2</c:v>
                </c:pt>
              </c:numCache>
            </c:numRef>
          </c:val>
          <c:extLst>
            <c:ext xmlns:c16="http://schemas.microsoft.com/office/drawing/2014/chart" uri="{C3380CC4-5D6E-409C-BE32-E72D297353CC}">
              <c16:uniqueId val="{00000003-BACA-42AD-8A97-47FB5DF83BE9}"/>
            </c:ext>
          </c:extLst>
        </c:ser>
        <c:ser>
          <c:idx val="5"/>
          <c:order val="4"/>
          <c:tx>
            <c:strRef>
              <c:f>'Stacked bar and box data'!$H$16</c:f>
              <c:strCache>
                <c:ptCount val="1"/>
                <c:pt idx="0">
                  <c:v>Cement &amp; binders (incl. new binders)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data'!$H$20</c:f>
              <c:numCache>
                <c:formatCode>0.0%</c:formatCode>
                <c:ptCount val="1"/>
                <c:pt idx="0">
                  <c:v>6.2418424966384577E-2</c:v>
                </c:pt>
              </c:numCache>
            </c:numRef>
          </c:val>
          <c:extLst>
            <c:ext xmlns:c16="http://schemas.microsoft.com/office/drawing/2014/chart" uri="{C3380CC4-5D6E-409C-BE32-E72D297353CC}">
              <c16:uniqueId val="{00000004-BACA-42AD-8A97-47FB5DF83BE9}"/>
            </c:ext>
          </c:extLst>
        </c:ser>
        <c:ser>
          <c:idx val="6"/>
          <c:order val="5"/>
          <c:tx>
            <c:strRef>
              <c:f>'Stacked bar and box data'!$I$16</c:f>
              <c:strCache>
                <c:ptCount val="1"/>
                <c:pt idx="0">
                  <c:v>Concrete</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data'!$I$20</c:f>
              <c:numCache>
                <c:formatCode>0.0%</c:formatCode>
                <c:ptCount val="1"/>
                <c:pt idx="0">
                  <c:v>4.8345850653992557E-2</c:v>
                </c:pt>
              </c:numCache>
            </c:numRef>
          </c:val>
          <c:extLst>
            <c:ext xmlns:c16="http://schemas.microsoft.com/office/drawing/2014/chart" uri="{C3380CC4-5D6E-409C-BE32-E72D297353CC}">
              <c16:uniqueId val="{00000005-BACA-42AD-8A97-47FB5DF83BE9}"/>
            </c:ext>
          </c:extLst>
        </c:ser>
        <c:ser>
          <c:idx val="7"/>
          <c:order val="6"/>
          <c:tx>
            <c:strRef>
              <c:f>'Stacked bar and box data'!$J$16</c:f>
              <c:strCache>
                <c:ptCount val="1"/>
                <c:pt idx="0">
                  <c:v>Design &amp; Construction</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L"/>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and box data'!$A$20</c:f>
              <c:strCache>
                <c:ptCount val="1"/>
                <c:pt idx="0">
                  <c:v>2050 savings in %</c:v>
                </c:pt>
              </c:strCache>
            </c:strRef>
          </c:cat>
          <c:val>
            <c:numRef>
              <c:f>'Stacked bar and box data'!$J$20</c:f>
              <c:numCache>
                <c:formatCode>0.0%</c:formatCode>
                <c:ptCount val="1"/>
                <c:pt idx="0">
                  <c:v>8.2186034096007624E-2</c:v>
                </c:pt>
              </c:numCache>
            </c:numRef>
          </c:val>
          <c:extLst>
            <c:ext xmlns:c16="http://schemas.microsoft.com/office/drawing/2014/chart" uri="{C3380CC4-5D6E-409C-BE32-E72D297353CC}">
              <c16:uniqueId val="{00000006-BACA-42AD-8A97-47FB5DF83BE9}"/>
            </c:ext>
          </c:extLst>
        </c:ser>
        <c:dLbls>
          <c:dLblPos val="ctr"/>
          <c:showLegendKey val="0"/>
          <c:showVal val="1"/>
          <c:showCatName val="0"/>
          <c:showSerName val="0"/>
          <c:showPercent val="0"/>
          <c:showBubbleSize val="0"/>
        </c:dLbls>
        <c:gapWidth val="150"/>
        <c:overlap val="100"/>
        <c:axId val="1046654639"/>
        <c:axId val="1046640079"/>
      </c:barChart>
      <c:catAx>
        <c:axId val="104665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46640079"/>
        <c:crosses val="autoZero"/>
        <c:auto val="1"/>
        <c:lblAlgn val="ctr"/>
        <c:lblOffset val="100"/>
        <c:noMultiLvlLbl val="0"/>
      </c:catAx>
      <c:valAx>
        <c:axId val="104664007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4665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_xlchart.v1.3</cx:f>
      </cx:numDim>
    </cx:data>
    <cx:data id="2">
      <cx:strDim type="cat">
        <cx:f>_xlchart.v1.0</cx:f>
      </cx:strDim>
      <cx:numDim type="val">
        <cx:f>_xlchart.v1.2</cx:f>
      </cx:numDim>
    </cx:data>
  </cx:chartData>
  <cx:chart>
    <cx:title pos="t" align="ctr" overlay="0">
      <cx:tx>
        <cx:txData>
          <cx:v>Gráfico Reducción Emisiones HR NZ Argentina 2050</cx:v>
        </cx:txData>
      </cx:tx>
      <cx:txPr>
        <a:bodyPr spcFirstLastPara="1" vertOverflow="ellipsis" horzOverflow="overflow" wrap="square" lIns="0" tIns="0" rIns="0" bIns="0" anchor="ctr" anchorCtr="1"/>
        <a:lstStyle/>
        <a:p>
          <a:pPr algn="ctr" rtl="0">
            <a:defRPr sz="1800">
              <a:solidFill>
                <a:schemeClr val="bg2">
                  <a:lumMod val="90000"/>
                </a:schemeClr>
              </a:solidFill>
            </a:defRPr>
          </a:pPr>
          <a:r>
            <a:rPr lang="es-MX" sz="1800" b="0" i="0" u="none" strike="noStrike" baseline="0">
              <a:solidFill>
                <a:sysClr val="windowText" lastClr="000000"/>
              </a:solidFill>
              <a:latin typeface="Arial"/>
            </a:rPr>
            <a:t>Gráfico Reducción Emisiones HR NZ Argentina 2050</a:t>
          </a:r>
        </a:p>
      </cx:txPr>
    </cx:title>
    <cx:plotArea>
      <cx:plotAreaRegion>
        <cx:plotSurface>
          <cx:spPr>
            <a:solidFill>
              <a:schemeClr val="bg2"/>
            </a:solidFill>
          </cx:spPr>
        </cx:plotSurface>
        <cx:series layoutId="waterfall" uniqueId="{BA41294A-699B-4079-8E1A-251BE863E463}" formatIdx="0">
          <cx:tx>
            <cx:txData>
              <cx:f/>
              <cx:v>Reduccion (MtCO2)</cx:v>
            </cx:txData>
          </cx:tx>
          <cx:dataPt idx="0">
            <cx:spPr>
              <a:solidFill>
                <a:srgbClr val="E6E6E6">
                  <a:lumMod val="25000"/>
                </a:srgbClr>
              </a:solidFill>
            </cx:spPr>
          </cx:dataPt>
          <cx:dataPt idx="2">
            <cx:spPr>
              <a:solidFill>
                <a:srgbClr val="29B95C"/>
              </a:solidFill>
            </cx:spPr>
          </cx:dataPt>
          <cx:dataPt idx="3">
            <cx:spPr>
              <a:solidFill>
                <a:srgbClr val="29B95C"/>
              </a:solidFill>
            </cx:spPr>
          </cx:dataPt>
          <cx:dataPt idx="4">
            <cx:spPr>
              <a:solidFill>
                <a:srgbClr val="29B95C"/>
              </a:solidFill>
            </cx:spPr>
          </cx:dataPt>
          <cx:dataPt idx="5">
            <cx:spPr>
              <a:solidFill>
                <a:srgbClr val="29B95C"/>
              </a:solidFill>
            </cx:spPr>
          </cx:dataPt>
          <cx:dataPt idx="6">
            <cx:spPr>
              <a:solidFill>
                <a:srgbClr val="00B050"/>
              </a:solidFill>
            </cx:spPr>
          </cx:dataPt>
          <cx:dataPt idx="7">
            <cx:spPr>
              <a:solidFill>
                <a:srgbClr val="29B95C"/>
              </a:solidFill>
            </cx:spPr>
          </cx:dataPt>
          <cx:dataPt idx="8">
            <cx:spPr>
              <a:solidFill>
                <a:srgbClr val="29B95C"/>
              </a:solidFill>
            </cx:spPr>
          </cx:dataPt>
          <cx:dataPt idx="9">
            <cx:spPr>
              <a:solidFill>
                <a:srgbClr val="29B95C"/>
              </a:solidFill>
            </cx:spPr>
          </cx:dataPt>
          <cx:dataPt idx="10">
            <cx:spPr>
              <a:solidFill>
                <a:srgbClr val="29B95C"/>
              </a:solidFill>
            </cx:spPr>
          </cx:dataPt>
          <cx:dataPt idx="11">
            <cx:spPr>
              <a:solidFill>
                <a:srgbClr val="29B95C"/>
              </a:solidFill>
            </cx:spPr>
          </cx:dataPt>
          <cx:dataPt idx="12">
            <cx:spPr>
              <a:solidFill>
                <a:srgbClr val="29B95C"/>
              </a:solidFill>
            </cx:spPr>
          </cx:dataPt>
          <cx:dataPt idx="13">
            <cx:spPr>
              <a:solidFill>
                <a:srgbClr val="29B95C"/>
              </a:solidFill>
            </cx:spPr>
          </cx:dataPt>
          <cx:dataPt idx="14">
            <cx:spPr>
              <a:solidFill>
                <a:srgbClr val="29B95C"/>
              </a:solidFill>
            </cx:spPr>
          </cx:dataPt>
          <cx:dataPt idx="15">
            <cx:spPr>
              <a:solidFill>
                <a:srgbClr val="29B95C"/>
              </a:solidFill>
            </cx:spPr>
          </cx:dataPt>
          <cx:dataLabels pos="outEnd">
            <cx:numFmt formatCode="#.##0,0" sourceLinked="0"/>
            <cx:txPr>
              <a:bodyPr spcFirstLastPara="1" vertOverflow="ellipsis" horzOverflow="overflow" wrap="square" lIns="0" tIns="0" rIns="0" bIns="0" anchor="ctr" anchorCtr="1"/>
              <a:lstStyle/>
              <a:p>
                <a:pPr algn="ctr" rtl="0">
                  <a:defRPr sz="1100" b="1">
                    <a:solidFill>
                      <a:sysClr val="windowText" lastClr="000000"/>
                    </a:solidFill>
                  </a:defRPr>
                </a:pPr>
                <a:endParaRPr lang="es-MX" sz="1100" b="1" i="0" u="none" strike="noStrike" baseline="0">
                  <a:solidFill>
                    <a:sysClr val="windowText" lastClr="000000"/>
                  </a:solidFill>
                  <a:latin typeface="Arial"/>
                </a:endParaRPr>
              </a:p>
            </cx:txPr>
            <cx:visibility seriesName="0" categoryName="0" value="1"/>
            <cx:separator>, </cx:separator>
            <cx:dataLabel idx="0">
              <cx:numFmt formatCode="#.##0,0" sourceLinked="0"/>
              <cx:visibility seriesName="0" categoryName="0" value="1"/>
              <cx:separator>, </cx:separator>
            </cx:dataLabel>
          </cx:dataLabels>
          <cx:dataId val="0"/>
          <cx:layoutPr>
            <cx:visibility connectorLines="1"/>
            <cx:subtotals>
              <cx:idx val="0"/>
            </cx:subtotals>
          </cx:layoutPr>
        </cx:series>
        <cx:series layoutId="waterfall" hidden="1" uniqueId="{9969740D-1111-4976-A42C-0B4F37A91384}" formatIdx="1">
          <cx:tx>
            <cx:txData>
              <cx:f/>
              <cx:v>% Reduccion</cx:v>
            </cx:txData>
          </cx:tx>
          <cx:dataLabels pos="outEnd">
            <cx:visibility seriesName="0" categoryName="0" value="1"/>
          </cx:dataLabels>
          <cx:dataId val="1"/>
          <cx:layoutPr>
            <cx:subtotals/>
          </cx:layoutPr>
        </cx:series>
        <cx:series layoutId="waterfall" hidden="1" uniqueId="{8A8D97A7-F692-4E29-8C34-16A98A114EB5}" formatIdx="2">
          <cx:tx>
            <cx:txData>
              <cx:f/>
              <cx:v>Resto (MtCO2)</cx:v>
            </cx:txData>
          </cx:tx>
          <cx:dataLabels pos="outEnd">
            <cx:visibility seriesName="0" categoryName="0" value="1"/>
          </cx:dataLabels>
          <cx:dataId val="2"/>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ysClr val="windowText" lastClr="000000"/>
                </a:solidFill>
              </a:defRPr>
            </a:pPr>
            <a:endParaRPr lang="es-MX" sz="900" b="0" i="0" u="none" strike="noStrike" baseline="0">
              <a:solidFill>
                <a:sysClr val="windowText" lastClr="000000"/>
              </a:solidFill>
              <a:latin typeface="Arial"/>
            </a:endParaRPr>
          </a:p>
        </cx:txPr>
      </cx:axis>
      <cx:axis id="1">
        <cx:valScaling min="0"/>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s-MX" sz="900" b="0" i="0" u="none" strike="noStrike" baseline="0">
              <a:solidFill>
                <a:sysClr val="windowText" lastClr="000000"/>
              </a:solidFill>
              <a:latin typeface="Arial"/>
            </a:endParaRPr>
          </a:p>
        </cx:txPr>
      </cx:axis>
    </cx:plotArea>
  </cx:chart>
  <cx:spPr>
    <a:solidFill>
      <a:srgbClr val="FFFFFF">
        <a:alpha val="10196"/>
      </a:srgb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size">
        <cx:f dir="row">_xlchart.v1.4</cx:f>
      </cx:numDim>
    </cx:data>
  </cx:chartData>
  <cx:chart>
    <cx:title pos="t" align="ctr" overlay="0">
      <cx:tx>
        <cx:txData>
          <cx:v>Contributions to achieve net zero</cx:v>
        </cx:txData>
      </cx:tx>
      <cx:txPr>
        <a:bodyPr spcFirstLastPara="1" vertOverflow="ellipsis" horzOverflow="overflow" wrap="square" lIns="0" tIns="0" rIns="0" bIns="0" anchor="ctr" anchorCtr="1"/>
        <a:lstStyle/>
        <a:p>
          <a:pPr algn="ctr" rtl="0">
            <a:defRPr b="1"/>
          </a:pPr>
          <a:r>
            <a:rPr lang="de-DE" sz="1400" b="1" i="0" u="none" strike="noStrike" baseline="0">
              <a:solidFill>
                <a:srgbClr val="000000">
                  <a:lumMod val="65000"/>
                  <a:lumOff val="35000"/>
                </a:srgbClr>
              </a:solidFill>
              <a:latin typeface="Arial"/>
            </a:rPr>
            <a:t>Contributions to achieve net zero</a:t>
          </a:r>
        </a:p>
      </cx:txPr>
    </cx:title>
    <cx:plotArea>
      <cx:plotAreaRegion>
        <cx:series layoutId="treemap" uniqueId="{0365F3F6-2DC7-49BF-87C8-8D917C54D6E5}">
          <cx:dataLabels pos="inEnd">
            <cx:txPr>
              <a:bodyPr spcFirstLastPara="1" vertOverflow="ellipsis" horzOverflow="overflow" wrap="square" lIns="0" tIns="0" rIns="0" bIns="0" anchor="ctr" anchorCtr="1"/>
              <a:lstStyle/>
              <a:p>
                <a:pPr algn="ctr" rtl="0">
                  <a:defRPr sz="2000" b="0"/>
                </a:pPr>
                <a:endParaRPr lang="de-DE" sz="2000" b="0" i="0" u="none" strike="noStrike" baseline="0">
                  <a:solidFill>
                    <a:sysClr val="window" lastClr="FFFFFF"/>
                  </a:solidFill>
                  <a:latin typeface="Arial"/>
                </a:endParaRPr>
              </a:p>
            </cx:txPr>
            <cx:visibility seriesName="0" categoryName="0"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withinLinearReversed" id="22">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2">
  <a:schemeClr val="accent2"/>
</cs:colorStyle>
</file>

<file path=xl/charts/colors25.xml><?xml version="1.0" encoding="utf-8"?>
<cs:colorStyle xmlns:cs="http://schemas.microsoft.com/office/drawing/2012/chartStyle" xmlns:a="http://schemas.openxmlformats.org/drawingml/2006/main" meth="withinLinearReversed" id="22">
  <a:schemeClr val="accent2"/>
</cs:colorStyle>
</file>

<file path=xl/charts/colors26.xml><?xml version="1.0" encoding="utf-8"?>
<cs:colorStyle xmlns:cs="http://schemas.microsoft.com/office/drawing/2012/chartStyle" xmlns:a="http://schemas.openxmlformats.org/drawingml/2006/main" meth="withinLinearReversed" id="22">
  <a:schemeClr val="accent2"/>
</cs:colorStyle>
</file>

<file path=xl/charts/colors27.xml><?xml version="1.0" encoding="utf-8"?>
<cs:colorStyle xmlns:cs="http://schemas.microsoft.com/office/drawing/2012/chartStyle" xmlns:a="http://schemas.openxmlformats.org/drawingml/2006/main" meth="withinLinearReversed" id="22">
  <a:schemeClr val="accent2"/>
</cs:colorStyle>
</file>

<file path=xl/charts/colors28.xml><?xml version="1.0" encoding="utf-8"?>
<cs:colorStyle xmlns:cs="http://schemas.microsoft.com/office/drawing/2012/chartStyle" xmlns:a="http://schemas.openxmlformats.org/drawingml/2006/main" meth="withinLinearReversed" id="22">
  <a:schemeClr val="accent2"/>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1.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37.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39.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tabColor rgb="FFFFFF00"/>
  </sheetPr>
  <sheetViews>
    <sheetView zoomScale="70" workbookViewId="0"/>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tabColor rgb="FFFFFF00"/>
  </sheetPr>
  <sheetViews>
    <sheetView zoomScale="70" workbookViewId="0"/>
  </sheetViews>
  <pageMargins left="0.7" right="0.7" top="0.78740157499999996" bottom="0.78740157499999996"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2C9325D-6306-4D30-8F19-9E30EE828E62}">
  <sheetPr>
    <tabColor theme="7"/>
  </sheetPr>
  <sheetViews>
    <sheetView zoomScale="65" workbookViewId="0" zoomToFit="1"/>
  </sheetViews>
  <pageMargins left="0.7" right="0.7" top="0.78740157499999996" bottom="0.78740157499999996"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CD9DC7D-A0DA-4502-8D90-0524DAD89274}">
  <sheetPr>
    <tabColor theme="9" tint="0.39997558519241921"/>
  </sheetPr>
  <sheetViews>
    <sheetView zoomScale="65" workbookViewId="0" zoomToFit="1"/>
  </sheetViews>
  <pageMargins left="0.7" right="0.7" top="0.78740157499999996" bottom="0.78740157499999996"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74B7737-777B-41B6-8A51-B5BD3348CD5F}">
  <sheetPr>
    <tabColor theme="9" tint="0.39997558519241921"/>
  </sheetPr>
  <sheetViews>
    <sheetView zoomScale="60" workbookViewId="0"/>
  </sheetViews>
  <pageMargins left="0.7" right="0.7" top="0.78740157499999996" bottom="0.78740157499999996"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chart" Target="../charts/chart22.xml"/><Relationship Id="rId1" Type="http://schemas.openxmlformats.org/officeDocument/2006/relationships/image" Target="../media/image2.png"/><Relationship Id="rId6" Type="http://schemas.openxmlformats.org/officeDocument/2006/relationships/image" Target="../media/image5.png"/><Relationship Id="rId5" Type="http://schemas.microsoft.com/office/2014/relationships/chartEx" Target="../charts/chartEx1.xml"/><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1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28.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png"/><Relationship Id="rId1" Type="http://schemas.openxmlformats.org/officeDocument/2006/relationships/image" Target="../media/image11.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_rels/drawing3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3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9.png"/></Relationships>
</file>

<file path=xl/drawings/_rels/drawing3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36.xml.rels><?xml version="1.0" encoding="UTF-8" standalone="yes"?>
<Relationships xmlns="http://schemas.openxmlformats.org/package/2006/relationships"><Relationship Id="rId1" Type="http://schemas.openxmlformats.org/officeDocument/2006/relationships/image" Target="../media/image9.png"/></Relationships>
</file>

<file path=xl/drawings/_rels/drawing3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8.xml.rels><?xml version="1.0" encoding="UTF-8" standalone="yes"?>
<Relationships xmlns="http://schemas.openxmlformats.org/package/2006/relationships"><Relationship Id="rId1" Type="http://schemas.openxmlformats.org/officeDocument/2006/relationships/image" Target="../media/image9.png"/></Relationships>
</file>

<file path=xl/drawings/_rels/drawing39.xml.rels><?xml version="1.0" encoding="UTF-8" standalone="yes"?>
<Relationships xmlns="http://schemas.openxmlformats.org/package/2006/relationships"><Relationship Id="rId2" Type="http://schemas.openxmlformats.org/officeDocument/2006/relationships/chart" Target="../charts/chart32.xml"/><Relationship Id="rId1" Type="http://schemas.microsoft.com/office/2014/relationships/chartEx" Target="../charts/chartEx2.xml"/></Relationships>
</file>

<file path=xl/drawings/_rels/drawing41.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_rels/drawing4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gif"/></Relationships>
</file>

<file path=xl/drawings/drawing1.xml><?xml version="1.0" encoding="utf-8"?>
<xdr:wsDr xmlns:xdr="http://schemas.openxmlformats.org/drawingml/2006/spreadsheetDrawing" xmlns:a="http://schemas.openxmlformats.org/drawingml/2006/main">
  <xdr:twoCellAnchor>
    <xdr:from>
      <xdr:col>5</xdr:col>
      <xdr:colOff>28575</xdr:colOff>
      <xdr:row>1</xdr:row>
      <xdr:rowOff>133350</xdr:rowOff>
    </xdr:from>
    <xdr:to>
      <xdr:col>13</xdr:col>
      <xdr:colOff>828674</xdr:colOff>
      <xdr:row>16</xdr:row>
      <xdr:rowOff>161925</xdr:rowOff>
    </xdr:to>
    <xdr:graphicFrame macro="">
      <xdr:nvGraphicFramePr>
        <xdr:cNvPr id="2" name="Gráfico 1">
          <a:extLst>
            <a:ext uri="{FF2B5EF4-FFF2-40B4-BE49-F238E27FC236}">
              <a16:creationId xmlns:a16="http://schemas.microsoft.com/office/drawing/2014/main" id="{7ED7F565-2D32-3C1D-42B4-4166A2120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0.89684</cdr:x>
      <cdr:y>0.52778</cdr:y>
    </cdr:from>
    <cdr:to>
      <cdr:x>0.92316</cdr:x>
      <cdr:y>0.82292</cdr:y>
    </cdr:to>
    <cdr:sp macro="" textlink="">
      <cdr:nvSpPr>
        <cdr:cNvPr id="2" name="CuadroTexto 1">
          <a:extLst xmlns:a="http://schemas.openxmlformats.org/drawingml/2006/main">
            <a:ext uri="{FF2B5EF4-FFF2-40B4-BE49-F238E27FC236}">
              <a16:creationId xmlns:a16="http://schemas.microsoft.com/office/drawing/2014/main" id="{2E9251C2-0842-9B42-C073-ABE088763A6E}"/>
            </a:ext>
          </a:extLst>
        </cdr:cNvPr>
        <cdr:cNvSpPr txBox="1"/>
      </cdr:nvSpPr>
      <cdr:spPr>
        <a:xfrm xmlns:a="http://schemas.openxmlformats.org/drawingml/2006/main" rot="16200000">
          <a:off x="6425370" y="1753848"/>
          <a:ext cx="809628" cy="197550"/>
        </a:xfrm>
        <a:prstGeom xmlns:a="http://schemas.openxmlformats.org/drawingml/2006/main" prst="rect">
          <a:avLst/>
        </a:prstGeom>
        <a:noFill xmlns:a="http://schemas.openxmlformats.org/drawingml/2006/main"/>
      </cdr:spPr>
      <cdr:txBody>
        <a:bodyPr xmlns:a="http://schemas.openxmlformats.org/drawingml/2006/main" vertOverflow="clip" wrap="none" rtlCol="0" anchor="ctr"/>
        <a:lstStyle xmlns:a="http://schemas.openxmlformats.org/drawingml/2006/main"/>
        <a:p xmlns:a="http://schemas.openxmlformats.org/drawingml/2006/main">
          <a:pPr algn="ctr"/>
          <a:r>
            <a:rPr lang="es-CL" sz="900" b="0" kern="1200">
              <a:solidFill>
                <a:sysClr val="windowText" lastClr="000000"/>
              </a:solidFill>
            </a:rPr>
            <a:t>Argentina</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231321</xdr:colOff>
      <xdr:row>12</xdr:row>
      <xdr:rowOff>136071</xdr:rowOff>
    </xdr:from>
    <xdr:to>
      <xdr:col>8</xdr:col>
      <xdr:colOff>297996</xdr:colOff>
      <xdr:row>46</xdr:row>
      <xdr:rowOff>170447</xdr:rowOff>
    </xdr:to>
    <xdr:graphicFrame macro="">
      <xdr:nvGraphicFramePr>
        <xdr:cNvPr id="6" name="Gráfico 5">
          <a:extLst>
            <a:ext uri="{FF2B5EF4-FFF2-40B4-BE49-F238E27FC236}">
              <a16:creationId xmlns:a16="http://schemas.microsoft.com/office/drawing/2014/main" id="{FB62FD8D-97B4-434F-9323-BF40B08A4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323850</xdr:colOff>
      <xdr:row>13</xdr:row>
      <xdr:rowOff>0</xdr:rowOff>
    </xdr:from>
    <xdr:to>
      <xdr:col>21</xdr:col>
      <xdr:colOff>323850</xdr:colOff>
      <xdr:row>44</xdr:row>
      <xdr:rowOff>176438</xdr:rowOff>
    </xdr:to>
    <xdr:graphicFrame macro="">
      <xdr:nvGraphicFramePr>
        <xdr:cNvPr id="7" name="Gráfico 6">
          <a:extLst>
            <a:ext uri="{FF2B5EF4-FFF2-40B4-BE49-F238E27FC236}">
              <a16:creationId xmlns:a16="http://schemas.microsoft.com/office/drawing/2014/main" id="{87AE871C-B6D7-48AB-BD8E-66742E213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702469</xdr:colOff>
      <xdr:row>3</xdr:row>
      <xdr:rowOff>142876</xdr:rowOff>
    </xdr:from>
    <xdr:to>
      <xdr:col>11</xdr:col>
      <xdr:colOff>0</xdr:colOff>
      <xdr:row>35</xdr:row>
      <xdr:rowOff>138339</xdr:rowOff>
    </xdr:to>
    <xdr:graphicFrame macro="">
      <xdr:nvGraphicFramePr>
        <xdr:cNvPr id="3" name="Gráfico 2">
          <a:extLst>
            <a:ext uri="{FF2B5EF4-FFF2-40B4-BE49-F238E27FC236}">
              <a16:creationId xmlns:a16="http://schemas.microsoft.com/office/drawing/2014/main" id="{CD0293F2-1025-4886-A1A0-AA0271947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704850</xdr:colOff>
      <xdr:row>14</xdr:row>
      <xdr:rowOff>1979</xdr:rowOff>
    </xdr:from>
    <xdr:to>
      <xdr:col>15</xdr:col>
      <xdr:colOff>447522</xdr:colOff>
      <xdr:row>40</xdr:row>
      <xdr:rowOff>152400</xdr:rowOff>
    </xdr:to>
    <xdr:pic>
      <xdr:nvPicPr>
        <xdr:cNvPr id="5" name="Imagen 4">
          <a:extLst>
            <a:ext uri="{FF2B5EF4-FFF2-40B4-BE49-F238E27FC236}">
              <a16:creationId xmlns:a16="http://schemas.microsoft.com/office/drawing/2014/main" id="{76B1FDBA-427D-49FD-A91A-C33E69FB5AE7}"/>
            </a:ext>
          </a:extLst>
        </xdr:cNvPr>
        <xdr:cNvPicPr>
          <a:picLocks noChangeAspect="1"/>
        </xdr:cNvPicPr>
      </xdr:nvPicPr>
      <xdr:blipFill>
        <a:blip xmlns:r="http://schemas.openxmlformats.org/officeDocument/2006/relationships" r:embed="rId2">
          <a:clrChange>
            <a:clrFrom>
              <a:srgbClr val="002060"/>
            </a:clrFrom>
            <a:clrTo>
              <a:srgbClr val="002060">
                <a:alpha val="0"/>
              </a:srgbClr>
            </a:clrTo>
          </a:clrChange>
        </a:blip>
        <a:stretch>
          <a:fillRect/>
        </a:stretch>
      </xdr:blipFill>
      <xdr:spPr>
        <a:xfrm>
          <a:off x="857250" y="2783279"/>
          <a:ext cx="11058372" cy="53320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142876</xdr:rowOff>
    </xdr:from>
    <xdr:to>
      <xdr:col>8</xdr:col>
      <xdr:colOff>603249</xdr:colOff>
      <xdr:row>44</xdr:row>
      <xdr:rowOff>138339</xdr:rowOff>
    </xdr:to>
    <xdr:graphicFrame macro="">
      <xdr:nvGraphicFramePr>
        <xdr:cNvPr id="4" name="Gráfico 3">
          <a:extLst>
            <a:ext uri="{FF2B5EF4-FFF2-40B4-BE49-F238E27FC236}">
              <a16:creationId xmlns:a16="http://schemas.microsoft.com/office/drawing/2014/main" id="{3F2843AF-6110-422B-8C35-000DA9A86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12</xdr:row>
      <xdr:rowOff>133350</xdr:rowOff>
    </xdr:from>
    <xdr:to>
      <xdr:col>18</xdr:col>
      <xdr:colOff>404813</xdr:colOff>
      <xdr:row>44</xdr:row>
      <xdr:rowOff>128813</xdr:rowOff>
    </xdr:to>
    <xdr:graphicFrame macro="">
      <xdr:nvGraphicFramePr>
        <xdr:cNvPr id="7" name="Gráfico 6">
          <a:extLst>
            <a:ext uri="{FF2B5EF4-FFF2-40B4-BE49-F238E27FC236}">
              <a16:creationId xmlns:a16="http://schemas.microsoft.com/office/drawing/2014/main" id="{A692CFE0-50B4-482A-9FE6-B896A62E8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508000</xdr:colOff>
      <xdr:row>12</xdr:row>
      <xdr:rowOff>158750</xdr:rowOff>
    </xdr:from>
    <xdr:to>
      <xdr:col>30</xdr:col>
      <xdr:colOff>52388</xdr:colOff>
      <xdr:row>44</xdr:row>
      <xdr:rowOff>154213</xdr:rowOff>
    </xdr:to>
    <xdr:graphicFrame macro="">
      <xdr:nvGraphicFramePr>
        <xdr:cNvPr id="2" name="Gráfico 1">
          <a:extLst>
            <a:ext uri="{FF2B5EF4-FFF2-40B4-BE49-F238E27FC236}">
              <a16:creationId xmlns:a16="http://schemas.microsoft.com/office/drawing/2014/main" id="{EEE36EDB-DDF0-47D5-BAF0-870C92DCE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396875</xdr:colOff>
      <xdr:row>12</xdr:row>
      <xdr:rowOff>111125</xdr:rowOff>
    </xdr:from>
    <xdr:to>
      <xdr:col>41</xdr:col>
      <xdr:colOff>671513</xdr:colOff>
      <xdr:row>44</xdr:row>
      <xdr:rowOff>106588</xdr:rowOff>
    </xdr:to>
    <xdr:graphicFrame macro="">
      <xdr:nvGraphicFramePr>
        <xdr:cNvPr id="3" name="Gráfico 2">
          <a:extLst>
            <a:ext uri="{FF2B5EF4-FFF2-40B4-BE49-F238E27FC236}">
              <a16:creationId xmlns:a16="http://schemas.microsoft.com/office/drawing/2014/main" id="{A6AF581E-D6FF-4D65-8C22-D0110569B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161925</xdr:colOff>
      <xdr:row>5</xdr:row>
      <xdr:rowOff>106976</xdr:rowOff>
    </xdr:from>
    <xdr:to>
      <xdr:col>10</xdr:col>
      <xdr:colOff>110067</xdr:colOff>
      <xdr:row>37</xdr:row>
      <xdr:rowOff>102439</xdr:rowOff>
    </xdr:to>
    <xdr:graphicFrame macro="">
      <xdr:nvGraphicFramePr>
        <xdr:cNvPr id="2" name="Gráfico 1">
          <a:extLst>
            <a:ext uri="{FF2B5EF4-FFF2-40B4-BE49-F238E27FC236}">
              <a16:creationId xmlns:a16="http://schemas.microsoft.com/office/drawing/2014/main" id="{EB4C370F-D9C5-4D74-B6FA-38E96DCA5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142875</xdr:colOff>
      <xdr:row>12</xdr:row>
      <xdr:rowOff>63500</xdr:rowOff>
    </xdr:from>
    <xdr:to>
      <xdr:col>18</xdr:col>
      <xdr:colOff>619125</xdr:colOff>
      <xdr:row>33</xdr:row>
      <xdr:rowOff>15874</xdr:rowOff>
    </xdr:to>
    <xdr:graphicFrame macro="">
      <xdr:nvGraphicFramePr>
        <xdr:cNvPr id="3" name="Gráfico 2">
          <a:extLst>
            <a:ext uri="{FF2B5EF4-FFF2-40B4-BE49-F238E27FC236}">
              <a16:creationId xmlns:a16="http://schemas.microsoft.com/office/drawing/2014/main" id="{15B69B89-6A9E-9542-7200-B0B90F72B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66675</xdr:colOff>
      <xdr:row>13</xdr:row>
      <xdr:rowOff>96392</xdr:rowOff>
    </xdr:from>
    <xdr:to>
      <xdr:col>9</xdr:col>
      <xdr:colOff>628650</xdr:colOff>
      <xdr:row>45</xdr:row>
      <xdr:rowOff>91855</xdr:rowOff>
    </xdr:to>
    <xdr:graphicFrame macro="">
      <xdr:nvGraphicFramePr>
        <xdr:cNvPr id="2" name="Gráfico 1">
          <a:extLst>
            <a:ext uri="{FF2B5EF4-FFF2-40B4-BE49-F238E27FC236}">
              <a16:creationId xmlns:a16="http://schemas.microsoft.com/office/drawing/2014/main" id="{99AAB4D5-88CD-44FF-9B65-CFB39C07B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674686</xdr:colOff>
      <xdr:row>13</xdr:row>
      <xdr:rowOff>63500</xdr:rowOff>
    </xdr:from>
    <xdr:to>
      <xdr:col>20</xdr:col>
      <xdr:colOff>238125</xdr:colOff>
      <xdr:row>43</xdr:row>
      <xdr:rowOff>79375</xdr:rowOff>
    </xdr:to>
    <xdr:graphicFrame macro="">
      <xdr:nvGraphicFramePr>
        <xdr:cNvPr id="3" name="Gráfico 2">
          <a:extLst>
            <a:ext uri="{FF2B5EF4-FFF2-40B4-BE49-F238E27FC236}">
              <a16:creationId xmlns:a16="http://schemas.microsoft.com/office/drawing/2014/main" id="{0BAC2DAF-4FF7-BC61-CE6C-6C0D604F7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555625</xdr:colOff>
      <xdr:row>13</xdr:row>
      <xdr:rowOff>158750</xdr:rowOff>
    </xdr:from>
    <xdr:to>
      <xdr:col>30</xdr:col>
      <xdr:colOff>547689</xdr:colOff>
      <xdr:row>44</xdr:row>
      <xdr:rowOff>0</xdr:rowOff>
    </xdr:to>
    <xdr:graphicFrame macro="">
      <xdr:nvGraphicFramePr>
        <xdr:cNvPr id="4" name="Gráfico 3">
          <a:extLst>
            <a:ext uri="{FF2B5EF4-FFF2-40B4-BE49-F238E27FC236}">
              <a16:creationId xmlns:a16="http://schemas.microsoft.com/office/drawing/2014/main" id="{BF58A911-9375-4842-8B94-3062B9C97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524404</xdr:colOff>
      <xdr:row>10</xdr:row>
      <xdr:rowOff>150284</xdr:rowOff>
    </xdr:from>
    <xdr:to>
      <xdr:col>10</xdr:col>
      <xdr:colOff>297844</xdr:colOff>
      <xdr:row>43</xdr:row>
      <xdr:rowOff>114905</xdr:rowOff>
    </xdr:to>
    <xdr:graphicFrame macro="">
      <xdr:nvGraphicFramePr>
        <xdr:cNvPr id="5" name="Gráfico 4">
          <a:extLst>
            <a:ext uri="{FF2B5EF4-FFF2-40B4-BE49-F238E27FC236}">
              <a16:creationId xmlns:a16="http://schemas.microsoft.com/office/drawing/2014/main" id="{8E2E1A08-92E7-41BC-82E0-A10DAAAB6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664216</xdr:colOff>
      <xdr:row>8</xdr:row>
      <xdr:rowOff>147084</xdr:rowOff>
    </xdr:from>
    <xdr:to>
      <xdr:col>10</xdr:col>
      <xdr:colOff>238681</xdr:colOff>
      <xdr:row>40</xdr:row>
      <xdr:rowOff>142547</xdr:rowOff>
    </xdr:to>
    <xdr:graphicFrame macro="">
      <xdr:nvGraphicFramePr>
        <xdr:cNvPr id="2" name="Gráfico 1">
          <a:extLst>
            <a:ext uri="{FF2B5EF4-FFF2-40B4-BE49-F238E27FC236}">
              <a16:creationId xmlns:a16="http://schemas.microsoft.com/office/drawing/2014/main" id="{8B9D0928-83FC-4224-9665-1DD4D987D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552535</xdr:colOff>
      <xdr:row>10</xdr:row>
      <xdr:rowOff>77234</xdr:rowOff>
    </xdr:from>
    <xdr:to>
      <xdr:col>10</xdr:col>
      <xdr:colOff>641350</xdr:colOff>
      <xdr:row>42</xdr:row>
      <xdr:rowOff>72697</xdr:rowOff>
    </xdr:to>
    <xdr:graphicFrame macro="">
      <xdr:nvGraphicFramePr>
        <xdr:cNvPr id="2" name="Gráfico 1">
          <a:extLst>
            <a:ext uri="{FF2B5EF4-FFF2-40B4-BE49-F238E27FC236}">
              <a16:creationId xmlns:a16="http://schemas.microsoft.com/office/drawing/2014/main" id="{0AE21677-6E49-4502-9F6B-AFA76D426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510201</xdr:colOff>
      <xdr:row>9</xdr:row>
      <xdr:rowOff>161901</xdr:rowOff>
    </xdr:from>
    <xdr:to>
      <xdr:col>10</xdr:col>
      <xdr:colOff>599016</xdr:colOff>
      <xdr:row>41</xdr:row>
      <xdr:rowOff>83280</xdr:rowOff>
    </xdr:to>
    <xdr:graphicFrame macro="">
      <xdr:nvGraphicFramePr>
        <xdr:cNvPr id="3" name="Gráfico 2">
          <a:extLst>
            <a:ext uri="{FF2B5EF4-FFF2-40B4-BE49-F238E27FC236}">
              <a16:creationId xmlns:a16="http://schemas.microsoft.com/office/drawing/2014/main" id="{24634631-C306-4603-A375-68C405A75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603249</xdr:colOff>
      <xdr:row>3</xdr:row>
      <xdr:rowOff>30667</xdr:rowOff>
    </xdr:from>
    <xdr:to>
      <xdr:col>11</xdr:col>
      <xdr:colOff>529166</xdr:colOff>
      <xdr:row>35</xdr:row>
      <xdr:rowOff>26130</xdr:rowOff>
    </xdr:to>
    <xdr:graphicFrame macro="">
      <xdr:nvGraphicFramePr>
        <xdr:cNvPr id="2" name="Gráfico 1">
          <a:extLst>
            <a:ext uri="{FF2B5EF4-FFF2-40B4-BE49-F238E27FC236}">
              <a16:creationId xmlns:a16="http://schemas.microsoft.com/office/drawing/2014/main" id="{8FC8E9AF-B619-4BAA-A7FC-184DBC4F9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3</xdr:row>
      <xdr:rowOff>147084</xdr:rowOff>
    </xdr:from>
    <xdr:to>
      <xdr:col>11</xdr:col>
      <xdr:colOff>285750</xdr:colOff>
      <xdr:row>35</xdr:row>
      <xdr:rowOff>142547</xdr:rowOff>
    </xdr:to>
    <xdr:graphicFrame macro="">
      <xdr:nvGraphicFramePr>
        <xdr:cNvPr id="2" name="Gráfico 1">
          <a:extLst>
            <a:ext uri="{FF2B5EF4-FFF2-40B4-BE49-F238E27FC236}">
              <a16:creationId xmlns:a16="http://schemas.microsoft.com/office/drawing/2014/main" id="{4CA65DF2-B159-43D3-964D-75C3388C5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457200</xdr:colOff>
      <xdr:row>5</xdr:row>
      <xdr:rowOff>171450</xdr:rowOff>
    </xdr:from>
    <xdr:to>
      <xdr:col>16</xdr:col>
      <xdr:colOff>438150</xdr:colOff>
      <xdr:row>36</xdr:row>
      <xdr:rowOff>38100</xdr:rowOff>
    </xdr:to>
    <xdr:graphicFrame macro="">
      <xdr:nvGraphicFramePr>
        <xdr:cNvPr id="3" name="Gráfico 2">
          <a:extLst>
            <a:ext uri="{FF2B5EF4-FFF2-40B4-BE49-F238E27FC236}">
              <a16:creationId xmlns:a16="http://schemas.microsoft.com/office/drawing/2014/main" id="{6035E8C9-CBAB-5A87-34E1-2B1044F04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457199</xdr:colOff>
      <xdr:row>5</xdr:row>
      <xdr:rowOff>171450</xdr:rowOff>
    </xdr:from>
    <xdr:to>
      <xdr:col>17</xdr:col>
      <xdr:colOff>612320</xdr:colOff>
      <xdr:row>36</xdr:row>
      <xdr:rowOff>38100</xdr:rowOff>
    </xdr:to>
    <xdr:graphicFrame macro="">
      <xdr:nvGraphicFramePr>
        <xdr:cNvPr id="2" name="Gráfico 1">
          <a:extLst>
            <a:ext uri="{FF2B5EF4-FFF2-40B4-BE49-F238E27FC236}">
              <a16:creationId xmlns:a16="http://schemas.microsoft.com/office/drawing/2014/main" id="{A833A2AF-15CC-477C-810B-B47C1ACAD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838366</xdr:colOff>
      <xdr:row>209</xdr:row>
      <xdr:rowOff>0</xdr:rowOff>
    </xdr:from>
    <xdr:to>
      <xdr:col>17</xdr:col>
      <xdr:colOff>549142</xdr:colOff>
      <xdr:row>248</xdr:row>
      <xdr:rowOff>149378</xdr:rowOff>
    </xdr:to>
    <xdr:pic>
      <xdr:nvPicPr>
        <xdr:cNvPr id="8" name="Imagen 7">
          <a:extLst>
            <a:ext uri="{FF2B5EF4-FFF2-40B4-BE49-F238E27FC236}">
              <a16:creationId xmlns:a16="http://schemas.microsoft.com/office/drawing/2014/main" id="{6DE6BD9A-5F73-1366-9DCE-431280FB7147}"/>
            </a:ext>
          </a:extLst>
        </xdr:cNvPr>
        <xdr:cNvPicPr>
          <a:picLocks noChangeAspect="1"/>
        </xdr:cNvPicPr>
      </xdr:nvPicPr>
      <xdr:blipFill>
        <a:blip xmlns:r="http://schemas.openxmlformats.org/officeDocument/2006/relationships" r:embed="rId1"/>
        <a:stretch>
          <a:fillRect/>
        </a:stretch>
      </xdr:blipFill>
      <xdr:spPr>
        <a:xfrm>
          <a:off x="11346993" y="37294837"/>
          <a:ext cx="7772400" cy="6947613"/>
        </a:xfrm>
        <a:prstGeom prst="rect">
          <a:avLst/>
        </a:prstGeom>
      </xdr:spPr>
    </xdr:pic>
    <xdr:clientData/>
  </xdr:twoCellAnchor>
  <xdr:twoCellAnchor>
    <xdr:from>
      <xdr:col>1</xdr:col>
      <xdr:colOff>1091121</xdr:colOff>
      <xdr:row>178</xdr:row>
      <xdr:rowOff>76707</xdr:rowOff>
    </xdr:from>
    <xdr:to>
      <xdr:col>4</xdr:col>
      <xdr:colOff>0</xdr:colOff>
      <xdr:row>199</xdr:row>
      <xdr:rowOff>168389</xdr:rowOff>
    </xdr:to>
    <xdr:graphicFrame macro="">
      <xdr:nvGraphicFramePr>
        <xdr:cNvPr id="13" name="Gráfico 12">
          <a:extLst>
            <a:ext uri="{FF2B5EF4-FFF2-40B4-BE49-F238E27FC236}">
              <a16:creationId xmlns:a16="http://schemas.microsoft.com/office/drawing/2014/main" id="{9E9AE707-C5CA-A7E8-B83E-CA7EE03E0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81642</xdr:colOff>
      <xdr:row>176</xdr:row>
      <xdr:rowOff>81642</xdr:rowOff>
    </xdr:from>
    <xdr:ext cx="896784" cy="254557"/>
    <xdr:sp macro="" textlink="">
      <xdr:nvSpPr>
        <xdr:cNvPr id="15" name="CuadroTexto 14">
          <a:extLst>
            <a:ext uri="{FF2B5EF4-FFF2-40B4-BE49-F238E27FC236}">
              <a16:creationId xmlns:a16="http://schemas.microsoft.com/office/drawing/2014/main" id="{D53A9EE6-B410-01E5-8893-71C9E63AFC8F}"/>
            </a:ext>
          </a:extLst>
        </xdr:cNvPr>
        <xdr:cNvSpPr txBox="1"/>
      </xdr:nvSpPr>
      <xdr:spPr>
        <a:xfrm>
          <a:off x="2939142" y="42440678"/>
          <a:ext cx="896784"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chemeClr val="bg1">
                  <a:lumMod val="95000"/>
                </a:schemeClr>
              </a:solidFill>
            </a:rPr>
            <a:t>3887</a:t>
          </a:r>
          <a:r>
            <a:rPr lang="es-CL" sz="1100" baseline="0">
              <a:solidFill>
                <a:schemeClr val="bg1">
                  <a:lumMod val="95000"/>
                </a:schemeClr>
              </a:solidFill>
            </a:rPr>
            <a:t> </a:t>
          </a:r>
          <a:r>
            <a:rPr lang="es-CL" sz="900" baseline="0">
              <a:solidFill>
                <a:schemeClr val="bg1">
                  <a:lumMod val="95000"/>
                </a:schemeClr>
              </a:solidFill>
            </a:rPr>
            <a:t>MJ/tCk</a:t>
          </a:r>
          <a:endParaRPr lang="es-CL" sz="1100">
            <a:solidFill>
              <a:schemeClr val="bg1">
                <a:lumMod val="95000"/>
              </a:schemeClr>
            </a:solidFill>
          </a:endParaRPr>
        </a:p>
      </xdr:txBody>
    </xdr:sp>
    <xdr:clientData/>
  </xdr:oneCellAnchor>
  <xdr:twoCellAnchor editAs="oneCell">
    <xdr:from>
      <xdr:col>4</xdr:col>
      <xdr:colOff>0</xdr:colOff>
      <xdr:row>1</xdr:row>
      <xdr:rowOff>21166</xdr:rowOff>
    </xdr:from>
    <xdr:to>
      <xdr:col>5</xdr:col>
      <xdr:colOff>717704</xdr:colOff>
      <xdr:row>1</xdr:row>
      <xdr:rowOff>609581</xdr:rowOff>
    </xdr:to>
    <xdr:pic>
      <xdr:nvPicPr>
        <xdr:cNvPr id="3" name="Imagen 2">
          <a:extLst>
            <a:ext uri="{FF2B5EF4-FFF2-40B4-BE49-F238E27FC236}">
              <a16:creationId xmlns:a16="http://schemas.microsoft.com/office/drawing/2014/main" id="{FD0BA2C2-8CF3-B7A5-9A0E-F4E3062C6E4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32334" y="211666"/>
          <a:ext cx="1633162" cy="588415"/>
        </a:xfrm>
        <a:prstGeom prst="rect">
          <a:avLst/>
        </a:prstGeom>
      </xdr:spPr>
    </xdr:pic>
    <xdr:clientData/>
  </xdr:twoCellAnchor>
  <xdr:twoCellAnchor editAs="oneCell">
    <xdr:from>
      <xdr:col>0</xdr:col>
      <xdr:colOff>116416</xdr:colOff>
      <xdr:row>137</xdr:row>
      <xdr:rowOff>169334</xdr:rowOff>
    </xdr:from>
    <xdr:to>
      <xdr:col>8</xdr:col>
      <xdr:colOff>561204</xdr:colOff>
      <xdr:row>159</xdr:row>
      <xdr:rowOff>178842</xdr:rowOff>
    </xdr:to>
    <xdr:pic>
      <xdr:nvPicPr>
        <xdr:cNvPr id="6" name="Imagen 5">
          <a:extLst>
            <a:ext uri="{FF2B5EF4-FFF2-40B4-BE49-F238E27FC236}">
              <a16:creationId xmlns:a16="http://schemas.microsoft.com/office/drawing/2014/main" id="{E7541DF1-7EE4-2C17-442F-2A43B3FFEE33}"/>
            </a:ext>
          </a:extLst>
        </xdr:cNvPr>
        <xdr:cNvPicPr>
          <a:picLocks noChangeAspect="1"/>
        </xdr:cNvPicPr>
      </xdr:nvPicPr>
      <xdr:blipFill>
        <a:blip xmlns:r="http://schemas.openxmlformats.org/officeDocument/2006/relationships" r:embed="rId4"/>
        <a:stretch>
          <a:fillRect/>
        </a:stretch>
      </xdr:blipFill>
      <xdr:spPr>
        <a:xfrm>
          <a:off x="116416" y="39147751"/>
          <a:ext cx="11626080" cy="4200508"/>
        </a:xfrm>
        <a:prstGeom prst="rect">
          <a:avLst/>
        </a:prstGeom>
      </xdr:spPr>
    </xdr:pic>
    <xdr:clientData/>
  </xdr:twoCellAnchor>
  <xdr:twoCellAnchor>
    <xdr:from>
      <xdr:col>13</xdr:col>
      <xdr:colOff>634998</xdr:colOff>
      <xdr:row>1</xdr:row>
      <xdr:rowOff>433916</xdr:rowOff>
    </xdr:from>
    <xdr:to>
      <xdr:col>28</xdr:col>
      <xdr:colOff>470957</xdr:colOff>
      <xdr:row>16</xdr:row>
      <xdr:rowOff>365125</xdr:rowOff>
    </xdr:to>
    <xdr:grpSp>
      <xdr:nvGrpSpPr>
        <xdr:cNvPr id="30" name="Grupo 29">
          <a:extLst>
            <a:ext uri="{FF2B5EF4-FFF2-40B4-BE49-F238E27FC236}">
              <a16:creationId xmlns:a16="http://schemas.microsoft.com/office/drawing/2014/main" id="{272E3B32-4AE4-7B49-86C6-ABF7FF8F4CB1}"/>
            </a:ext>
          </a:extLst>
        </xdr:cNvPr>
        <xdr:cNvGrpSpPr/>
      </xdr:nvGrpSpPr>
      <xdr:grpSpPr>
        <a:xfrm>
          <a:off x="16509998" y="624416"/>
          <a:ext cx="12456584" cy="5836709"/>
          <a:chOff x="16001998" y="1719791"/>
          <a:chExt cx="12456584" cy="5439834"/>
        </a:xfrm>
      </xdr:grpSpPr>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BB1D6111-C230-4425-B7D7-E4DB8BB46C5B}"/>
                  </a:ext>
                </a:extLst>
              </xdr:cNvPr>
              <xdr:cNvGraphicFramePr/>
            </xdr:nvGraphicFramePr>
            <xdr:xfrm>
              <a:off x="16001998" y="1719791"/>
              <a:ext cx="12456584" cy="5439834"/>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001998" y="1719791"/>
                <a:ext cx="12456584" cy="5439834"/>
              </a:xfrm>
              <a:prstGeom prst="rect">
                <a:avLst/>
              </a:prstGeom>
              <a:solidFill>
                <a:prstClr val="white"/>
              </a:solidFill>
              <a:ln w="1">
                <a:solidFill>
                  <a:prstClr val="green"/>
                </a:solidFill>
              </a:ln>
            </xdr:spPr>
            <xdr:txBody>
              <a:bodyPr vertOverflow="clip" horzOverflow="clip"/>
              <a:lstStyle/>
              <a:p>
                <a:r>
                  <a:rPr lang="es-CL" sz="1100"/>
                  <a:t>Este gráfico no está disponible en tu versión de Excel.
Si editas esta forma o guardas el libro en un formato de archivo diferente, el gráfico no se podrá utilizar.</a:t>
                </a:r>
              </a:p>
            </xdr:txBody>
          </xdr:sp>
        </mc:Fallback>
      </mc:AlternateContent>
      <xdr:grpSp>
        <xdr:nvGrpSpPr>
          <xdr:cNvPr id="29" name="Grupo 28">
            <a:extLst>
              <a:ext uri="{FF2B5EF4-FFF2-40B4-BE49-F238E27FC236}">
                <a16:creationId xmlns:a16="http://schemas.microsoft.com/office/drawing/2014/main" id="{B738C776-F702-8681-CB6A-FD54E69BC466}"/>
              </a:ext>
            </a:extLst>
          </xdr:cNvPr>
          <xdr:cNvGrpSpPr/>
        </xdr:nvGrpSpPr>
        <xdr:grpSpPr>
          <a:xfrm>
            <a:off x="17788945" y="2533076"/>
            <a:ext cx="10412787" cy="3699163"/>
            <a:chOff x="17788945" y="2533076"/>
            <a:chExt cx="10412787" cy="3699163"/>
          </a:xfrm>
        </xdr:grpSpPr>
        <xdr:sp macro="" textlink="">
          <xdr:nvSpPr>
            <xdr:cNvPr id="4" name="CuadroTexto 3">
              <a:extLst>
                <a:ext uri="{FF2B5EF4-FFF2-40B4-BE49-F238E27FC236}">
                  <a16:creationId xmlns:a16="http://schemas.microsoft.com/office/drawing/2014/main" id="{99837994-62C0-70A2-5E11-550CB92B09A5}"/>
                </a:ext>
              </a:extLst>
            </xdr:cNvPr>
            <xdr:cNvSpPr txBox="1"/>
          </xdr:nvSpPr>
          <xdr:spPr>
            <a:xfrm>
              <a:off x="18129250" y="2533076"/>
              <a:ext cx="471255" cy="232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11%</a:t>
              </a:r>
            </a:p>
          </xdr:txBody>
        </xdr:sp>
        <xdr:sp macro="" textlink="">
          <xdr:nvSpPr>
            <xdr:cNvPr id="5" name="CuadroTexto 4">
              <a:extLst>
                <a:ext uri="{FF2B5EF4-FFF2-40B4-BE49-F238E27FC236}">
                  <a16:creationId xmlns:a16="http://schemas.microsoft.com/office/drawing/2014/main" id="{6C2C5C54-AEFD-4B21-988E-91C4F5A19136}"/>
                </a:ext>
              </a:extLst>
            </xdr:cNvPr>
            <xdr:cNvSpPr txBox="1"/>
          </xdr:nvSpPr>
          <xdr:spPr>
            <a:xfrm>
              <a:off x="18973241" y="2937144"/>
              <a:ext cx="392066" cy="232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7%</a:t>
              </a:r>
            </a:p>
          </xdr:txBody>
        </xdr:sp>
        <xdr:sp macro="" textlink="">
          <xdr:nvSpPr>
            <xdr:cNvPr id="7" name="CuadroTexto 6">
              <a:extLst>
                <a:ext uri="{FF2B5EF4-FFF2-40B4-BE49-F238E27FC236}">
                  <a16:creationId xmlns:a16="http://schemas.microsoft.com/office/drawing/2014/main" id="{C8A0CAB4-07F4-4533-AFE8-7ED3BEEF2542}"/>
                </a:ext>
              </a:extLst>
            </xdr:cNvPr>
            <xdr:cNvSpPr txBox="1"/>
          </xdr:nvSpPr>
          <xdr:spPr>
            <a:xfrm>
              <a:off x="19766062" y="3219241"/>
              <a:ext cx="374159" cy="198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CL" sz="1100">
                  <a:solidFill>
                    <a:sysClr val="windowText" lastClr="000000"/>
                  </a:solidFill>
                </a:rPr>
                <a:t>9%</a:t>
              </a:r>
            </a:p>
          </xdr:txBody>
        </xdr:sp>
        <xdr:sp macro="" textlink="">
          <xdr:nvSpPr>
            <xdr:cNvPr id="9" name="CuadroTexto 8">
              <a:extLst>
                <a:ext uri="{FF2B5EF4-FFF2-40B4-BE49-F238E27FC236}">
                  <a16:creationId xmlns:a16="http://schemas.microsoft.com/office/drawing/2014/main" id="{DE5C531E-F741-4F7E-8ACD-215902DF93F8}"/>
                </a:ext>
              </a:extLst>
            </xdr:cNvPr>
            <xdr:cNvSpPr txBox="1"/>
          </xdr:nvSpPr>
          <xdr:spPr>
            <a:xfrm>
              <a:off x="20522454" y="3386759"/>
              <a:ext cx="388568" cy="467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CL" sz="1100">
                  <a:solidFill>
                    <a:sysClr val="windowText" lastClr="000000"/>
                  </a:solidFill>
                </a:rPr>
                <a:t>0,5%</a:t>
              </a:r>
            </a:p>
          </xdr:txBody>
        </xdr:sp>
        <xdr:sp macro="" textlink="">
          <xdr:nvSpPr>
            <xdr:cNvPr id="10" name="CuadroTexto 9">
              <a:extLst>
                <a:ext uri="{FF2B5EF4-FFF2-40B4-BE49-F238E27FC236}">
                  <a16:creationId xmlns:a16="http://schemas.microsoft.com/office/drawing/2014/main" id="{AF8FAAE5-9A4A-4BB6-9AC7-E037517139DF}"/>
                </a:ext>
              </a:extLst>
            </xdr:cNvPr>
            <xdr:cNvSpPr txBox="1"/>
          </xdr:nvSpPr>
          <xdr:spPr>
            <a:xfrm>
              <a:off x="21343037" y="3446816"/>
              <a:ext cx="506229" cy="237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0,5%</a:t>
              </a:r>
            </a:p>
          </xdr:txBody>
        </xdr:sp>
        <xdr:sp macro="" textlink="">
          <xdr:nvSpPr>
            <xdr:cNvPr id="11" name="CuadroTexto 10">
              <a:extLst>
                <a:ext uri="{FF2B5EF4-FFF2-40B4-BE49-F238E27FC236}">
                  <a16:creationId xmlns:a16="http://schemas.microsoft.com/office/drawing/2014/main" id="{913805A9-63F1-41F1-9EA1-78ABB708D3FC}"/>
                </a:ext>
              </a:extLst>
            </xdr:cNvPr>
            <xdr:cNvSpPr txBox="1"/>
          </xdr:nvSpPr>
          <xdr:spPr>
            <a:xfrm>
              <a:off x="22157895" y="3533863"/>
              <a:ext cx="388568" cy="237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2%</a:t>
              </a:r>
            </a:p>
          </xdr:txBody>
        </xdr:sp>
        <xdr:sp macro="" textlink="">
          <xdr:nvSpPr>
            <xdr:cNvPr id="12" name="CuadroTexto 11">
              <a:extLst>
                <a:ext uri="{FF2B5EF4-FFF2-40B4-BE49-F238E27FC236}">
                  <a16:creationId xmlns:a16="http://schemas.microsoft.com/office/drawing/2014/main" id="{52BF7D42-CC8E-40B4-9EAB-99E0126C5508}"/>
                </a:ext>
              </a:extLst>
            </xdr:cNvPr>
            <xdr:cNvSpPr txBox="1"/>
          </xdr:nvSpPr>
          <xdr:spPr>
            <a:xfrm>
              <a:off x="22985568" y="3579100"/>
              <a:ext cx="387580" cy="4415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CL" sz="1100">
                  <a:solidFill>
                    <a:sysClr val="windowText" lastClr="000000"/>
                  </a:solidFill>
                </a:rPr>
                <a:t>1%</a:t>
              </a:r>
            </a:p>
          </xdr:txBody>
        </xdr:sp>
        <xdr:sp macro="" textlink="">
          <xdr:nvSpPr>
            <xdr:cNvPr id="14" name="CuadroTexto 13">
              <a:extLst>
                <a:ext uri="{FF2B5EF4-FFF2-40B4-BE49-F238E27FC236}">
                  <a16:creationId xmlns:a16="http://schemas.microsoft.com/office/drawing/2014/main" id="{B4E9C63C-8A0F-40C7-A909-310B4CF61E19}"/>
                </a:ext>
              </a:extLst>
            </xdr:cNvPr>
            <xdr:cNvSpPr txBox="1"/>
          </xdr:nvSpPr>
          <xdr:spPr>
            <a:xfrm>
              <a:off x="23763385" y="3653079"/>
              <a:ext cx="467051" cy="412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CL" sz="1100">
                  <a:solidFill>
                    <a:sysClr val="windowText" lastClr="000000"/>
                  </a:solidFill>
                </a:rPr>
                <a:t>10%</a:t>
              </a:r>
            </a:p>
          </xdr:txBody>
        </xdr:sp>
        <xdr:sp macro="" textlink="">
          <xdr:nvSpPr>
            <xdr:cNvPr id="16" name="CuadroTexto 15">
              <a:extLst>
                <a:ext uri="{FF2B5EF4-FFF2-40B4-BE49-F238E27FC236}">
                  <a16:creationId xmlns:a16="http://schemas.microsoft.com/office/drawing/2014/main" id="{62A1DAD1-A985-4995-AA0C-4745B5524533}"/>
                </a:ext>
              </a:extLst>
            </xdr:cNvPr>
            <xdr:cNvSpPr txBox="1"/>
          </xdr:nvSpPr>
          <xdr:spPr>
            <a:xfrm>
              <a:off x="24594236" y="3819052"/>
              <a:ext cx="584712" cy="237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0,11%</a:t>
              </a:r>
            </a:p>
          </xdr:txBody>
        </xdr:sp>
        <xdr:sp macro="" textlink="">
          <xdr:nvSpPr>
            <xdr:cNvPr id="17" name="CuadroTexto 16">
              <a:extLst>
                <a:ext uri="{FF2B5EF4-FFF2-40B4-BE49-F238E27FC236}">
                  <a16:creationId xmlns:a16="http://schemas.microsoft.com/office/drawing/2014/main" id="{052D23C8-DBA4-4FA9-B9AE-38FAF5B99970}"/>
                </a:ext>
              </a:extLst>
            </xdr:cNvPr>
            <xdr:cNvSpPr txBox="1"/>
          </xdr:nvSpPr>
          <xdr:spPr>
            <a:xfrm>
              <a:off x="25337056" y="4687075"/>
              <a:ext cx="467051" cy="237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19%</a:t>
              </a:r>
            </a:p>
          </xdr:txBody>
        </xdr:sp>
        <xdr:sp macro="" textlink="">
          <xdr:nvSpPr>
            <xdr:cNvPr id="18" name="CuadroTexto 17">
              <a:extLst>
                <a:ext uri="{FF2B5EF4-FFF2-40B4-BE49-F238E27FC236}">
                  <a16:creationId xmlns:a16="http://schemas.microsoft.com/office/drawing/2014/main" id="{0DF8296D-6D14-42A8-B5AF-423ACE21E388}"/>
                </a:ext>
              </a:extLst>
            </xdr:cNvPr>
            <xdr:cNvSpPr txBox="1"/>
          </xdr:nvSpPr>
          <xdr:spPr>
            <a:xfrm>
              <a:off x="26150728" y="5511553"/>
              <a:ext cx="465864" cy="238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13%</a:t>
              </a:r>
            </a:p>
          </xdr:txBody>
        </xdr:sp>
        <xdr:sp macro="" textlink="">
          <xdr:nvSpPr>
            <xdr:cNvPr id="19" name="CuadroTexto 18">
              <a:extLst>
                <a:ext uri="{FF2B5EF4-FFF2-40B4-BE49-F238E27FC236}">
                  <a16:creationId xmlns:a16="http://schemas.microsoft.com/office/drawing/2014/main" id="{6AF2D4CE-C11A-4B6C-A537-1B8ABA91A490}"/>
                </a:ext>
              </a:extLst>
            </xdr:cNvPr>
            <xdr:cNvSpPr txBox="1"/>
          </xdr:nvSpPr>
          <xdr:spPr>
            <a:xfrm>
              <a:off x="26982765" y="5646183"/>
              <a:ext cx="392066" cy="232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6%</a:t>
              </a:r>
            </a:p>
          </xdr:txBody>
        </xdr:sp>
        <xdr:sp macro="" textlink="">
          <xdr:nvSpPr>
            <xdr:cNvPr id="20" name="CuadroTexto 19">
              <a:extLst>
                <a:ext uri="{FF2B5EF4-FFF2-40B4-BE49-F238E27FC236}">
                  <a16:creationId xmlns:a16="http://schemas.microsoft.com/office/drawing/2014/main" id="{09F925E6-303C-41C2-BFF4-400F3EABED2A}"/>
                </a:ext>
              </a:extLst>
            </xdr:cNvPr>
            <xdr:cNvSpPr txBox="1"/>
          </xdr:nvSpPr>
          <xdr:spPr>
            <a:xfrm>
              <a:off x="27734681" y="5994991"/>
              <a:ext cx="467051" cy="237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100">
                  <a:solidFill>
                    <a:sysClr val="windowText" lastClr="000000"/>
                  </a:solidFill>
                </a:rPr>
                <a:t>10%</a:t>
              </a:r>
            </a:p>
          </xdr:txBody>
        </xdr:sp>
        <xdr:sp macro="" textlink="">
          <xdr:nvSpPr>
            <xdr:cNvPr id="21" name="CuadroTexto 20">
              <a:extLst>
                <a:ext uri="{FF2B5EF4-FFF2-40B4-BE49-F238E27FC236}">
                  <a16:creationId xmlns:a16="http://schemas.microsoft.com/office/drawing/2014/main" id="{CD1DCBC2-0B65-49BD-9185-0B1F32FCE1CC}"/>
                </a:ext>
              </a:extLst>
            </xdr:cNvPr>
            <xdr:cNvSpPr txBox="1"/>
          </xdr:nvSpPr>
          <xdr:spPr>
            <a:xfrm>
              <a:off x="17788945" y="3401554"/>
              <a:ext cx="1082604" cy="495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CL" sz="900">
                  <a:solidFill>
                    <a:sysClr val="windowText" lastClr="000000"/>
                  </a:solidFill>
                </a:rPr>
                <a:t>Sacos</a:t>
              </a:r>
            </a:p>
            <a:p>
              <a:pPr algn="ctr"/>
              <a:r>
                <a:rPr lang="es-CL" sz="900">
                  <a:solidFill>
                    <a:sysClr val="windowText" lastClr="000000"/>
                  </a:solidFill>
                </a:rPr>
                <a:t>48% - 47% - 30%</a:t>
              </a:r>
            </a:p>
          </xdr:txBody>
        </xdr:sp>
        <xdr:sp macro="" textlink="">
          <xdr:nvSpPr>
            <xdr:cNvPr id="22" name="CuadroTexto 21">
              <a:extLst>
                <a:ext uri="{FF2B5EF4-FFF2-40B4-BE49-F238E27FC236}">
                  <a16:creationId xmlns:a16="http://schemas.microsoft.com/office/drawing/2014/main" id="{4741B142-8E2F-454B-9398-B718A53D01F5}"/>
                </a:ext>
              </a:extLst>
            </xdr:cNvPr>
            <xdr:cNvSpPr txBox="1"/>
          </xdr:nvSpPr>
          <xdr:spPr>
            <a:xfrm>
              <a:off x="18515961" y="3736386"/>
              <a:ext cx="1288045" cy="443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CL" sz="900">
                  <a:solidFill>
                    <a:sysClr val="windowText" lastClr="000000"/>
                  </a:solidFill>
                </a:rPr>
                <a:t>Cemento en concreto</a:t>
              </a:r>
            </a:p>
            <a:p>
              <a:pPr algn="ctr"/>
              <a:r>
                <a:rPr lang="es-CL" sz="900">
                  <a:solidFill>
                    <a:sysClr val="windowText" lastClr="000000"/>
                  </a:solidFill>
                </a:rPr>
                <a:t>380 - 375 - 346</a:t>
              </a:r>
            </a:p>
            <a:p>
              <a:pPr algn="ctr"/>
              <a:r>
                <a:rPr lang="es-CL" sz="800">
                  <a:solidFill>
                    <a:sysClr val="windowText" lastClr="000000"/>
                  </a:solidFill>
                </a:rPr>
                <a:t>kg cem/ m3</a:t>
              </a:r>
            </a:p>
          </xdr:txBody>
        </xdr:sp>
        <xdr:sp macro="" textlink="">
          <xdr:nvSpPr>
            <xdr:cNvPr id="23" name="CuadroTexto 22">
              <a:extLst>
                <a:ext uri="{FF2B5EF4-FFF2-40B4-BE49-F238E27FC236}">
                  <a16:creationId xmlns:a16="http://schemas.microsoft.com/office/drawing/2014/main" id="{C3EAD0C1-E591-4AA9-9DF2-75ECF8230C5D}"/>
                </a:ext>
              </a:extLst>
            </xdr:cNvPr>
            <xdr:cNvSpPr txBox="1"/>
          </xdr:nvSpPr>
          <xdr:spPr>
            <a:xfrm>
              <a:off x="19421957" y="4067354"/>
              <a:ext cx="1082604" cy="484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CL" sz="900">
                  <a:solidFill>
                    <a:sysClr val="windowText" lastClr="000000"/>
                  </a:solidFill>
                </a:rPr>
                <a:t>Factor Clínker</a:t>
              </a:r>
            </a:p>
            <a:p>
              <a:pPr algn="ctr"/>
              <a:r>
                <a:rPr lang="es-CL" sz="900">
                  <a:solidFill>
                    <a:sysClr val="windowText" lastClr="000000"/>
                  </a:solidFill>
                </a:rPr>
                <a:t>67%</a:t>
              </a:r>
              <a:r>
                <a:rPr lang="es-CL" sz="900" baseline="0">
                  <a:solidFill>
                    <a:sysClr val="windowText" lastClr="000000"/>
                  </a:solidFill>
                </a:rPr>
                <a:t> - 65% - 61%</a:t>
              </a:r>
              <a:endParaRPr lang="es-CL" sz="900">
                <a:solidFill>
                  <a:sysClr val="windowText" lastClr="000000"/>
                </a:solidFill>
              </a:endParaRPr>
            </a:p>
          </xdr:txBody>
        </xdr:sp>
        <xdr:sp macro="" textlink="">
          <xdr:nvSpPr>
            <xdr:cNvPr id="24" name="CuadroTexto 23">
              <a:extLst>
                <a:ext uri="{FF2B5EF4-FFF2-40B4-BE49-F238E27FC236}">
                  <a16:creationId xmlns:a16="http://schemas.microsoft.com/office/drawing/2014/main" id="{2AC39EE4-9FC8-4088-8A8B-BBE0EBCFDE25}"/>
                </a:ext>
              </a:extLst>
            </xdr:cNvPr>
            <xdr:cNvSpPr txBox="1"/>
          </xdr:nvSpPr>
          <xdr:spPr>
            <a:xfrm>
              <a:off x="20212543" y="4425229"/>
              <a:ext cx="1159933" cy="490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CL" sz="900">
                  <a:solidFill>
                    <a:sysClr val="windowText" lastClr="000000"/>
                  </a:solidFill>
                </a:rPr>
                <a:t>Eficiencia Térmica</a:t>
              </a:r>
            </a:p>
            <a:p>
              <a:pPr algn="ctr"/>
              <a:r>
                <a:rPr lang="es-CL" sz="900">
                  <a:solidFill>
                    <a:sysClr val="windowText" lastClr="000000"/>
                  </a:solidFill>
                </a:rPr>
                <a:t>3420 - 3400 - 3300</a:t>
              </a:r>
            </a:p>
            <a:p>
              <a:pPr algn="ctr"/>
              <a:r>
                <a:rPr lang="es-CL" sz="900">
                  <a:solidFill>
                    <a:sysClr val="windowText" lastClr="000000"/>
                  </a:solidFill>
                </a:rPr>
                <a:t>MJ/tCk</a:t>
              </a:r>
            </a:p>
          </xdr:txBody>
        </xdr:sp>
        <xdr:sp macro="" textlink="">
          <xdr:nvSpPr>
            <xdr:cNvPr id="25" name="CuadroTexto 24">
              <a:extLst>
                <a:ext uri="{FF2B5EF4-FFF2-40B4-BE49-F238E27FC236}">
                  <a16:creationId xmlns:a16="http://schemas.microsoft.com/office/drawing/2014/main" id="{39C84792-4F15-4773-8E61-96E7CE339AC6}"/>
                </a:ext>
              </a:extLst>
            </xdr:cNvPr>
            <xdr:cNvSpPr txBox="1"/>
          </xdr:nvSpPr>
          <xdr:spPr>
            <a:xfrm>
              <a:off x="21033315" y="4691018"/>
              <a:ext cx="1082605" cy="622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CL" sz="900">
                  <a:solidFill>
                    <a:sysClr val="windowText" lastClr="000000"/>
                  </a:solidFill>
                </a:rPr>
                <a:t>Petcoke</a:t>
              </a:r>
            </a:p>
            <a:p>
              <a:pPr algn="ctr"/>
              <a:r>
                <a:rPr lang="es-CL" sz="900">
                  <a:solidFill>
                    <a:sysClr val="windowText" lastClr="000000"/>
                  </a:solidFill>
                </a:rPr>
                <a:t>11% - 8% - 2%</a:t>
              </a:r>
            </a:p>
            <a:p>
              <a:pPr algn="ctr"/>
              <a:r>
                <a:rPr lang="es-CL" sz="900">
                  <a:solidFill>
                    <a:sysClr val="windowText" lastClr="000000"/>
                  </a:solidFill>
                </a:rPr>
                <a:t>Gas Natural</a:t>
              </a:r>
            </a:p>
            <a:p>
              <a:pPr algn="ctr"/>
              <a:r>
                <a:rPr lang="es-CL" sz="900">
                  <a:solidFill>
                    <a:sysClr val="windowText" lastClr="000000"/>
                  </a:solidFill>
                </a:rPr>
                <a:t>82% - 82% - 75%</a:t>
              </a:r>
            </a:p>
          </xdr:txBody>
        </xdr:sp>
        <xdr:sp macro="" textlink="">
          <xdr:nvSpPr>
            <xdr:cNvPr id="26" name="CuadroTexto 25">
              <a:extLst>
                <a:ext uri="{FF2B5EF4-FFF2-40B4-BE49-F238E27FC236}">
                  <a16:creationId xmlns:a16="http://schemas.microsoft.com/office/drawing/2014/main" id="{CA760AC3-C322-409E-B9C6-7D2AAD57F940}"/>
                </a:ext>
              </a:extLst>
            </xdr:cNvPr>
            <xdr:cNvSpPr txBox="1"/>
          </xdr:nvSpPr>
          <xdr:spPr>
            <a:xfrm>
              <a:off x="21932868" y="4376673"/>
              <a:ext cx="890052"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CL" sz="900">
                  <a:solidFill>
                    <a:sysClr val="windowText" lastClr="000000"/>
                  </a:solidFill>
                </a:rPr>
                <a:t>CDR</a:t>
              </a:r>
            </a:p>
            <a:p>
              <a:pPr algn="ctr"/>
              <a:r>
                <a:rPr lang="es-CL" sz="900">
                  <a:solidFill>
                    <a:sysClr val="windowText" lastClr="000000"/>
                  </a:solidFill>
                </a:rPr>
                <a:t>3% - 5% - 8%</a:t>
              </a:r>
            </a:p>
          </xdr:txBody>
        </xdr:sp>
        <xdr:sp macro="" textlink="">
          <xdr:nvSpPr>
            <xdr:cNvPr id="27" name="CuadroTexto 26">
              <a:extLst>
                <a:ext uri="{FF2B5EF4-FFF2-40B4-BE49-F238E27FC236}">
                  <a16:creationId xmlns:a16="http://schemas.microsoft.com/office/drawing/2014/main" id="{6181D897-C69D-428B-A1AD-10EF80ED7F1C}"/>
                </a:ext>
              </a:extLst>
            </xdr:cNvPr>
            <xdr:cNvSpPr txBox="1"/>
          </xdr:nvSpPr>
          <xdr:spPr>
            <a:xfrm>
              <a:off x="22656426" y="4668604"/>
              <a:ext cx="954236"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CL" sz="900">
                  <a:solidFill>
                    <a:sysClr val="windowText" lastClr="000000"/>
                  </a:solidFill>
                </a:rPr>
                <a:t>Biomasa</a:t>
              </a:r>
              <a:r>
                <a:rPr lang="es-CL" sz="900" baseline="0">
                  <a:solidFill>
                    <a:sysClr val="windowText" lastClr="000000"/>
                  </a:solidFill>
                </a:rPr>
                <a:t> </a:t>
              </a:r>
              <a:endParaRPr lang="es-CL" sz="900">
                <a:solidFill>
                  <a:sysClr val="windowText" lastClr="000000"/>
                </a:solidFill>
              </a:endParaRPr>
            </a:p>
            <a:p>
              <a:pPr algn="ctr"/>
              <a:r>
                <a:rPr lang="es-CL" sz="900">
                  <a:solidFill>
                    <a:sysClr val="windowText" lastClr="000000"/>
                  </a:solidFill>
                </a:rPr>
                <a:t>4% - 5% - 10%</a:t>
              </a:r>
            </a:p>
          </xdr:txBody>
        </xdr:sp>
        <xdr:sp macro="" textlink="">
          <xdr:nvSpPr>
            <xdr:cNvPr id="28" name="CuadroTexto 27">
              <a:extLst>
                <a:ext uri="{FF2B5EF4-FFF2-40B4-BE49-F238E27FC236}">
                  <a16:creationId xmlns:a16="http://schemas.microsoft.com/office/drawing/2014/main" id="{2E6516C6-5B00-4CD3-93D2-8D01D3B96D3A}"/>
                </a:ext>
              </a:extLst>
            </xdr:cNvPr>
            <xdr:cNvSpPr txBox="1"/>
          </xdr:nvSpPr>
          <xdr:spPr>
            <a:xfrm>
              <a:off x="24310379" y="5068298"/>
              <a:ext cx="890052"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CL" sz="900">
                  <a:solidFill>
                    <a:sysClr val="windowText" lastClr="000000"/>
                  </a:solidFill>
                </a:rPr>
                <a:t>H2V</a:t>
              </a:r>
            </a:p>
            <a:p>
              <a:pPr algn="ctr"/>
              <a:r>
                <a:rPr lang="es-CL" sz="900">
                  <a:solidFill>
                    <a:sysClr val="windowText" lastClr="000000"/>
                  </a:solidFill>
                </a:rPr>
                <a:t>0% - 0% - 5%</a:t>
              </a:r>
            </a:p>
          </xdr:txBody>
        </xdr:sp>
      </xdr:grpSp>
    </xdr:grpSp>
    <xdr:clientData/>
  </xdr:twoCellAnchor>
  <xdr:twoCellAnchor editAs="oneCell">
    <xdr:from>
      <xdr:col>15</xdr:col>
      <xdr:colOff>269874</xdr:colOff>
      <xdr:row>28</xdr:row>
      <xdr:rowOff>79375</xdr:rowOff>
    </xdr:from>
    <xdr:to>
      <xdr:col>20</xdr:col>
      <xdr:colOff>757512</xdr:colOff>
      <xdr:row>51</xdr:row>
      <xdr:rowOff>0</xdr:rowOff>
    </xdr:to>
    <xdr:pic>
      <xdr:nvPicPr>
        <xdr:cNvPr id="31" name="Imagen 30">
          <a:extLst>
            <a:ext uri="{FF2B5EF4-FFF2-40B4-BE49-F238E27FC236}">
              <a16:creationId xmlns:a16="http://schemas.microsoft.com/office/drawing/2014/main" id="{1F751EE4-8B8F-D6D4-4F4D-CCEF572276AC}"/>
            </a:ext>
          </a:extLst>
        </xdr:cNvPr>
        <xdr:cNvPicPr>
          <a:picLocks noChangeAspect="1"/>
        </xdr:cNvPicPr>
      </xdr:nvPicPr>
      <xdr:blipFill>
        <a:blip xmlns:r="http://schemas.openxmlformats.org/officeDocument/2006/relationships" r:embed="rId6"/>
        <a:stretch>
          <a:fillRect/>
        </a:stretch>
      </xdr:blipFill>
      <xdr:spPr>
        <a:xfrm>
          <a:off x="17621249" y="9921875"/>
          <a:ext cx="4694513" cy="5445125"/>
        </a:xfrm>
        <a:prstGeom prst="rect">
          <a:avLst/>
        </a:prstGeom>
      </xdr:spPr>
    </xdr:pic>
    <xdr:clientData/>
  </xdr:twoCellAnchor>
  <xdr:twoCellAnchor>
    <xdr:from>
      <xdr:col>24</xdr:col>
      <xdr:colOff>43654</xdr:colOff>
      <xdr:row>15</xdr:row>
      <xdr:rowOff>362478</xdr:rowOff>
    </xdr:from>
    <xdr:to>
      <xdr:col>25</xdr:col>
      <xdr:colOff>92328</xdr:colOff>
      <xdr:row>16</xdr:row>
      <xdr:rowOff>349250</xdr:rowOff>
    </xdr:to>
    <xdr:sp macro="" textlink="">
      <xdr:nvSpPr>
        <xdr:cNvPr id="32" name="CuadroTexto 31">
          <a:extLst>
            <a:ext uri="{FF2B5EF4-FFF2-40B4-BE49-F238E27FC236}">
              <a16:creationId xmlns:a16="http://schemas.microsoft.com/office/drawing/2014/main" id="{0CD81C23-2217-4625-81A0-E103566FAD2D}"/>
            </a:ext>
          </a:extLst>
        </xdr:cNvPr>
        <xdr:cNvSpPr txBox="1"/>
      </xdr:nvSpPr>
      <xdr:spPr>
        <a:xfrm>
          <a:off x="24820560" y="6148916"/>
          <a:ext cx="882112" cy="391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CL" sz="900">
              <a:solidFill>
                <a:sysClr val="windowText" lastClr="000000"/>
              </a:solidFill>
            </a:rPr>
            <a:t>MtCO</a:t>
          </a:r>
          <a:r>
            <a:rPr lang="es-CL" sz="900" baseline="-25000">
              <a:solidFill>
                <a:sysClr val="windowText" lastClr="000000"/>
              </a:solidFill>
            </a:rPr>
            <a:t>2</a:t>
          </a:r>
        </a:p>
        <a:p>
          <a:pPr algn="ctr"/>
          <a:r>
            <a:rPr lang="es-CL" sz="900">
              <a:solidFill>
                <a:sysClr val="windowText" lastClr="000000"/>
              </a:solidFill>
            </a:rPr>
            <a:t>Evitadas</a:t>
          </a:r>
        </a:p>
      </xdr:txBody>
    </xdr:sp>
    <xdr:clientData/>
  </xdr:twoCellAnchor>
  <xdr:twoCellAnchor editAs="oneCell">
    <xdr:from>
      <xdr:col>8</xdr:col>
      <xdr:colOff>269875</xdr:colOff>
      <xdr:row>101</xdr:row>
      <xdr:rowOff>111125</xdr:rowOff>
    </xdr:from>
    <xdr:to>
      <xdr:col>15</xdr:col>
      <xdr:colOff>825500</xdr:colOff>
      <xdr:row>123</xdr:row>
      <xdr:rowOff>229324</xdr:rowOff>
    </xdr:to>
    <xdr:pic>
      <xdr:nvPicPr>
        <xdr:cNvPr id="35" name="Imagen 34">
          <a:extLst>
            <a:ext uri="{FF2B5EF4-FFF2-40B4-BE49-F238E27FC236}">
              <a16:creationId xmlns:a16="http://schemas.microsoft.com/office/drawing/2014/main" id="{D0549C2F-3356-7DEF-6F8D-B45DE6397B90}"/>
            </a:ext>
          </a:extLst>
        </xdr:cNvPr>
        <xdr:cNvPicPr>
          <a:picLocks noChangeAspect="1"/>
        </xdr:cNvPicPr>
      </xdr:nvPicPr>
      <xdr:blipFill>
        <a:blip xmlns:r="http://schemas.openxmlformats.org/officeDocument/2006/relationships" r:embed="rId7"/>
        <a:stretch>
          <a:fillRect/>
        </a:stretch>
      </xdr:blipFill>
      <xdr:spPr>
        <a:xfrm>
          <a:off x="11414125" y="31337250"/>
          <a:ext cx="6969125" cy="5325199"/>
        </a:xfrm>
        <a:prstGeom prst="rect">
          <a:avLst/>
        </a:prstGeom>
      </xdr:spPr>
    </xdr:pic>
    <xdr:clientData/>
  </xdr:twoCellAnchor>
  <xdr:twoCellAnchor editAs="oneCell">
    <xdr:from>
      <xdr:col>9</xdr:col>
      <xdr:colOff>698500</xdr:colOff>
      <xdr:row>8</xdr:row>
      <xdr:rowOff>285750</xdr:rowOff>
    </xdr:from>
    <xdr:to>
      <xdr:col>17</xdr:col>
      <xdr:colOff>9107</xdr:colOff>
      <xdr:row>21</xdr:row>
      <xdr:rowOff>47625</xdr:rowOff>
    </xdr:to>
    <xdr:pic>
      <xdr:nvPicPr>
        <xdr:cNvPr id="34" name="Imagen 33">
          <a:extLst>
            <a:ext uri="{FF2B5EF4-FFF2-40B4-BE49-F238E27FC236}">
              <a16:creationId xmlns:a16="http://schemas.microsoft.com/office/drawing/2014/main" id="{3A96C46C-CF06-7A72-17CC-3240B5CE1932}"/>
            </a:ext>
          </a:extLst>
        </xdr:cNvPr>
        <xdr:cNvPicPr>
          <a:picLocks noChangeAspect="1"/>
        </xdr:cNvPicPr>
      </xdr:nvPicPr>
      <xdr:blipFill>
        <a:blip xmlns:r="http://schemas.openxmlformats.org/officeDocument/2006/relationships" r:embed="rId8"/>
        <a:stretch>
          <a:fillRect/>
        </a:stretch>
      </xdr:blipFill>
      <xdr:spPr>
        <a:xfrm>
          <a:off x="12906375" y="3206750"/>
          <a:ext cx="6343232" cy="4841875"/>
        </a:xfrm>
        <a:prstGeom prst="rect">
          <a:avLst/>
        </a:prstGeom>
      </xdr:spPr>
    </xdr:pic>
    <xdr:clientData/>
  </xdr:twoCellAnchor>
</xdr:wsDr>
</file>

<file path=xl/drawings/drawing17.xml><?xml version="1.0" encoding="utf-8"?>
<c:userShapes xmlns:c="http://schemas.openxmlformats.org/drawingml/2006/chart">
  <cdr:relSizeAnchor xmlns:cdr="http://schemas.openxmlformats.org/drawingml/2006/chartDrawing">
    <cdr:from>
      <cdr:x>0.09891</cdr:x>
      <cdr:y>0.24394</cdr:y>
    </cdr:from>
    <cdr:to>
      <cdr:x>0.50911</cdr:x>
      <cdr:y>0.51328</cdr:y>
    </cdr:to>
    <cdr:cxnSp macro="">
      <cdr:nvCxnSpPr>
        <cdr:cNvPr id="3" name="Conector recto 2">
          <a:extLst xmlns:a="http://schemas.openxmlformats.org/drawingml/2006/main">
            <a:ext uri="{FF2B5EF4-FFF2-40B4-BE49-F238E27FC236}">
              <a16:creationId xmlns:a16="http://schemas.microsoft.com/office/drawing/2014/main" id="{8D70D5B8-E827-B4C0-8746-5956C157B000}"/>
            </a:ext>
          </a:extLst>
        </cdr:cNvPr>
        <cdr:cNvCxnSpPr/>
      </cdr:nvCxnSpPr>
      <cdr:spPr>
        <a:xfrm xmlns:a="http://schemas.openxmlformats.org/drawingml/2006/main">
          <a:off x="623378" y="998258"/>
          <a:ext cx="2585357" cy="1102178"/>
        </a:xfrm>
        <a:prstGeom xmlns:a="http://schemas.openxmlformats.org/drawingml/2006/main" prst="line">
          <a:avLst/>
        </a:prstGeom>
        <a:ln xmlns:a="http://schemas.openxmlformats.org/drawingml/2006/main" w="38100">
          <a:solidFill>
            <a:schemeClr val="bg1">
              <a:lumMod val="6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0.5111</cdr:x>
      <cdr:y>0.51784</cdr:y>
    </cdr:from>
    <cdr:to>
      <cdr:x>0.80815</cdr:x>
      <cdr:y>0.63631</cdr:y>
    </cdr:to>
    <cdr:cxnSp macro="">
      <cdr:nvCxnSpPr>
        <cdr:cNvPr id="4" name="Conector recto 3">
          <a:extLst xmlns:a="http://schemas.openxmlformats.org/drawingml/2006/main">
            <a:ext uri="{FF2B5EF4-FFF2-40B4-BE49-F238E27FC236}">
              <a16:creationId xmlns:a16="http://schemas.microsoft.com/office/drawing/2014/main" id="{0EC777FC-54EB-4AF1-79B2-B2047192F6F0}"/>
            </a:ext>
          </a:extLst>
        </cdr:cNvPr>
        <cdr:cNvCxnSpPr/>
      </cdr:nvCxnSpPr>
      <cdr:spPr>
        <a:xfrm xmlns:a="http://schemas.openxmlformats.org/drawingml/2006/main">
          <a:off x="3552475" y="2119085"/>
          <a:ext cx="2064724" cy="484816"/>
        </a:xfrm>
        <a:prstGeom xmlns:a="http://schemas.openxmlformats.org/drawingml/2006/main" prst="line">
          <a:avLst/>
        </a:prstGeom>
        <a:ln xmlns:a="http://schemas.openxmlformats.org/drawingml/2006/main" w="38100">
          <a:solidFill>
            <a:schemeClr val="bg1">
              <a:lumMod val="6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0.44267</cdr:x>
      <cdr:y>0.52449</cdr:y>
    </cdr:from>
    <cdr:to>
      <cdr:x>0.58496</cdr:x>
      <cdr:y>0.58669</cdr:y>
    </cdr:to>
    <cdr:sp macro="" textlink="">
      <cdr:nvSpPr>
        <cdr:cNvPr id="9" name="CuadroTexto 14">
          <a:extLst xmlns:a="http://schemas.openxmlformats.org/drawingml/2006/main">
            <a:ext uri="{FF2B5EF4-FFF2-40B4-BE49-F238E27FC236}">
              <a16:creationId xmlns:a16="http://schemas.microsoft.com/office/drawing/2014/main" id="{D53A9EE6-B410-01E5-8893-71C9E63AFC8F}"/>
            </a:ext>
          </a:extLst>
        </cdr:cNvPr>
        <cdr:cNvSpPr txBox="1"/>
      </cdr:nvSpPr>
      <cdr:spPr>
        <a:xfrm xmlns:a="http://schemas.openxmlformats.org/drawingml/2006/main">
          <a:off x="3076856" y="2146300"/>
          <a:ext cx="988991" cy="25455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1100">
              <a:solidFill>
                <a:schemeClr val="bg1">
                  <a:lumMod val="95000"/>
                </a:schemeClr>
              </a:solidFill>
            </a:rPr>
            <a:t>3500</a:t>
          </a:r>
          <a:r>
            <a:rPr lang="es-CL" sz="1100" baseline="0">
              <a:solidFill>
                <a:schemeClr val="bg1">
                  <a:lumMod val="95000"/>
                </a:schemeClr>
              </a:solidFill>
            </a:rPr>
            <a:t> </a:t>
          </a:r>
          <a:r>
            <a:rPr lang="es-CL" sz="900" baseline="0">
              <a:solidFill>
                <a:schemeClr val="bg1">
                  <a:lumMod val="95000"/>
                </a:schemeClr>
              </a:solidFill>
            </a:rPr>
            <a:t>MJ/tCk</a:t>
          </a:r>
          <a:endParaRPr lang="es-CL" sz="1100">
            <a:solidFill>
              <a:schemeClr val="bg1">
                <a:lumMod val="95000"/>
              </a:schemeClr>
            </a:solidFill>
          </a:endParaRPr>
        </a:p>
      </cdr:txBody>
    </cdr:sp>
  </cdr:relSizeAnchor>
  <cdr:relSizeAnchor xmlns:cdr="http://schemas.openxmlformats.org/drawingml/2006/chartDrawing">
    <cdr:from>
      <cdr:x>0.68858</cdr:x>
      <cdr:y>0.53114</cdr:y>
    </cdr:from>
    <cdr:to>
      <cdr:x>0.8176</cdr:x>
      <cdr:y>0.59334</cdr:y>
    </cdr:to>
    <cdr:sp macro="" textlink="">
      <cdr:nvSpPr>
        <cdr:cNvPr id="11" name="CuadroTexto 14">
          <a:extLst xmlns:a="http://schemas.openxmlformats.org/drawingml/2006/main">
            <a:ext uri="{FF2B5EF4-FFF2-40B4-BE49-F238E27FC236}">
              <a16:creationId xmlns:a16="http://schemas.microsoft.com/office/drawing/2014/main" id="{D53A9EE6-B410-01E5-8893-71C9E63AFC8F}"/>
            </a:ext>
          </a:extLst>
        </cdr:cNvPr>
        <cdr:cNvSpPr txBox="1"/>
      </cdr:nvSpPr>
      <cdr:spPr>
        <a:xfrm xmlns:a="http://schemas.openxmlformats.org/drawingml/2006/main">
          <a:off x="4786086" y="2173515"/>
          <a:ext cx="896784" cy="25455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1100"/>
            <a:t>3300</a:t>
          </a:r>
          <a:r>
            <a:rPr lang="es-CL" sz="1100" baseline="0"/>
            <a:t> </a:t>
          </a:r>
          <a:r>
            <a:rPr lang="es-CL" sz="900" baseline="0"/>
            <a:t>MJ/tCk</a:t>
          </a:r>
          <a:endParaRPr lang="es-CL" sz="1100"/>
        </a:p>
      </cdr:txBody>
    </cdr:sp>
  </cdr:relSizeAnchor>
  <cdr:relSizeAnchor xmlns:cdr="http://schemas.openxmlformats.org/drawingml/2006/chartDrawing">
    <cdr:from>
      <cdr:x>0.09161</cdr:x>
      <cdr:y>0.27843</cdr:y>
    </cdr:from>
    <cdr:to>
      <cdr:x>0.22081</cdr:x>
      <cdr:y>0.34063</cdr:y>
    </cdr:to>
    <cdr:sp macro="" textlink="">
      <cdr:nvSpPr>
        <cdr:cNvPr id="2" name="CuadroTexto 14">
          <a:extLst xmlns:a="http://schemas.openxmlformats.org/drawingml/2006/main">
            <a:ext uri="{FF2B5EF4-FFF2-40B4-BE49-F238E27FC236}">
              <a16:creationId xmlns:a16="http://schemas.microsoft.com/office/drawing/2014/main" id="{3D6036D2-85A6-FACF-1724-812628D5B077}"/>
            </a:ext>
          </a:extLst>
        </cdr:cNvPr>
        <cdr:cNvSpPr txBox="1"/>
      </cdr:nvSpPr>
      <cdr:spPr>
        <a:xfrm xmlns:a="http://schemas.openxmlformats.org/drawingml/2006/main">
          <a:off x="635907" y="1139371"/>
          <a:ext cx="896784" cy="25455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1100">
              <a:solidFill>
                <a:schemeClr val="bg1">
                  <a:lumMod val="85000"/>
                </a:schemeClr>
              </a:solidFill>
            </a:rPr>
            <a:t>3887</a:t>
          </a:r>
          <a:r>
            <a:rPr lang="es-CL" sz="1100" baseline="0">
              <a:solidFill>
                <a:schemeClr val="bg1">
                  <a:lumMod val="85000"/>
                </a:schemeClr>
              </a:solidFill>
            </a:rPr>
            <a:t> </a:t>
          </a:r>
          <a:r>
            <a:rPr lang="es-CL" sz="900" baseline="0">
              <a:solidFill>
                <a:schemeClr val="bg1">
                  <a:lumMod val="85000"/>
                </a:schemeClr>
              </a:solidFill>
            </a:rPr>
            <a:t>MJ/tCk</a:t>
          </a:r>
          <a:endParaRPr lang="es-CL" sz="1100">
            <a:solidFill>
              <a:schemeClr val="bg1">
                <a:lumMod val="85000"/>
              </a:schemeClr>
            </a:solidFill>
          </a:endParaRPr>
        </a:p>
      </cdr:txBody>
    </cdr:sp>
  </cdr:relSizeAnchor>
</c:userShapes>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152400</xdr:colOff>
      <xdr:row>1</xdr:row>
      <xdr:rowOff>152400</xdr:rowOff>
    </xdr:to>
    <xdr:pic>
      <xdr:nvPicPr>
        <xdr:cNvPr id="2" name="Grafik 1"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4" name="Grafik 3" descr="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1885512</xdr:colOff>
      <xdr:row>4</xdr:row>
      <xdr:rowOff>133262</xdr:rowOff>
    </xdr:to>
    <xdr:pic>
      <xdr:nvPicPr>
        <xdr:cNvPr id="6" name="Grafik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209551" y="190501"/>
          <a:ext cx="3508571" cy="71428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absoluteAnchor>
    <xdr:pos x="0" y="0"/>
    <xdr:ext cx="9293679" cy="6000750"/>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0.01333</cdr:x>
      <cdr:y>0.00294</cdr:y>
    </cdr:from>
    <cdr:to>
      <cdr:x>0.20949</cdr:x>
      <cdr:y>0.06445</cdr:y>
    </cdr:to>
    <cdr:pic>
      <cdr:nvPicPr>
        <cdr:cNvPr id="2" name="Grafik 1">
          <a:extLst xmlns:a="http://schemas.openxmlformats.org/drawingml/2006/main">
            <a:ext uri="{FF2B5EF4-FFF2-40B4-BE49-F238E27FC236}">
              <a16:creationId xmlns:a16="http://schemas.microsoft.com/office/drawing/2014/main" id="{43D02E93-8849-4AC8-A4B4-0DFD40DE69A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23885" y="17657"/>
          <a:ext cx="1823048" cy="369106"/>
        </a:xfrm>
        <a:prstGeom xmlns:a="http://schemas.openxmlformats.org/drawingml/2006/main" prst="rect">
          <a:avLst/>
        </a:prstGeom>
      </cdr:spPr>
    </cdr:pic>
  </cdr:relSizeAnchor>
  <cdr:relSizeAnchor xmlns:cdr="http://schemas.openxmlformats.org/drawingml/2006/chartDrawing">
    <cdr:from>
      <cdr:x>0.07037</cdr:x>
      <cdr:y>0.08569</cdr:y>
    </cdr:from>
    <cdr:to>
      <cdr:x>0.77008</cdr:x>
      <cdr:y>0.15768</cdr:y>
    </cdr:to>
    <cdr:sp macro="" textlink="'Waterfall data'!$F$2">
      <cdr:nvSpPr>
        <cdr:cNvPr id="3" name="Textfeld 1"/>
        <cdr:cNvSpPr txBox="1"/>
      </cdr:nvSpPr>
      <cdr:spPr>
        <a:xfrm xmlns:a="http://schemas.openxmlformats.org/drawingml/2006/main">
          <a:off x="654050" y="516467"/>
          <a:ext cx="6503458" cy="433917"/>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47E76724-20B4-4447-986D-F1FA483E0BEE}" type="TxLink">
            <a:rPr lang="de-DE" sz="1400" b="1" i="0" u="none" strike="noStrike">
              <a:solidFill>
                <a:srgbClr val="000000"/>
              </a:solidFill>
              <a:latin typeface="Arial"/>
              <a:cs typeface="Arial"/>
            </a:rPr>
            <a:pPr algn="ctr"/>
            <a:t>ARGENTINA</a:t>
          </a:fld>
          <a:endParaRPr lang="de-DE" sz="1400" b="1"/>
        </a:p>
      </cdr:txBody>
    </cdr:sp>
  </cdr:relSizeAnchor>
  <cdr:relSizeAnchor xmlns:cdr="http://schemas.openxmlformats.org/drawingml/2006/chartDrawing">
    <cdr:from>
      <cdr:x>0.88873</cdr:x>
      <cdr:y>0.00396</cdr:y>
    </cdr:from>
    <cdr:to>
      <cdr:x>0.99561</cdr:x>
      <cdr:y>0.09289</cdr:y>
    </cdr:to>
    <cdr:pic>
      <cdr:nvPicPr>
        <cdr:cNvPr id="4" name="Imagen 3">
          <a:extLst xmlns:a="http://schemas.openxmlformats.org/drawingml/2006/main">
            <a:ext uri="{FF2B5EF4-FFF2-40B4-BE49-F238E27FC236}">
              <a16:creationId xmlns:a16="http://schemas.microsoft.com/office/drawing/2014/main" id="{F0C883C9-2B1F-61F2-C1BC-EECD48958680}"/>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2"/>
        <a:srcRect xmlns:a="http://schemas.openxmlformats.org/drawingml/2006/main" t="46281"/>
        <a:stretch xmlns:a="http://schemas.openxmlformats.org/drawingml/2006/main"/>
      </cdr:blipFill>
      <cdr:spPr>
        <a:xfrm xmlns:a="http://schemas.openxmlformats.org/drawingml/2006/main">
          <a:off x="8259535" y="23779"/>
          <a:ext cx="993322" cy="533601"/>
        </a:xfrm>
        <a:prstGeom xmlns:a="http://schemas.openxmlformats.org/drawingml/2006/main" prst="rect">
          <a:avLst/>
        </a:prstGeom>
      </cdr:spPr>
    </cdr:pic>
  </cdr:relSizeAnchor>
</c:userShapes>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152400</xdr:colOff>
      <xdr:row>1</xdr:row>
      <xdr:rowOff>152400</xdr:rowOff>
    </xdr:to>
    <xdr:pic>
      <xdr:nvPicPr>
        <xdr:cNvPr id="2" name="Grafik 1" descr="Log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3" name="Grafik 2" descr="Log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3</xdr:col>
      <xdr:colOff>2535330</xdr:colOff>
      <xdr:row>5</xdr:row>
      <xdr:rowOff>92763</xdr:rowOff>
    </xdr:to>
    <xdr:pic>
      <xdr:nvPicPr>
        <xdr:cNvPr id="4" name="Grafik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80975" y="190500"/>
          <a:ext cx="4143150" cy="84523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152400</xdr:colOff>
      <xdr:row>1</xdr:row>
      <xdr:rowOff>152400</xdr:rowOff>
    </xdr:to>
    <xdr:pic>
      <xdr:nvPicPr>
        <xdr:cNvPr id="2" name="Grafik 1" descr="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3" name="Grafik 2" descr="Logo">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1885512</xdr:colOff>
      <xdr:row>4</xdr:row>
      <xdr:rowOff>133262</xdr:rowOff>
    </xdr:to>
    <xdr:pic>
      <xdr:nvPicPr>
        <xdr:cNvPr id="4" name="Grafik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152400</xdr:colOff>
      <xdr:row>1</xdr:row>
      <xdr:rowOff>152400</xdr:rowOff>
    </xdr:to>
    <xdr:pic>
      <xdr:nvPicPr>
        <xdr:cNvPr id="2" name="Grafik 1"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3" name="Grafik 2" descr="Logo">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1889322</xdr:colOff>
      <xdr:row>4</xdr:row>
      <xdr:rowOff>137072</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152400</xdr:colOff>
      <xdr:row>1</xdr:row>
      <xdr:rowOff>152400</xdr:rowOff>
    </xdr:to>
    <xdr:pic>
      <xdr:nvPicPr>
        <xdr:cNvPr id="2" name="Grafik 1" descr="Logo">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2</xdr:col>
      <xdr:colOff>152400</xdr:colOff>
      <xdr:row>1</xdr:row>
      <xdr:rowOff>152400</xdr:rowOff>
    </xdr:to>
    <xdr:pic>
      <xdr:nvPicPr>
        <xdr:cNvPr id="3" name="Grafik 2" descr="Logo">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5" name="Grafik 4" descr="Logo">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6" name="Grafik 5" descr="Logo">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8" name="Grafik 7" descr="Logo">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9" name="Grafik 8" descr="Logo">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1730572</xdr:colOff>
      <xdr:row>4</xdr:row>
      <xdr:rowOff>137072</xdr:rowOff>
    </xdr:to>
    <xdr:pic>
      <xdr:nvPicPr>
        <xdr:cNvPr id="10" name="Grafik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152400</xdr:colOff>
      <xdr:row>1</xdr:row>
      <xdr:rowOff>152400</xdr:rowOff>
    </xdr:to>
    <xdr:pic>
      <xdr:nvPicPr>
        <xdr:cNvPr id="5" name="Grafik 4"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6" name="Grafik 5" descr="Logo">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1583464</xdr:colOff>
      <xdr:row>4</xdr:row>
      <xdr:rowOff>137072</xdr:rowOff>
    </xdr:to>
    <xdr:pic>
      <xdr:nvPicPr>
        <xdr:cNvPr id="7" name="Grafik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twoCellAnchor editAs="oneCell">
    <xdr:from>
      <xdr:col>2</xdr:col>
      <xdr:colOff>0</xdr:colOff>
      <xdr:row>1</xdr:row>
      <xdr:rowOff>0</xdr:rowOff>
    </xdr:from>
    <xdr:to>
      <xdr:col>2</xdr:col>
      <xdr:colOff>152400</xdr:colOff>
      <xdr:row>1</xdr:row>
      <xdr:rowOff>152400</xdr:rowOff>
    </xdr:to>
    <xdr:pic>
      <xdr:nvPicPr>
        <xdr:cNvPr id="8" name="Grafik 7" descr="Logo">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2</xdr:col>
      <xdr:colOff>152400</xdr:colOff>
      <xdr:row>1</xdr:row>
      <xdr:rowOff>152400</xdr:rowOff>
    </xdr:to>
    <xdr:pic>
      <xdr:nvPicPr>
        <xdr:cNvPr id="9" name="Grafik 8" descr="Logo">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10" name="Grafik 9" descr="Logo">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11" name="Grafik 10" descr="Logo">
          <a:extLst>
            <a:ext uri="{FF2B5EF4-FFF2-40B4-BE49-F238E27FC236}">
              <a16:creationId xmlns:a16="http://schemas.microsoft.com/office/drawing/2014/main" id="{00000000-0008-0000-0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12" name="Grafik 11" descr="Logo">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13" name="Grafik 12" descr="Logo">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1583464</xdr:colOff>
      <xdr:row>4</xdr:row>
      <xdr:rowOff>137072</xdr:rowOff>
    </xdr:to>
    <xdr:pic>
      <xdr:nvPicPr>
        <xdr:cNvPr id="14" name="Grafik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152400</xdr:colOff>
      <xdr:row>1</xdr:row>
      <xdr:rowOff>152400</xdr:rowOff>
    </xdr:to>
    <xdr:pic>
      <xdr:nvPicPr>
        <xdr:cNvPr id="2" name="Grafik 1"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3" name="Grafik 2" descr="Logo">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1885512</xdr:colOff>
      <xdr:row>4</xdr:row>
      <xdr:rowOff>133262</xdr:rowOff>
    </xdr:to>
    <xdr:pic>
      <xdr:nvPicPr>
        <xdr:cNvPr id="4" name="Grafik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152400</xdr:colOff>
      <xdr:row>1</xdr:row>
      <xdr:rowOff>152400</xdr:rowOff>
    </xdr:to>
    <xdr:pic>
      <xdr:nvPicPr>
        <xdr:cNvPr id="2" name="Grafik 1"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2</xdr:col>
      <xdr:colOff>152400</xdr:colOff>
      <xdr:row>1</xdr:row>
      <xdr:rowOff>152400</xdr:rowOff>
    </xdr:to>
    <xdr:pic>
      <xdr:nvPicPr>
        <xdr:cNvPr id="3" name="Grafik 2" descr="Logo">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4" name="Grafik 3" descr="Logo">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5" name="Grafik 4" descr="Logo">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6" name="Grafik 5" descr="Logo">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7" name="Grafik 6" descr="Logo">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1889322</xdr:colOff>
      <xdr:row>4</xdr:row>
      <xdr:rowOff>137072</xdr:rowOff>
    </xdr:to>
    <xdr:pic>
      <xdr:nvPicPr>
        <xdr:cNvPr id="8" name="Grafik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89817</xdr:colOff>
      <xdr:row>0</xdr:row>
      <xdr:rowOff>133350</xdr:rowOff>
    </xdr:from>
    <xdr:to>
      <xdr:col>8</xdr:col>
      <xdr:colOff>447674</xdr:colOff>
      <xdr:row>7</xdr:row>
      <xdr:rowOff>19050</xdr:rowOff>
    </xdr:to>
    <xdr:pic>
      <xdr:nvPicPr>
        <xdr:cNvPr id="4" name="Imagen 3">
          <a:extLst>
            <a:ext uri="{FF2B5EF4-FFF2-40B4-BE49-F238E27FC236}">
              <a16:creationId xmlns:a16="http://schemas.microsoft.com/office/drawing/2014/main" id="{2A1B0F02-C252-DB6F-C6D2-DF5BE46E8875}"/>
            </a:ext>
          </a:extLst>
        </xdr:cNvPr>
        <xdr:cNvPicPr>
          <a:picLocks noChangeAspect="1"/>
        </xdr:cNvPicPr>
      </xdr:nvPicPr>
      <xdr:blipFill rotWithShape="1">
        <a:blip xmlns:r="http://schemas.openxmlformats.org/officeDocument/2006/relationships" r:embed="rId1"/>
        <a:srcRect b="26597"/>
        <a:stretch/>
      </xdr:blipFill>
      <xdr:spPr>
        <a:xfrm>
          <a:off x="5966742" y="133350"/>
          <a:ext cx="3710657" cy="3267075"/>
        </a:xfrm>
        <a:prstGeom prst="rect">
          <a:avLst/>
        </a:prstGeom>
      </xdr:spPr>
    </xdr:pic>
    <xdr:clientData/>
  </xdr:twoCellAnchor>
  <xdr:twoCellAnchor editAs="oneCell">
    <xdr:from>
      <xdr:col>8</xdr:col>
      <xdr:colOff>508917</xdr:colOff>
      <xdr:row>3</xdr:row>
      <xdr:rowOff>714374</xdr:rowOff>
    </xdr:from>
    <xdr:to>
      <xdr:col>13</xdr:col>
      <xdr:colOff>28574</xdr:colOff>
      <xdr:row>5</xdr:row>
      <xdr:rowOff>478940</xdr:rowOff>
    </xdr:to>
    <xdr:pic>
      <xdr:nvPicPr>
        <xdr:cNvPr id="5" name="Imagen 4">
          <a:extLst>
            <a:ext uri="{FF2B5EF4-FFF2-40B4-BE49-F238E27FC236}">
              <a16:creationId xmlns:a16="http://schemas.microsoft.com/office/drawing/2014/main" id="{0EF8C1DF-6CE3-43E1-A71C-1B96CF02DB2A}"/>
            </a:ext>
          </a:extLst>
        </xdr:cNvPr>
        <xdr:cNvPicPr>
          <a:picLocks noChangeAspect="1"/>
        </xdr:cNvPicPr>
      </xdr:nvPicPr>
      <xdr:blipFill rotWithShape="1">
        <a:blip xmlns:r="http://schemas.openxmlformats.org/officeDocument/2006/relationships" r:embed="rId1"/>
        <a:srcRect t="75543"/>
        <a:stretch/>
      </xdr:blipFill>
      <xdr:spPr>
        <a:xfrm>
          <a:off x="9738642" y="1266824"/>
          <a:ext cx="3710657" cy="1088541"/>
        </a:xfrm>
        <a:prstGeom prst="rect">
          <a:avLst/>
        </a:prstGeom>
      </xdr:spPr>
    </xdr:pic>
    <xdr:clientData/>
  </xdr:twoCellAnchor>
  <xdr:twoCellAnchor editAs="oneCell">
    <xdr:from>
      <xdr:col>2</xdr:col>
      <xdr:colOff>304800</xdr:colOff>
      <xdr:row>8</xdr:row>
      <xdr:rowOff>133350</xdr:rowOff>
    </xdr:from>
    <xdr:to>
      <xdr:col>8</xdr:col>
      <xdr:colOff>253714</xdr:colOff>
      <xdr:row>13</xdr:row>
      <xdr:rowOff>285750</xdr:rowOff>
    </xdr:to>
    <xdr:pic>
      <xdr:nvPicPr>
        <xdr:cNvPr id="6" name="Imagen 5">
          <a:extLst>
            <a:ext uri="{FF2B5EF4-FFF2-40B4-BE49-F238E27FC236}">
              <a16:creationId xmlns:a16="http://schemas.microsoft.com/office/drawing/2014/main" id="{17E29177-C756-E4CA-FD77-6EB9A6CA8982}"/>
            </a:ext>
          </a:extLst>
        </xdr:cNvPr>
        <xdr:cNvPicPr>
          <a:picLocks noChangeAspect="1"/>
        </xdr:cNvPicPr>
      </xdr:nvPicPr>
      <xdr:blipFill>
        <a:blip xmlns:r="http://schemas.openxmlformats.org/officeDocument/2006/relationships" r:embed="rId2">
          <a:clrChange>
            <a:clrFrom>
              <a:srgbClr val="002060"/>
            </a:clrFrom>
            <a:clrTo>
              <a:srgbClr val="002060">
                <a:alpha val="0"/>
              </a:srgbClr>
            </a:clrTo>
          </a:clrChange>
        </a:blip>
        <a:stretch>
          <a:fillRect/>
        </a:stretch>
      </xdr:blipFill>
      <xdr:spPr>
        <a:xfrm>
          <a:off x="4505325" y="3695700"/>
          <a:ext cx="4978114" cy="2400300"/>
        </a:xfrm>
        <a:prstGeom prst="rect">
          <a:avLst/>
        </a:prstGeom>
      </xdr:spPr>
    </xdr:pic>
    <xdr:clientData/>
  </xdr:twoCellAnchor>
  <xdr:twoCellAnchor editAs="oneCell">
    <xdr:from>
      <xdr:col>3</xdr:col>
      <xdr:colOff>828675</xdr:colOff>
      <xdr:row>24</xdr:row>
      <xdr:rowOff>142875</xdr:rowOff>
    </xdr:from>
    <xdr:to>
      <xdr:col>8</xdr:col>
      <xdr:colOff>9525</xdr:colOff>
      <xdr:row>30</xdr:row>
      <xdr:rowOff>166989</xdr:rowOff>
    </xdr:to>
    <xdr:pic>
      <xdr:nvPicPr>
        <xdr:cNvPr id="7" name="Imagen 6">
          <a:extLst>
            <a:ext uri="{FF2B5EF4-FFF2-40B4-BE49-F238E27FC236}">
              <a16:creationId xmlns:a16="http://schemas.microsoft.com/office/drawing/2014/main" id="{65D9B97D-8D0E-5A9D-E661-6EA26601223B}"/>
            </a:ext>
          </a:extLst>
        </xdr:cNvPr>
        <xdr:cNvPicPr>
          <a:picLocks noChangeAspect="1"/>
        </xdr:cNvPicPr>
      </xdr:nvPicPr>
      <xdr:blipFill>
        <a:blip xmlns:r="http://schemas.openxmlformats.org/officeDocument/2006/relationships" r:embed="rId3"/>
        <a:stretch>
          <a:fillRect/>
        </a:stretch>
      </xdr:blipFill>
      <xdr:spPr>
        <a:xfrm>
          <a:off x="5867400" y="9410700"/>
          <a:ext cx="3371850" cy="3862689"/>
        </a:xfrm>
        <a:prstGeom prst="rect">
          <a:avLst/>
        </a:prstGeom>
      </xdr:spPr>
    </xdr:pic>
    <xdr:clientData/>
  </xdr:twoCellAnchor>
  <xdr:twoCellAnchor editAs="oneCell">
    <xdr:from>
      <xdr:col>8</xdr:col>
      <xdr:colOff>523875</xdr:colOff>
      <xdr:row>27</xdr:row>
      <xdr:rowOff>847725</xdr:rowOff>
    </xdr:from>
    <xdr:to>
      <xdr:col>12</xdr:col>
      <xdr:colOff>171869</xdr:colOff>
      <xdr:row>29</xdr:row>
      <xdr:rowOff>162061</xdr:rowOff>
    </xdr:to>
    <xdr:pic>
      <xdr:nvPicPr>
        <xdr:cNvPr id="8" name="Imagen 7">
          <a:extLst>
            <a:ext uri="{FF2B5EF4-FFF2-40B4-BE49-F238E27FC236}">
              <a16:creationId xmlns:a16="http://schemas.microsoft.com/office/drawing/2014/main" id="{BF5F2195-0B3A-FAD6-D4BB-8F23793A2277}"/>
            </a:ext>
          </a:extLst>
        </xdr:cNvPr>
        <xdr:cNvPicPr>
          <a:picLocks noChangeAspect="1"/>
        </xdr:cNvPicPr>
      </xdr:nvPicPr>
      <xdr:blipFill>
        <a:blip xmlns:r="http://schemas.openxmlformats.org/officeDocument/2006/relationships" r:embed="rId4"/>
        <a:stretch>
          <a:fillRect/>
        </a:stretch>
      </xdr:blipFill>
      <xdr:spPr>
        <a:xfrm>
          <a:off x="9753600" y="10668000"/>
          <a:ext cx="3000794" cy="971686"/>
        </a:xfrm>
        <a:prstGeom prst="rect">
          <a:avLst/>
        </a:prstGeom>
      </xdr:spPr>
    </xdr:pic>
    <xdr:clientData/>
  </xdr:twoCellAnchor>
  <xdr:twoCellAnchor editAs="oneCell">
    <xdr:from>
      <xdr:col>4</xdr:col>
      <xdr:colOff>238125</xdr:colOff>
      <xdr:row>15</xdr:row>
      <xdr:rowOff>133350</xdr:rowOff>
    </xdr:from>
    <xdr:to>
      <xdr:col>8</xdr:col>
      <xdr:colOff>180975</xdr:colOff>
      <xdr:row>21</xdr:row>
      <xdr:rowOff>98108</xdr:rowOff>
    </xdr:to>
    <xdr:pic>
      <xdr:nvPicPr>
        <xdr:cNvPr id="9" name="Imagen 8">
          <a:extLst>
            <a:ext uri="{FF2B5EF4-FFF2-40B4-BE49-F238E27FC236}">
              <a16:creationId xmlns:a16="http://schemas.microsoft.com/office/drawing/2014/main" id="{9F798BB3-BE83-CA8B-88D8-6C16941A1A8F}"/>
            </a:ext>
          </a:extLst>
        </xdr:cNvPr>
        <xdr:cNvPicPr>
          <a:picLocks noChangeAspect="1"/>
        </xdr:cNvPicPr>
      </xdr:nvPicPr>
      <xdr:blipFill>
        <a:blip xmlns:r="http://schemas.openxmlformats.org/officeDocument/2006/relationships" r:embed="rId5"/>
        <a:stretch>
          <a:fillRect/>
        </a:stretch>
      </xdr:blipFill>
      <xdr:spPr>
        <a:xfrm>
          <a:off x="6115050" y="7581900"/>
          <a:ext cx="3295650" cy="3460433"/>
        </a:xfrm>
        <a:prstGeom prst="rect">
          <a:avLst/>
        </a:prstGeom>
      </xdr:spPr>
    </xdr:pic>
    <xdr:clientData/>
  </xdr:twoCellAnchor>
  <xdr:twoCellAnchor editAs="oneCell">
    <xdr:from>
      <xdr:col>9</xdr:col>
      <xdr:colOff>19050</xdr:colOff>
      <xdr:row>19</xdr:row>
      <xdr:rowOff>9525</xdr:rowOff>
    </xdr:from>
    <xdr:to>
      <xdr:col>12</xdr:col>
      <xdr:colOff>791034</xdr:colOff>
      <xdr:row>19</xdr:row>
      <xdr:rowOff>847842</xdr:rowOff>
    </xdr:to>
    <xdr:pic>
      <xdr:nvPicPr>
        <xdr:cNvPr id="10" name="Imagen 9">
          <a:extLst>
            <a:ext uri="{FF2B5EF4-FFF2-40B4-BE49-F238E27FC236}">
              <a16:creationId xmlns:a16="http://schemas.microsoft.com/office/drawing/2014/main" id="{9D4322F5-7DBA-5F02-DBF7-38CBF720B10E}"/>
            </a:ext>
          </a:extLst>
        </xdr:cNvPr>
        <xdr:cNvPicPr>
          <a:picLocks noChangeAspect="1"/>
        </xdr:cNvPicPr>
      </xdr:nvPicPr>
      <xdr:blipFill>
        <a:blip xmlns:r="http://schemas.openxmlformats.org/officeDocument/2006/relationships" r:embed="rId6"/>
        <a:stretch>
          <a:fillRect/>
        </a:stretch>
      </xdr:blipFill>
      <xdr:spPr>
        <a:xfrm>
          <a:off x="10086975" y="9153525"/>
          <a:ext cx="3286584" cy="838317"/>
        </a:xfrm>
        <a:prstGeom prst="rect">
          <a:avLst/>
        </a:prstGeom>
      </xdr:spPr>
    </xdr:pic>
    <xdr:clientData/>
  </xdr:twoCellAnchor>
  <xdr:twoCellAnchor editAs="oneCell">
    <xdr:from>
      <xdr:col>3</xdr:col>
      <xdr:colOff>771525</xdr:colOff>
      <xdr:row>34</xdr:row>
      <xdr:rowOff>152400</xdr:rowOff>
    </xdr:from>
    <xdr:to>
      <xdr:col>7</xdr:col>
      <xdr:colOff>724361</xdr:colOff>
      <xdr:row>38</xdr:row>
      <xdr:rowOff>1572102</xdr:rowOff>
    </xdr:to>
    <xdr:pic>
      <xdr:nvPicPr>
        <xdr:cNvPr id="11" name="Imagen 10">
          <a:extLst>
            <a:ext uri="{FF2B5EF4-FFF2-40B4-BE49-F238E27FC236}">
              <a16:creationId xmlns:a16="http://schemas.microsoft.com/office/drawing/2014/main" id="{2FEAAB0D-7982-B181-56D4-D7849B090CEB}"/>
            </a:ext>
          </a:extLst>
        </xdr:cNvPr>
        <xdr:cNvPicPr>
          <a:picLocks noChangeAspect="1"/>
        </xdr:cNvPicPr>
      </xdr:nvPicPr>
      <xdr:blipFill>
        <a:blip xmlns:r="http://schemas.openxmlformats.org/officeDocument/2006/relationships" r:embed="rId7"/>
        <a:stretch>
          <a:fillRect/>
        </a:stretch>
      </xdr:blipFill>
      <xdr:spPr>
        <a:xfrm>
          <a:off x="5810250" y="15897225"/>
          <a:ext cx="3305636" cy="3419952"/>
        </a:xfrm>
        <a:prstGeom prst="rect">
          <a:avLst/>
        </a:prstGeom>
      </xdr:spPr>
    </xdr:pic>
    <xdr:clientData/>
  </xdr:twoCellAnchor>
  <xdr:twoCellAnchor editAs="oneCell">
    <xdr:from>
      <xdr:col>8</xdr:col>
      <xdr:colOff>657225</xdr:colOff>
      <xdr:row>36</xdr:row>
      <xdr:rowOff>495300</xdr:rowOff>
    </xdr:from>
    <xdr:to>
      <xdr:col>12</xdr:col>
      <xdr:colOff>381429</xdr:colOff>
      <xdr:row>37</xdr:row>
      <xdr:rowOff>76344</xdr:rowOff>
    </xdr:to>
    <xdr:pic>
      <xdr:nvPicPr>
        <xdr:cNvPr id="12" name="Imagen 11">
          <a:extLst>
            <a:ext uri="{FF2B5EF4-FFF2-40B4-BE49-F238E27FC236}">
              <a16:creationId xmlns:a16="http://schemas.microsoft.com/office/drawing/2014/main" id="{889BF962-2E28-731A-E952-3C77E7FA5637}"/>
            </a:ext>
          </a:extLst>
        </xdr:cNvPr>
        <xdr:cNvPicPr>
          <a:picLocks noChangeAspect="1"/>
        </xdr:cNvPicPr>
      </xdr:nvPicPr>
      <xdr:blipFill>
        <a:blip xmlns:r="http://schemas.openxmlformats.org/officeDocument/2006/relationships" r:embed="rId8"/>
        <a:stretch>
          <a:fillRect/>
        </a:stretch>
      </xdr:blipFill>
      <xdr:spPr>
        <a:xfrm>
          <a:off x="9886950" y="16973550"/>
          <a:ext cx="3077004" cy="102884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333375</xdr:colOff>
      <xdr:row>4</xdr:row>
      <xdr:rowOff>77342</xdr:rowOff>
    </xdr:from>
    <xdr:to>
      <xdr:col>8</xdr:col>
      <xdr:colOff>746398</xdr:colOff>
      <xdr:row>36</xdr:row>
      <xdr:rowOff>72805</xdr:rowOff>
    </xdr:to>
    <xdr:graphicFrame macro="">
      <xdr:nvGraphicFramePr>
        <xdr:cNvPr id="2" name="Gráfico 1">
          <a:extLst>
            <a:ext uri="{FF2B5EF4-FFF2-40B4-BE49-F238E27FC236}">
              <a16:creationId xmlns:a16="http://schemas.microsoft.com/office/drawing/2014/main" id="{69D21468-3E32-4856-B6A6-E04BE8D3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596985</xdr:colOff>
      <xdr:row>3</xdr:row>
      <xdr:rowOff>147084</xdr:rowOff>
    </xdr:from>
    <xdr:to>
      <xdr:col>18</xdr:col>
      <xdr:colOff>381000</xdr:colOff>
      <xdr:row>35</xdr:row>
      <xdr:rowOff>142547</xdr:rowOff>
    </xdr:to>
    <xdr:graphicFrame macro="">
      <xdr:nvGraphicFramePr>
        <xdr:cNvPr id="3" name="Gráfico 2">
          <a:extLst>
            <a:ext uri="{FF2B5EF4-FFF2-40B4-BE49-F238E27FC236}">
              <a16:creationId xmlns:a16="http://schemas.microsoft.com/office/drawing/2014/main" id="{668EAEC3-4B7B-482A-B79A-4A465D84C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702469</xdr:colOff>
      <xdr:row>3</xdr:row>
      <xdr:rowOff>142876</xdr:rowOff>
    </xdr:from>
    <xdr:to>
      <xdr:col>27</xdr:col>
      <xdr:colOff>595313</xdr:colOff>
      <xdr:row>35</xdr:row>
      <xdr:rowOff>138339</xdr:rowOff>
    </xdr:to>
    <xdr:graphicFrame macro="">
      <xdr:nvGraphicFramePr>
        <xdr:cNvPr id="4" name="Gráfico 3">
          <a:extLst>
            <a:ext uri="{FF2B5EF4-FFF2-40B4-BE49-F238E27FC236}">
              <a16:creationId xmlns:a16="http://schemas.microsoft.com/office/drawing/2014/main" id="{AA5B4915-13B8-4E5F-BD6E-F385186FE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71438</xdr:colOff>
      <xdr:row>3</xdr:row>
      <xdr:rowOff>95251</xdr:rowOff>
    </xdr:from>
    <xdr:to>
      <xdr:col>36</xdr:col>
      <xdr:colOff>726282</xdr:colOff>
      <xdr:row>35</xdr:row>
      <xdr:rowOff>90714</xdr:rowOff>
    </xdr:to>
    <xdr:graphicFrame macro="">
      <xdr:nvGraphicFramePr>
        <xdr:cNvPr id="5" name="Gráfico 4">
          <a:extLst>
            <a:ext uri="{FF2B5EF4-FFF2-40B4-BE49-F238E27FC236}">
              <a16:creationId xmlns:a16="http://schemas.microsoft.com/office/drawing/2014/main" id="{F368DC6C-F369-474B-9B86-B37EDD90E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231321</xdr:colOff>
      <xdr:row>2</xdr:row>
      <xdr:rowOff>136072</xdr:rowOff>
    </xdr:from>
    <xdr:to>
      <xdr:col>46</xdr:col>
      <xdr:colOff>297996</xdr:colOff>
      <xdr:row>34</xdr:row>
      <xdr:rowOff>131535</xdr:rowOff>
    </xdr:to>
    <xdr:graphicFrame macro="">
      <xdr:nvGraphicFramePr>
        <xdr:cNvPr id="6" name="Gráfico 5">
          <a:extLst>
            <a:ext uri="{FF2B5EF4-FFF2-40B4-BE49-F238E27FC236}">
              <a16:creationId xmlns:a16="http://schemas.microsoft.com/office/drawing/2014/main" id="{A25499DA-DCEC-4307-B6F5-D8F454B53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5</xdr:col>
      <xdr:colOff>152400</xdr:colOff>
      <xdr:row>1</xdr:row>
      <xdr:rowOff>152400</xdr:rowOff>
    </xdr:to>
    <xdr:pic>
      <xdr:nvPicPr>
        <xdr:cNvPr id="2" name="Grafik 1" descr="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152400</xdr:colOff>
      <xdr:row>1</xdr:row>
      <xdr:rowOff>152400</xdr:rowOff>
    </xdr:to>
    <xdr:pic>
      <xdr:nvPicPr>
        <xdr:cNvPr id="3" name="Grafik 2"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4" name="Grafik 3" descr="Logo">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5" name="Grafik 4" descr="Logo">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6" name="Grafik 5" descr="Logo">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7" name="Grafik 6" descr="Logo">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5</xdr:col>
      <xdr:colOff>259489</xdr:colOff>
      <xdr:row>4</xdr:row>
      <xdr:rowOff>142787</xdr:rowOff>
    </xdr:to>
    <xdr:pic>
      <xdr:nvPicPr>
        <xdr:cNvPr id="8" name="Grafik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absoluteAnchor>
    <xdr:pos x="0" y="0"/>
    <xdr:ext cx="9293679" cy="6000750"/>
    <xdr:graphicFrame macro="">
      <xdr:nvGraphicFramePr>
        <xdr:cNvPr id="2" name="Diagramm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0.08969</cdr:x>
      <cdr:y>0.01203</cdr:y>
    </cdr:from>
    <cdr:to>
      <cdr:x>0.28584</cdr:x>
      <cdr:y>0.07354</cdr:y>
    </cdr:to>
    <cdr:pic>
      <cdr:nvPicPr>
        <cdr:cNvPr id="3" name="Grafik 2">
          <a:extLst xmlns:a="http://schemas.openxmlformats.org/drawingml/2006/main">
            <a:ext uri="{FF2B5EF4-FFF2-40B4-BE49-F238E27FC236}">
              <a16:creationId xmlns:a16="http://schemas.microsoft.com/office/drawing/2014/main" id="{CBFA796A-6802-465C-B725-9FFF99E8772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33218" y="72527"/>
          <a:ext cx="1822249" cy="370708"/>
        </a:xfrm>
        <a:prstGeom xmlns:a="http://schemas.openxmlformats.org/drawingml/2006/main" prst="rect">
          <a:avLst/>
        </a:prstGeom>
      </cdr:spPr>
    </cdr:pic>
  </cdr:relSizeAnchor>
  <cdr:relSizeAnchor xmlns:cdr="http://schemas.openxmlformats.org/drawingml/2006/chartDrawing">
    <cdr:from>
      <cdr:x>0.07006</cdr:x>
      <cdr:y>0.08605</cdr:y>
    </cdr:from>
    <cdr:to>
      <cdr:x>0.7701</cdr:x>
      <cdr:y>0.15804</cdr:y>
    </cdr:to>
    <cdr:sp macro="" textlink="'Waterfall data'!$F$2">
      <cdr:nvSpPr>
        <cdr:cNvPr id="2" name="Textfeld 1"/>
        <cdr:cNvSpPr txBox="1"/>
      </cdr:nvSpPr>
      <cdr:spPr>
        <a:xfrm xmlns:a="http://schemas.openxmlformats.org/drawingml/2006/main">
          <a:off x="651306" y="517275"/>
          <a:ext cx="6507852" cy="432756"/>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pPr algn="ctr"/>
          <a:fld id="{8C29EF48-FDAE-4BB8-AA2C-A0B3C2E6060E}" type="TxLink">
            <a:rPr lang="de-DE" sz="1400" b="1" i="0" u="none" strike="noStrike">
              <a:solidFill>
                <a:srgbClr val="000000"/>
              </a:solidFill>
              <a:latin typeface="Arial"/>
              <a:cs typeface="Arial"/>
            </a:rPr>
            <a:pPr algn="ctr"/>
            <a:t>ARGENTINA</a:t>
          </a:fld>
          <a:endParaRPr lang="de-DE" sz="1400" b="1"/>
        </a:p>
      </cdr:txBody>
    </cdr:sp>
  </cdr:relSizeAnchor>
</c:userShapes>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970552</xdr:colOff>
      <xdr:row>6</xdr:row>
      <xdr:rowOff>59055</xdr:rowOff>
    </xdr:to>
    <xdr:pic>
      <xdr:nvPicPr>
        <xdr:cNvPr id="3" name="Grafik 2">
          <a:extLst>
            <a:ext uri="{FF2B5EF4-FFF2-40B4-BE49-F238E27FC236}">
              <a16:creationId xmlns:a16="http://schemas.microsoft.com/office/drawing/2014/main" id="{46EE2CA5-F1B7-44F5-B81E-7FCDBB15993C}"/>
            </a:ext>
          </a:extLst>
        </xdr:cNvPr>
        <xdr:cNvPicPr>
          <a:picLocks noChangeAspect="1"/>
        </xdr:cNvPicPr>
      </xdr:nvPicPr>
      <xdr:blipFill>
        <a:blip xmlns:r="http://schemas.openxmlformats.org/officeDocument/2006/relationships" r:embed="rId1"/>
        <a:stretch>
          <a:fillRect/>
        </a:stretch>
      </xdr:blipFill>
      <xdr:spPr>
        <a:xfrm>
          <a:off x="0" y="0"/>
          <a:ext cx="5313952" cy="109537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absoluteAnchor>
    <xdr:pos x="0" y="0"/>
    <xdr:ext cx="8675077" cy="6301154"/>
    <xdr:graphicFrame macro="">
      <xdr:nvGraphicFramePr>
        <xdr:cNvPr id="2" name="Diagramm 1">
          <a:extLst>
            <a:ext uri="{FF2B5EF4-FFF2-40B4-BE49-F238E27FC236}">
              <a16:creationId xmlns:a16="http://schemas.microsoft.com/office/drawing/2014/main" id="{414B6803-8CFF-4A43-8886-81CA7F2455F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0.04527</cdr:x>
      <cdr:y>0.00113</cdr:y>
    </cdr:from>
    <cdr:to>
      <cdr:x>0.26688</cdr:x>
      <cdr:y>0.07192</cdr:y>
    </cdr:to>
    <cdr:pic>
      <cdr:nvPicPr>
        <cdr:cNvPr id="2" name="Grafik 1">
          <a:extLst xmlns:a="http://schemas.openxmlformats.org/drawingml/2006/main">
            <a:ext uri="{FF2B5EF4-FFF2-40B4-BE49-F238E27FC236}">
              <a16:creationId xmlns:a16="http://schemas.microsoft.com/office/drawing/2014/main" id="{00000000-0008-0000-0800-000004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91687" y="7073"/>
          <a:ext cx="1917590" cy="444451"/>
        </a:xfrm>
        <a:prstGeom xmlns:a="http://schemas.openxmlformats.org/drawingml/2006/main" prst="rect">
          <a:avLst/>
        </a:prstGeom>
      </cdr:spPr>
    </cdr:pic>
  </cdr:relSizeAnchor>
  <cdr:relSizeAnchor xmlns:cdr="http://schemas.openxmlformats.org/drawingml/2006/chartDrawing">
    <cdr:from>
      <cdr:x>0.8852</cdr:x>
      <cdr:y>0.00168</cdr:y>
    </cdr:from>
    <cdr:to>
      <cdr:x>1</cdr:x>
      <cdr:y>0.08667</cdr:y>
    </cdr:to>
    <cdr:pic>
      <cdr:nvPicPr>
        <cdr:cNvPr id="3" name="Imagen 2">
          <a:extLst xmlns:a="http://schemas.openxmlformats.org/drawingml/2006/main">
            <a:ext uri="{FF2B5EF4-FFF2-40B4-BE49-F238E27FC236}">
              <a16:creationId xmlns:a16="http://schemas.microsoft.com/office/drawing/2014/main" id="{CEB8AC27-AC3B-F70A-4E27-96D65E18BFA0}"/>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2"/>
        <a:srcRect xmlns:a="http://schemas.openxmlformats.org/drawingml/2006/main" t="46281"/>
        <a:stretch xmlns:a="http://schemas.openxmlformats.org/drawingml/2006/main"/>
      </cdr:blipFill>
      <cdr:spPr>
        <a:xfrm xmlns:a="http://schemas.openxmlformats.org/drawingml/2006/main">
          <a:off x="7659671" y="10553"/>
          <a:ext cx="993322" cy="533601"/>
        </a:xfrm>
        <a:prstGeom xmlns:a="http://schemas.openxmlformats.org/drawingml/2006/main" prst="rect">
          <a:avLst/>
        </a:prstGeom>
      </cdr:spPr>
    </cdr:pic>
  </cdr:relSizeAnchor>
</c:userShapes>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797197</xdr:colOff>
      <xdr:row>6</xdr:row>
      <xdr:rowOff>59055</xdr:rowOff>
    </xdr:to>
    <xdr:pic>
      <xdr:nvPicPr>
        <xdr:cNvPr id="2" name="Grafik 1">
          <a:extLst>
            <a:ext uri="{FF2B5EF4-FFF2-40B4-BE49-F238E27FC236}">
              <a16:creationId xmlns:a16="http://schemas.microsoft.com/office/drawing/2014/main" id="{4AD6C936-A264-4F2F-9CD4-6BE034151982}"/>
            </a:ext>
          </a:extLst>
        </xdr:cNvPr>
        <xdr:cNvPicPr>
          <a:picLocks noChangeAspect="1"/>
        </xdr:cNvPicPr>
      </xdr:nvPicPr>
      <xdr:blipFill>
        <a:blip xmlns:r="http://schemas.openxmlformats.org/officeDocument/2006/relationships" r:embed="rId1"/>
        <a:stretch>
          <a:fillRect/>
        </a:stretch>
      </xdr:blipFill>
      <xdr:spPr>
        <a:xfrm>
          <a:off x="0" y="0"/>
          <a:ext cx="5331097" cy="108775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absoluteAnchor>
    <xdr:pos x="0" y="0"/>
    <xdr:ext cx="8675077" cy="6301154"/>
    <xdr:graphicFrame macro="">
      <xdr:nvGraphicFramePr>
        <xdr:cNvPr id="2" name="Diagramm 1">
          <a:extLst>
            <a:ext uri="{FF2B5EF4-FFF2-40B4-BE49-F238E27FC236}">
              <a16:creationId xmlns:a16="http://schemas.microsoft.com/office/drawing/2014/main" id="{E20493D6-7FB3-4CB5-B72B-236324E4125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0.05555</cdr:x>
      <cdr:y>0.01848</cdr:y>
    </cdr:from>
    <cdr:to>
      <cdr:x>0.27716</cdr:x>
      <cdr:y>0.08927</cdr:y>
    </cdr:to>
    <cdr:pic>
      <cdr:nvPicPr>
        <cdr:cNvPr id="2" name="Grafik 1">
          <a:extLst xmlns:a="http://schemas.openxmlformats.org/drawingml/2006/main">
            <a:ext uri="{FF2B5EF4-FFF2-40B4-BE49-F238E27FC236}">
              <a16:creationId xmlns:a16="http://schemas.microsoft.com/office/drawing/2014/main" id="{546D70C1-A080-4844-A648-80D9894B0CD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45268" y="138619"/>
          <a:ext cx="2574028" cy="531075"/>
        </a:xfrm>
        <a:prstGeom xmlns:a="http://schemas.openxmlformats.org/drawingml/2006/main" prst="rect">
          <a:avLst/>
        </a:prstGeom>
      </cdr:spPr>
    </cdr:pic>
  </cdr:relSizeAnchor>
</c:userShapes>
</file>

<file path=xl/drawings/drawing39.xml><?xml version="1.0" encoding="utf-8"?>
<xdr:wsDr xmlns:xdr="http://schemas.openxmlformats.org/drawingml/2006/spreadsheetDrawing" xmlns:a="http://schemas.openxmlformats.org/drawingml/2006/main">
  <xdr:absoluteAnchor>
    <xdr:pos x="0" y="0"/>
    <xdr:ext cx="8667750" cy="6286500"/>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E6A946B6-4DA2-48C3-9394-DD6088FF929C}"/>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40.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ángulo 1">
          <a:extLst xmlns:a="http://schemas.openxmlformats.org/drawingml/2006/main">
            <a:ext uri="{FF2B5EF4-FFF2-40B4-BE49-F238E27FC236}">
              <a16:creationId xmlns:a16="http://schemas.microsoft.com/office/drawing/2014/main" id="{0D0BB939-3E4D-318A-57DC-8993711A262B}"/>
            </a:ext>
          </a:extLst>
        </cdr:cNvPr>
        <cdr:cNvSpPr>
          <a:spLocks xmlns:a="http://schemas.openxmlformats.org/drawingml/2006/main" noTextEdit="1"/>
        </cdr:cNvSpPr>
      </cdr:nvSpPr>
      <cdr:spPr>
        <a:xfrm xmlns:a="http://schemas.openxmlformats.org/drawingml/2006/main">
          <a:off x="0" y="0"/>
          <a:ext cx="8667750" cy="6286500"/>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s-CL" sz="1100"/>
            <a:t>Este gráfico no está disponible en tu versión de Excel.
Si editas esta forma o guardas el libro en un formato de archivo diferente, el gráfico no se podrá utilizar.</a:t>
          </a:r>
        </a:p>
      </cdr:txBody>
    </cdr:sp>
  </cdr:relSizeAnchor>
</c:userShapes>
</file>

<file path=xl/drawings/drawing41.xml><?xml version="1.0" encoding="utf-8"?>
<xdr:wsDr xmlns:xdr="http://schemas.openxmlformats.org/drawingml/2006/spreadsheetDrawing" xmlns:a="http://schemas.openxmlformats.org/drawingml/2006/main">
  <xdr:twoCellAnchor editAs="oneCell">
    <xdr:from>
      <xdr:col>1</xdr:col>
      <xdr:colOff>0</xdr:colOff>
      <xdr:row>55</xdr:row>
      <xdr:rowOff>53060</xdr:rowOff>
    </xdr:from>
    <xdr:to>
      <xdr:col>5</xdr:col>
      <xdr:colOff>22419</xdr:colOff>
      <xdr:row>64</xdr:row>
      <xdr:rowOff>137766</xdr:rowOff>
    </xdr:to>
    <xdr:pic>
      <xdr:nvPicPr>
        <xdr:cNvPr id="26" name="Image 3">
          <a:extLst>
            <a:ext uri="{FF2B5EF4-FFF2-40B4-BE49-F238E27FC236}">
              <a16:creationId xmlns:a16="http://schemas.microsoft.com/office/drawing/2014/main" id="{9D1E698A-7922-4A01-9A66-EE0FF073967D}"/>
            </a:ext>
          </a:extLst>
        </xdr:cNvPr>
        <xdr:cNvPicPr>
          <a:picLocks noChangeAspect="1"/>
        </xdr:cNvPicPr>
      </xdr:nvPicPr>
      <xdr:blipFill>
        <a:blip xmlns:r="http://schemas.openxmlformats.org/officeDocument/2006/relationships" r:embed="rId1"/>
        <a:stretch>
          <a:fillRect/>
        </a:stretch>
      </xdr:blipFill>
      <xdr:spPr>
        <a:xfrm>
          <a:off x="201083" y="15049643"/>
          <a:ext cx="3081003" cy="1703956"/>
        </a:xfrm>
        <a:prstGeom prst="rect">
          <a:avLst/>
        </a:prstGeom>
      </xdr:spPr>
    </xdr:pic>
    <xdr:clientData/>
  </xdr:twoCellAnchor>
  <xdr:twoCellAnchor editAs="oneCell">
    <xdr:from>
      <xdr:col>5</xdr:col>
      <xdr:colOff>347283</xdr:colOff>
      <xdr:row>65</xdr:row>
      <xdr:rowOff>50717</xdr:rowOff>
    </xdr:from>
    <xdr:to>
      <xdr:col>9</xdr:col>
      <xdr:colOff>130168</xdr:colOff>
      <xdr:row>74</xdr:row>
      <xdr:rowOff>53723</xdr:rowOff>
    </xdr:to>
    <xdr:pic>
      <xdr:nvPicPr>
        <xdr:cNvPr id="27" name="Image 5">
          <a:extLst>
            <a:ext uri="{FF2B5EF4-FFF2-40B4-BE49-F238E27FC236}">
              <a16:creationId xmlns:a16="http://schemas.microsoft.com/office/drawing/2014/main" id="{F20E7D40-7BCF-4B17-8D61-5F2D9742613D}"/>
            </a:ext>
          </a:extLst>
        </xdr:cNvPr>
        <xdr:cNvPicPr>
          <a:picLocks noChangeAspect="1"/>
        </xdr:cNvPicPr>
      </xdr:nvPicPr>
      <xdr:blipFill>
        <a:blip xmlns:r="http://schemas.openxmlformats.org/officeDocument/2006/relationships" r:embed="rId2"/>
        <a:stretch>
          <a:fillRect/>
        </a:stretch>
      </xdr:blipFill>
      <xdr:spPr>
        <a:xfrm>
          <a:off x="3606950" y="16846467"/>
          <a:ext cx="2735635" cy="1622256"/>
        </a:xfrm>
        <a:prstGeom prst="rect">
          <a:avLst/>
        </a:prstGeom>
      </xdr:spPr>
    </xdr:pic>
    <xdr:clientData/>
  </xdr:twoCellAnchor>
  <xdr:twoCellAnchor editAs="oneCell">
    <xdr:from>
      <xdr:col>1</xdr:col>
      <xdr:colOff>36058</xdr:colOff>
      <xdr:row>66</xdr:row>
      <xdr:rowOff>7551</xdr:rowOff>
    </xdr:from>
    <xdr:to>
      <xdr:col>4</xdr:col>
      <xdr:colOff>77219</xdr:colOff>
      <xdr:row>75</xdr:row>
      <xdr:rowOff>24205</xdr:rowOff>
    </xdr:to>
    <xdr:pic>
      <xdr:nvPicPr>
        <xdr:cNvPr id="28" name="Image 6">
          <a:extLst>
            <a:ext uri="{FF2B5EF4-FFF2-40B4-BE49-F238E27FC236}">
              <a16:creationId xmlns:a16="http://schemas.microsoft.com/office/drawing/2014/main" id="{83EE8779-0279-438F-86F0-51A0D1F317AE}"/>
            </a:ext>
          </a:extLst>
        </xdr:cNvPr>
        <xdr:cNvPicPr>
          <a:picLocks noChangeAspect="1"/>
        </xdr:cNvPicPr>
      </xdr:nvPicPr>
      <xdr:blipFill>
        <a:blip xmlns:r="http://schemas.openxmlformats.org/officeDocument/2006/relationships" r:embed="rId3"/>
        <a:stretch>
          <a:fillRect/>
        </a:stretch>
      </xdr:blipFill>
      <xdr:spPr>
        <a:xfrm>
          <a:off x="237141" y="16983218"/>
          <a:ext cx="2411828" cy="1635904"/>
        </a:xfrm>
        <a:prstGeom prst="rect">
          <a:avLst/>
        </a:prstGeom>
      </xdr:spPr>
    </xdr:pic>
    <xdr:clientData/>
  </xdr:twoCellAnchor>
  <xdr:twoCellAnchor editAs="oneCell">
    <xdr:from>
      <xdr:col>5</xdr:col>
      <xdr:colOff>120724</xdr:colOff>
      <xdr:row>55</xdr:row>
      <xdr:rowOff>44895</xdr:rowOff>
    </xdr:from>
    <xdr:to>
      <xdr:col>9</xdr:col>
      <xdr:colOff>122962</xdr:colOff>
      <xdr:row>64</xdr:row>
      <xdr:rowOff>93669</xdr:rowOff>
    </xdr:to>
    <xdr:pic>
      <xdr:nvPicPr>
        <xdr:cNvPr id="29" name="Image 9">
          <a:extLst>
            <a:ext uri="{FF2B5EF4-FFF2-40B4-BE49-F238E27FC236}">
              <a16:creationId xmlns:a16="http://schemas.microsoft.com/office/drawing/2014/main" id="{51827DE9-5BBB-4D73-A244-AD29979F2506}"/>
            </a:ext>
          </a:extLst>
        </xdr:cNvPr>
        <xdr:cNvPicPr>
          <a:picLocks noChangeAspect="1"/>
        </xdr:cNvPicPr>
      </xdr:nvPicPr>
      <xdr:blipFill>
        <a:blip xmlns:r="http://schemas.openxmlformats.org/officeDocument/2006/relationships" r:embed="rId4"/>
        <a:stretch>
          <a:fillRect/>
        </a:stretch>
      </xdr:blipFill>
      <xdr:spPr>
        <a:xfrm>
          <a:off x="3380391" y="15041478"/>
          <a:ext cx="2954988" cy="1668024"/>
        </a:xfrm>
        <a:prstGeom prst="rect">
          <a:avLst/>
        </a:prstGeom>
      </xdr:spPr>
    </xdr:pic>
    <xdr:clientData/>
  </xdr:twoCellAnchor>
  <xdr:twoCellAnchor editAs="oneCell">
    <xdr:from>
      <xdr:col>9</xdr:col>
      <xdr:colOff>185359</xdr:colOff>
      <xdr:row>55</xdr:row>
      <xdr:rowOff>0</xdr:rowOff>
    </xdr:from>
    <xdr:to>
      <xdr:col>11</xdr:col>
      <xdr:colOff>930426</xdr:colOff>
      <xdr:row>65</xdr:row>
      <xdr:rowOff>124866</xdr:rowOff>
    </xdr:to>
    <xdr:pic>
      <xdr:nvPicPr>
        <xdr:cNvPr id="30" name="Image 12">
          <a:extLst>
            <a:ext uri="{FF2B5EF4-FFF2-40B4-BE49-F238E27FC236}">
              <a16:creationId xmlns:a16="http://schemas.microsoft.com/office/drawing/2014/main" id="{798F62EC-1F9F-41AD-ABF9-D63D995C086E}"/>
            </a:ext>
          </a:extLst>
        </xdr:cNvPr>
        <xdr:cNvPicPr>
          <a:picLocks noChangeAspect="1"/>
        </xdr:cNvPicPr>
      </xdr:nvPicPr>
      <xdr:blipFill>
        <a:blip xmlns:r="http://schemas.openxmlformats.org/officeDocument/2006/relationships" r:embed="rId5"/>
        <a:stretch>
          <a:fillRect/>
        </a:stretch>
      </xdr:blipFill>
      <xdr:spPr>
        <a:xfrm>
          <a:off x="6397776" y="14996583"/>
          <a:ext cx="2819400" cy="1924033"/>
        </a:xfrm>
        <a:prstGeom prst="rect">
          <a:avLst/>
        </a:prstGeom>
      </xdr:spPr>
    </xdr:pic>
    <xdr:clientData/>
  </xdr:twoCellAnchor>
  <xdr:twoCellAnchor editAs="oneCell">
    <xdr:from>
      <xdr:col>1</xdr:col>
      <xdr:colOff>0</xdr:colOff>
      <xdr:row>78</xdr:row>
      <xdr:rowOff>0</xdr:rowOff>
    </xdr:from>
    <xdr:to>
      <xdr:col>9</xdr:col>
      <xdr:colOff>629453</xdr:colOff>
      <xdr:row>90</xdr:row>
      <xdr:rowOff>23584</xdr:rowOff>
    </xdr:to>
    <xdr:pic>
      <xdr:nvPicPr>
        <xdr:cNvPr id="31" name="Picture 3">
          <a:extLst>
            <a:ext uri="{FF2B5EF4-FFF2-40B4-BE49-F238E27FC236}">
              <a16:creationId xmlns:a16="http://schemas.microsoft.com/office/drawing/2014/main" id="{8F7C9F5E-6DE0-4D2F-AE6D-A58DC3000D8A}"/>
            </a:ext>
          </a:extLst>
        </xdr:cNvPr>
        <xdr:cNvPicPr>
          <a:picLocks noChangeAspect="1"/>
        </xdr:cNvPicPr>
      </xdr:nvPicPr>
      <xdr:blipFill>
        <a:blip xmlns:r="http://schemas.openxmlformats.org/officeDocument/2006/relationships" r:embed="rId6"/>
        <a:stretch>
          <a:fillRect/>
        </a:stretch>
      </xdr:blipFill>
      <xdr:spPr>
        <a:xfrm>
          <a:off x="201083" y="19251083"/>
          <a:ext cx="6640787" cy="218258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152400</xdr:colOff>
      <xdr:row>1</xdr:row>
      <xdr:rowOff>152400</xdr:rowOff>
    </xdr:to>
    <xdr:pic>
      <xdr:nvPicPr>
        <xdr:cNvPr id="2" name="Grafik 1" descr="Logo">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2</xdr:col>
      <xdr:colOff>152400</xdr:colOff>
      <xdr:row>1</xdr:row>
      <xdr:rowOff>152400</xdr:rowOff>
    </xdr:to>
    <xdr:pic>
      <xdr:nvPicPr>
        <xdr:cNvPr id="3" name="Grafik 2" descr="Logo">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4" name="Grafik 3" descr="Logo">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5" name="Grafik 4" descr="Logo">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6" name="Grafik 5" descr="Logo">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7" name="Grafik 6" descr="Logo">
          <a:extLst>
            <a:ext uri="{FF2B5EF4-FFF2-40B4-BE49-F238E27FC236}">
              <a16:creationId xmlns:a16="http://schemas.microsoft.com/office/drawing/2014/main" id="{00000000-0008-0000-0C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2</xdr:col>
      <xdr:colOff>1222572</xdr:colOff>
      <xdr:row>4</xdr:row>
      <xdr:rowOff>142787</xdr:rowOff>
    </xdr:to>
    <xdr:pic>
      <xdr:nvPicPr>
        <xdr:cNvPr id="8" name="Grafik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152400</xdr:colOff>
      <xdr:row>1</xdr:row>
      <xdr:rowOff>152400</xdr:rowOff>
    </xdr:to>
    <xdr:pic>
      <xdr:nvPicPr>
        <xdr:cNvPr id="2" name="Grafik 1" descr="Logo">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2</xdr:col>
      <xdr:colOff>152400</xdr:colOff>
      <xdr:row>1</xdr:row>
      <xdr:rowOff>152400</xdr:rowOff>
    </xdr:to>
    <xdr:pic>
      <xdr:nvPicPr>
        <xdr:cNvPr id="3" name="Grafik 2" descr="Logo">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4" name="Grafik 3" descr="Logo">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5" name="Grafik 4"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6" name="Grafik 5" descr="Logo">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1</xdr:col>
      <xdr:colOff>152400</xdr:colOff>
      <xdr:row>1</xdr:row>
      <xdr:rowOff>152400</xdr:rowOff>
    </xdr:to>
    <xdr:pic>
      <xdr:nvPicPr>
        <xdr:cNvPr id="7" name="Grafik 6" descr="Logo">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xdr:row>
      <xdr:rowOff>1</xdr:rowOff>
    </xdr:from>
    <xdr:to>
      <xdr:col>3</xdr:col>
      <xdr:colOff>1889322</xdr:colOff>
      <xdr:row>4</xdr:row>
      <xdr:rowOff>142787</xdr:rowOff>
    </xdr:to>
    <xdr:pic>
      <xdr:nvPicPr>
        <xdr:cNvPr id="8" name="Grafik 7">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2"/>
        <a:stretch>
          <a:fillRect/>
        </a:stretch>
      </xdr:blipFill>
      <xdr:spPr>
        <a:xfrm>
          <a:off x="200026" y="190501"/>
          <a:ext cx="3508571" cy="714286"/>
        </a:xfrm>
        <a:prstGeom prst="rect">
          <a:avLst/>
        </a:prstGeom>
      </xdr:spPr>
    </xdr:pic>
    <xdr:clientData/>
  </xdr:twoCellAnchor>
</xdr:wsDr>
</file>

<file path=xl/theme/theme1.xml><?xml version="1.0" encoding="utf-8"?>
<a:theme xmlns:a="http://schemas.openxmlformats.org/drawingml/2006/main" name="VDZ">
  <a:themeElements>
    <a:clrScheme name="VDZ_color">
      <a:dk1>
        <a:srgbClr val="000000"/>
      </a:dk1>
      <a:lt1>
        <a:sysClr val="window" lastClr="FFFFFF"/>
      </a:lt1>
      <a:dk2>
        <a:srgbClr val="6B9B1A"/>
      </a:dk2>
      <a:lt2>
        <a:srgbClr val="E6E6E6"/>
      </a:lt2>
      <a:accent1>
        <a:srgbClr val="00498E"/>
      </a:accent1>
      <a:accent2>
        <a:srgbClr val="009999"/>
      </a:accent2>
      <a:accent3>
        <a:srgbClr val="6E8CDC"/>
      </a:accent3>
      <a:accent4>
        <a:srgbClr val="FAA005"/>
      </a:accent4>
      <a:accent5>
        <a:srgbClr val="B4D2FF"/>
      </a:accent5>
      <a:accent6>
        <a:srgbClr val="FF1A00"/>
      </a:accent6>
      <a:hlink>
        <a:srgbClr val="00498E"/>
      </a:hlink>
      <a:folHlink>
        <a:srgbClr val="6E8CDC"/>
      </a:folHlink>
    </a:clrScheme>
    <a:fontScheme name="o_Schrift">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9050">
          <a:solidFill>
            <a:schemeClr val="accent1"/>
          </a:solidFill>
        </a:ln>
      </a:spPr>
      <a:bodyPr rtlCol="0" anchor="ctr"/>
      <a:lstStyle>
        <a:defPPr algn="ctr">
          <a:defRPr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chemeClr val="accent1"/>
          </a:solidFill>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bin"/><Relationship Id="rId1" Type="http://schemas.openxmlformats.org/officeDocument/2006/relationships/hyperlink" Target="mailto:maria.lefevre@afcp.org.ar"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6.bin"/><Relationship Id="rId1" Type="http://schemas.openxmlformats.org/officeDocument/2006/relationships/hyperlink" Target="https://www.cement-co2-protocol.org/en/"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3" Type="http://schemas.openxmlformats.org/officeDocument/2006/relationships/hyperlink" Target="https://interactives.prb.org/2020-wpds/" TargetMode="External"/><Relationship Id="rId2" Type="http://schemas.openxmlformats.org/officeDocument/2006/relationships/hyperlink" Target="https://population.un.org/wpp/" TargetMode="External"/><Relationship Id="rId1" Type="http://schemas.openxmlformats.org/officeDocument/2006/relationships/hyperlink" Target="https://doi.org/10.1038/s41467-020-17583-w" TargetMode="External"/><Relationship Id="rId5" Type="http://schemas.openxmlformats.org/officeDocument/2006/relationships/drawing" Target="../drawings/drawing41.xml"/><Relationship Id="rId4"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cement-co2-protocol.org/en/"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sciencedirect.com/science/article/pii/S0008884619301929" TargetMode="External"/><Relationship Id="rId1" Type="http://schemas.openxmlformats.org/officeDocument/2006/relationships/hyperlink" Target="https://doi.org/10.1016/j.cemconres.2019.105819"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A4019-1E99-4630-8F80-30194F4A1AED}">
  <dimension ref="B2:E12"/>
  <sheetViews>
    <sheetView workbookViewId="0">
      <selection activeCell="J20" sqref="J20"/>
    </sheetView>
  </sheetViews>
  <sheetFormatPr baseColWidth="10" defaultRowHeight="14.25"/>
  <sheetData>
    <row r="2" spans="2:5">
      <c r="C2" t="s">
        <v>1254</v>
      </c>
      <c r="D2" t="s">
        <v>1255</v>
      </c>
      <c r="E2" t="s">
        <v>588</v>
      </c>
    </row>
    <row r="4" spans="2:5">
      <c r="B4">
        <v>1990</v>
      </c>
      <c r="C4">
        <v>756</v>
      </c>
      <c r="D4">
        <v>709</v>
      </c>
      <c r="E4">
        <v>612</v>
      </c>
    </row>
    <row r="6" spans="2:5">
      <c r="B6">
        <v>2000</v>
      </c>
      <c r="C6">
        <v>711</v>
      </c>
      <c r="D6">
        <v>652</v>
      </c>
      <c r="E6">
        <v>601</v>
      </c>
    </row>
    <row r="8" spans="2:5">
      <c r="B8">
        <v>2010</v>
      </c>
      <c r="C8">
        <v>634</v>
      </c>
      <c r="D8">
        <v>603</v>
      </c>
      <c r="E8">
        <v>570</v>
      </c>
    </row>
    <row r="10" spans="2:5">
      <c r="B10">
        <v>2020</v>
      </c>
      <c r="C10">
        <v>624</v>
      </c>
      <c r="D10">
        <v>589</v>
      </c>
      <c r="E10">
        <v>507</v>
      </c>
    </row>
    <row r="11" spans="2:5">
      <c r="C11" t="s">
        <v>1256</v>
      </c>
      <c r="D11" t="s">
        <v>1257</v>
      </c>
    </row>
    <row r="12" spans="2:5">
      <c r="B12">
        <v>2030</v>
      </c>
      <c r="D12">
        <v>500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DCBD-99AA-4543-A1F4-33325E1B92AB}">
  <dimension ref="B1:V63"/>
  <sheetViews>
    <sheetView topLeftCell="A11" zoomScale="90" zoomScaleNormal="90" workbookViewId="0">
      <selection activeCell="K14" sqref="K14"/>
    </sheetView>
  </sheetViews>
  <sheetFormatPr baseColWidth="10" defaultColWidth="10" defaultRowHeight="14.25"/>
  <cols>
    <col min="1" max="1" width="10" style="1193"/>
    <col min="2" max="2" width="26.5" style="1193" customWidth="1"/>
    <col min="3" max="11" width="10" style="1193"/>
    <col min="12" max="12" width="40.625" style="1193" customWidth="1"/>
    <col min="13" max="13" width="10" style="1193"/>
    <col min="14" max="14" width="12.125" style="1193" bestFit="1" customWidth="1"/>
    <col min="15" max="16384" width="10" style="1193"/>
  </cols>
  <sheetData>
    <row r="1" spans="2:22" ht="15" customHeight="1"/>
    <row r="2" spans="2:22" ht="26.25">
      <c r="B2" s="1194" t="s">
        <v>1157</v>
      </c>
    </row>
    <row r="3" spans="2:22" ht="8.25" customHeight="1">
      <c r="B3" s="1195"/>
    </row>
    <row r="4" spans="2:22" ht="15" customHeight="1">
      <c r="B4" s="1476" t="s">
        <v>1155</v>
      </c>
      <c r="C4" s="1476"/>
      <c r="D4" s="1476"/>
      <c r="E4" s="1476"/>
      <c r="F4" s="1476"/>
      <c r="G4" s="1476"/>
      <c r="H4" s="1476"/>
      <c r="I4" s="1476"/>
      <c r="J4" s="1476"/>
      <c r="K4" s="1476"/>
      <c r="L4" s="1476"/>
      <c r="M4" s="1476"/>
      <c r="N4" s="1476"/>
      <c r="O4" s="1476"/>
      <c r="P4" s="1476"/>
      <c r="Q4" s="1476"/>
      <c r="R4" s="1476"/>
      <c r="S4" s="1476"/>
      <c r="T4" s="1476"/>
      <c r="U4" s="1476"/>
      <c r="V4" s="1476"/>
    </row>
    <row r="5" spans="2:22" ht="15" customHeight="1">
      <c r="B5" s="1476"/>
      <c r="C5" s="1476"/>
      <c r="D5" s="1476"/>
      <c r="E5" s="1476"/>
      <c r="F5" s="1476"/>
      <c r="G5" s="1476"/>
      <c r="H5" s="1476"/>
      <c r="I5" s="1476"/>
      <c r="J5" s="1476"/>
      <c r="K5" s="1476"/>
      <c r="L5" s="1476"/>
      <c r="M5" s="1476"/>
      <c r="N5" s="1476"/>
      <c r="O5" s="1476"/>
      <c r="P5" s="1476"/>
      <c r="Q5" s="1476"/>
      <c r="R5" s="1476"/>
      <c r="S5" s="1476"/>
      <c r="T5" s="1476"/>
      <c r="U5" s="1476"/>
      <c r="V5" s="1476"/>
    </row>
    <row r="6" spans="2:22" ht="15" customHeight="1">
      <c r="B6" s="1476"/>
      <c r="C6" s="1476"/>
      <c r="D6" s="1476"/>
      <c r="E6" s="1476"/>
      <c r="F6" s="1476"/>
      <c r="G6" s="1476"/>
      <c r="H6" s="1476"/>
      <c r="I6" s="1476"/>
      <c r="J6" s="1476"/>
      <c r="K6" s="1476"/>
      <c r="L6" s="1476"/>
      <c r="M6" s="1476"/>
      <c r="N6" s="1476"/>
      <c r="O6" s="1476"/>
      <c r="P6" s="1476"/>
      <c r="Q6" s="1476"/>
      <c r="R6" s="1476"/>
      <c r="S6" s="1476"/>
      <c r="T6" s="1476"/>
      <c r="U6" s="1476"/>
      <c r="V6" s="1476"/>
    </row>
    <row r="7" spans="2:22" ht="15" customHeight="1">
      <c r="B7" s="1196"/>
      <c r="C7" s="1196"/>
      <c r="D7" s="1196"/>
      <c r="E7" s="1196"/>
      <c r="F7" s="1196"/>
      <c r="G7" s="1196"/>
      <c r="H7" s="1196"/>
      <c r="I7" s="1196"/>
      <c r="J7" s="1196"/>
      <c r="K7" s="1196"/>
      <c r="L7" s="1196"/>
      <c r="M7" s="1196"/>
      <c r="N7" s="1196"/>
      <c r="O7" s="1196"/>
      <c r="P7" s="1196"/>
      <c r="Q7" s="1196"/>
      <c r="R7" s="1196"/>
      <c r="S7" s="1196"/>
      <c r="T7" s="1196"/>
      <c r="U7" s="1196"/>
      <c r="V7" s="1196"/>
    </row>
    <row r="8" spans="2:22" ht="15" customHeight="1">
      <c r="B8" s="1476" t="s">
        <v>1154</v>
      </c>
      <c r="C8" s="1476"/>
      <c r="D8" s="1476"/>
      <c r="E8" s="1476"/>
      <c r="F8" s="1476"/>
      <c r="G8" s="1476"/>
      <c r="H8" s="1476"/>
      <c r="I8" s="1476"/>
      <c r="J8" s="1476"/>
      <c r="K8" s="1476"/>
      <c r="L8" s="1476"/>
      <c r="M8" s="1476"/>
      <c r="N8" s="1476"/>
      <c r="O8" s="1476"/>
      <c r="P8" s="1476"/>
      <c r="Q8" s="1476"/>
      <c r="R8" s="1476"/>
      <c r="S8" s="1476"/>
      <c r="T8" s="1476"/>
      <c r="U8" s="1476"/>
      <c r="V8" s="1476"/>
    </row>
    <row r="9" spans="2:22" ht="15" customHeight="1">
      <c r="B9" s="1476"/>
      <c r="C9" s="1476"/>
      <c r="D9" s="1476"/>
      <c r="E9" s="1476"/>
      <c r="F9" s="1476"/>
      <c r="G9" s="1476"/>
      <c r="H9" s="1476"/>
      <c r="I9" s="1476"/>
      <c r="J9" s="1476"/>
      <c r="K9" s="1476"/>
      <c r="L9" s="1476"/>
      <c r="M9" s="1476"/>
      <c r="N9" s="1476"/>
      <c r="O9" s="1476"/>
      <c r="P9" s="1476"/>
      <c r="Q9" s="1476"/>
      <c r="R9" s="1476"/>
      <c r="S9" s="1476"/>
      <c r="T9" s="1476"/>
      <c r="U9" s="1476"/>
      <c r="V9" s="1476"/>
    </row>
    <row r="10" spans="2:22" ht="15" customHeight="1">
      <c r="B10" s="1476"/>
      <c r="C10" s="1476"/>
      <c r="D10" s="1476"/>
      <c r="E10" s="1476"/>
      <c r="F10" s="1476"/>
      <c r="G10" s="1476"/>
      <c r="H10" s="1476"/>
      <c r="I10" s="1476"/>
      <c r="J10" s="1476"/>
      <c r="K10" s="1476"/>
      <c r="L10" s="1476"/>
      <c r="M10" s="1476"/>
      <c r="N10" s="1476"/>
      <c r="O10" s="1476"/>
      <c r="P10" s="1476"/>
      <c r="Q10" s="1476"/>
      <c r="R10" s="1476"/>
      <c r="S10" s="1476"/>
      <c r="T10" s="1476"/>
      <c r="U10" s="1476"/>
      <c r="V10" s="1476"/>
    </row>
    <row r="11" spans="2:22" ht="15" customHeight="1">
      <c r="B11" s="1196"/>
      <c r="C11" s="1196"/>
      <c r="D11" s="1196"/>
      <c r="E11" s="1196"/>
      <c r="F11" s="1196"/>
      <c r="G11" s="1196"/>
      <c r="H11" s="1196"/>
      <c r="I11" s="1196"/>
      <c r="J11" s="1196"/>
      <c r="K11" s="1196"/>
      <c r="L11" s="1196"/>
      <c r="M11" s="1196"/>
      <c r="N11" s="1196"/>
      <c r="O11" s="1196"/>
      <c r="P11" s="1196"/>
      <c r="Q11" s="1196"/>
    </row>
    <row r="12" spans="2:22" ht="24" customHeight="1">
      <c r="B12" s="1197" t="s">
        <v>1109</v>
      </c>
      <c r="L12" s="1197" t="s">
        <v>1259</v>
      </c>
    </row>
    <row r="26" spans="12:12">
      <c r="L26" s="1198"/>
    </row>
    <row r="28" spans="12:12">
      <c r="L28" s="1198"/>
    </row>
    <row r="48" spans="2:16" s="1199" customFormat="1" ht="20.25">
      <c r="B48" s="1199" t="s">
        <v>1104</v>
      </c>
      <c r="C48" s="1199">
        <v>2020</v>
      </c>
      <c r="D48" s="1199">
        <v>2030</v>
      </c>
      <c r="E48" s="1199">
        <v>2040</v>
      </c>
      <c r="F48" s="1199">
        <v>2050</v>
      </c>
      <c r="L48" s="1199" t="s">
        <v>1156</v>
      </c>
      <c r="M48" s="1199">
        <v>2020</v>
      </c>
      <c r="N48" s="1199">
        <v>2030</v>
      </c>
      <c r="O48" s="1199">
        <v>2040</v>
      </c>
      <c r="P48" s="1199">
        <v>2050</v>
      </c>
    </row>
    <row r="49" spans="2:19" s="1199" customFormat="1" ht="20.25">
      <c r="B49" s="1200" t="s">
        <v>581</v>
      </c>
      <c r="C49" s="1199">
        <v>0</v>
      </c>
      <c r="D49" s="1201">
        <v>20</v>
      </c>
      <c r="E49" s="1201">
        <f>AVERAGE(D49,F49)</f>
        <v>45</v>
      </c>
      <c r="F49" s="1201">
        <v>70</v>
      </c>
      <c r="L49" s="1200" t="s">
        <v>581</v>
      </c>
      <c r="M49" s="1201">
        <v>126</v>
      </c>
      <c r="N49" s="1201">
        <v>151</v>
      </c>
      <c r="O49" s="1201">
        <f>AVERAGE(N49,P49)</f>
        <v>182.5</v>
      </c>
      <c r="P49" s="1201">
        <v>214</v>
      </c>
    </row>
    <row r="50" spans="2:19" s="1199" customFormat="1" ht="20.25">
      <c r="B50" s="1199" t="s">
        <v>1113</v>
      </c>
      <c r="C50" s="1199">
        <v>0</v>
      </c>
      <c r="D50" s="1202">
        <v>20</v>
      </c>
      <c r="E50" s="1202">
        <f>AVERAGE(D50,F50)</f>
        <v>50</v>
      </c>
      <c r="F50" s="1202">
        <v>80</v>
      </c>
      <c r="L50" s="1199" t="s">
        <v>1113</v>
      </c>
      <c r="M50" s="1203">
        <v>6.7</v>
      </c>
      <c r="N50" s="1204">
        <v>8.1</v>
      </c>
      <c r="O50" s="1204">
        <f>AVERAGE(N50,P50)</f>
        <v>10.149999999999999</v>
      </c>
      <c r="P50" s="1204">
        <v>12.2</v>
      </c>
    </row>
    <row r="51" spans="2:19" s="1199" customFormat="1" ht="20.25">
      <c r="B51" s="1199" t="s">
        <v>618</v>
      </c>
      <c r="C51" s="1199">
        <v>0</v>
      </c>
      <c r="D51" s="1202">
        <v>20</v>
      </c>
      <c r="E51" s="1202">
        <f t="shared" ref="E51:E54" si="0">AVERAGE(D51,F51)</f>
        <v>35</v>
      </c>
      <c r="F51" s="1202">
        <v>50</v>
      </c>
      <c r="L51" s="1199" t="s">
        <v>618</v>
      </c>
      <c r="M51" s="1203">
        <v>8.4</v>
      </c>
      <c r="N51" s="1204">
        <v>9.5</v>
      </c>
      <c r="O51" s="1204">
        <f t="shared" ref="O51:O52" si="1">AVERAGE(N51,P51)</f>
        <v>11.1</v>
      </c>
      <c r="P51" s="1204">
        <v>12.7</v>
      </c>
      <c r="S51" s="1199" t="s">
        <v>1260</v>
      </c>
    </row>
    <row r="52" spans="2:19" s="1199" customFormat="1" ht="20.25">
      <c r="B52" s="1199" t="s">
        <v>612</v>
      </c>
      <c r="C52" s="1199">
        <v>0</v>
      </c>
      <c r="D52" s="1202">
        <v>10</v>
      </c>
      <c r="E52" s="1202">
        <f t="shared" si="0"/>
        <v>25</v>
      </c>
      <c r="F52" s="1202">
        <v>40</v>
      </c>
      <c r="L52" s="1199" t="s">
        <v>612</v>
      </c>
      <c r="M52" s="1203">
        <v>3.8</v>
      </c>
      <c r="N52" s="1204">
        <v>4</v>
      </c>
      <c r="O52" s="1205">
        <f t="shared" si="1"/>
        <v>4.3499999999999996</v>
      </c>
      <c r="P52" s="1204">
        <v>4.7</v>
      </c>
      <c r="S52" s="1199" t="s">
        <v>1262</v>
      </c>
    </row>
    <row r="53" spans="2:19" s="1199" customFormat="1" ht="20.25">
      <c r="B53" s="1206" t="s">
        <v>1071</v>
      </c>
      <c r="C53" s="1394">
        <f>+M60</f>
        <v>0</v>
      </c>
      <c r="D53" s="1394">
        <f t="shared" ref="D53:F53" si="2">+N60</f>
        <v>18</v>
      </c>
      <c r="E53" s="1394">
        <f>+AVERAGE(D53,F53)</f>
        <v>36.5</v>
      </c>
      <c r="F53" s="1394">
        <f t="shared" si="2"/>
        <v>55</v>
      </c>
      <c r="L53" s="1206" t="s">
        <v>588</v>
      </c>
      <c r="M53" s="1208">
        <f>+M63</f>
        <v>6.8665000000000003</v>
      </c>
      <c r="N53" s="1208">
        <f t="shared" ref="N53:P53" si="3">+N63</f>
        <v>8.1024700000000003</v>
      </c>
      <c r="O53" s="1208">
        <f t="shared" si="3"/>
        <v>9.3130537499999981</v>
      </c>
      <c r="P53" s="1208">
        <f t="shared" si="3"/>
        <v>10.643075000000001</v>
      </c>
      <c r="S53" s="1199" t="s">
        <v>1261</v>
      </c>
    </row>
    <row r="54" spans="2:19" ht="20.25">
      <c r="B54" s="1209" t="s">
        <v>1163</v>
      </c>
      <c r="C54" s="1199">
        <v>0</v>
      </c>
      <c r="D54" s="1202">
        <v>14.545454545454541</v>
      </c>
      <c r="E54" s="1202">
        <f t="shared" si="0"/>
        <v>33.272727272727273</v>
      </c>
      <c r="F54" s="1202">
        <v>52</v>
      </c>
      <c r="L54" s="1209"/>
      <c r="M54" s="1199"/>
      <c r="N54" s="1202"/>
      <c r="O54" s="1202"/>
      <c r="P54" s="1202"/>
    </row>
    <row r="56" spans="2:19" ht="15.75">
      <c r="L56" s="1362" t="s">
        <v>1237</v>
      </c>
      <c r="M56" s="1352">
        <v>2020</v>
      </c>
      <c r="N56" s="1355">
        <v>2030</v>
      </c>
      <c r="O56" s="1358">
        <v>2040</v>
      </c>
      <c r="P56" s="1349">
        <v>2050</v>
      </c>
    </row>
    <row r="57" spans="2:19" ht="15.75">
      <c r="L57" s="1361" t="s">
        <v>1230</v>
      </c>
      <c r="M57" s="1370">
        <v>8.5</v>
      </c>
      <c r="N57" s="1375">
        <f>+M57*(1+N60/100)</f>
        <v>10.029999999999999</v>
      </c>
      <c r="O57" s="1379">
        <f>+AVERAGE(N57,P57)</f>
        <v>11.602499999999999</v>
      </c>
      <c r="P57" s="1364">
        <f>+M57*(1+P60/100)</f>
        <v>13.175000000000001</v>
      </c>
    </row>
    <row r="58" spans="2:19" ht="15.75">
      <c r="L58" s="1361" t="s">
        <v>1231</v>
      </c>
      <c r="M58" s="1371">
        <v>12.5</v>
      </c>
      <c r="N58" s="1376">
        <f>+M58*(1+N60/100)</f>
        <v>14.75</v>
      </c>
      <c r="O58" s="1380">
        <f t="shared" ref="O58:O60" si="4">+AVERAGE(N58,P58)</f>
        <v>17.0625</v>
      </c>
      <c r="P58" s="1363">
        <f>+M58*(1+P60/100)</f>
        <v>19.375</v>
      </c>
    </row>
    <row r="59" spans="2:19" ht="15.75">
      <c r="L59" s="1361" t="s">
        <v>1232</v>
      </c>
      <c r="M59" s="1372">
        <v>749</v>
      </c>
      <c r="N59" s="1376">
        <v>749</v>
      </c>
      <c r="O59" s="1380">
        <f t="shared" si="4"/>
        <v>749</v>
      </c>
      <c r="P59" s="1368">
        <v>749</v>
      </c>
    </row>
    <row r="60" spans="2:19" ht="15.75">
      <c r="L60" s="1361" t="s">
        <v>1233</v>
      </c>
      <c r="M60" s="1371">
        <v>0</v>
      </c>
      <c r="N60" s="1377">
        <v>18</v>
      </c>
      <c r="O60" s="1380">
        <f t="shared" si="4"/>
        <v>36.5</v>
      </c>
      <c r="P60" s="1368">
        <v>55</v>
      </c>
    </row>
    <row r="61" spans="2:19" ht="15.75">
      <c r="L61" s="1361" t="s">
        <v>1234</v>
      </c>
      <c r="M61" s="1373">
        <f>+M59*M57/1000</f>
        <v>6.3665000000000003</v>
      </c>
      <c r="N61" s="1376">
        <f t="shared" ref="N61:O62" si="5">+N59*N57/1000</f>
        <v>7.5124699999999995</v>
      </c>
      <c r="O61" s="1381">
        <f t="shared" si="5"/>
        <v>8.690272499999999</v>
      </c>
      <c r="P61" s="1363">
        <f>+P59*P57/1000</f>
        <v>9.868075000000001</v>
      </c>
    </row>
    <row r="62" spans="2:19" ht="15.75">
      <c r="L62" s="1361" t="s">
        <v>1235</v>
      </c>
      <c r="M62" s="1352">
        <v>0.5</v>
      </c>
      <c r="N62" s="1355">
        <v>0.3</v>
      </c>
      <c r="O62" s="1381">
        <f t="shared" si="5"/>
        <v>0.62278124999999995</v>
      </c>
      <c r="P62" s="1349">
        <v>0.6</v>
      </c>
    </row>
    <row r="63" spans="2:19" ht="20.25">
      <c r="L63" s="1369" t="s">
        <v>1236</v>
      </c>
      <c r="M63" s="1374">
        <f>+M62+M61</f>
        <v>6.8665000000000003</v>
      </c>
      <c r="N63" s="1378">
        <f>+M63*(1+N60/100)</f>
        <v>8.1024700000000003</v>
      </c>
      <c r="O63" s="1382">
        <f t="shared" ref="O63" si="6">+O62+O61</f>
        <v>9.3130537499999981</v>
      </c>
      <c r="P63" s="1367">
        <f>+M63*(1+P60/100)</f>
        <v>10.643075000000001</v>
      </c>
    </row>
  </sheetData>
  <mergeCells count="2">
    <mergeCell ref="B4:V6"/>
    <mergeCell ref="B8:V10"/>
  </mergeCells>
  <pageMargins left="0.7" right="0.7" top="0.75" bottom="0.75" header="0.3" footer="0.3"/>
  <ignoredErrors>
    <ignoredError sqref="E53"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0B12-A5B1-436D-A860-EA622879E1D8}">
  <dimension ref="C1:V44"/>
  <sheetViews>
    <sheetView zoomScale="50" zoomScaleNormal="50" workbookViewId="0">
      <selection activeCell="V27" sqref="V27"/>
    </sheetView>
  </sheetViews>
  <sheetFormatPr baseColWidth="10" defaultColWidth="10" defaultRowHeight="14.25"/>
  <cols>
    <col min="1" max="1" width="2" style="1193" customWidth="1"/>
    <col min="2" max="2" width="10" style="1193"/>
    <col min="3" max="3" width="18.5" style="1193" customWidth="1"/>
    <col min="4" max="16384" width="10" style="1193"/>
  </cols>
  <sheetData>
    <row r="1" spans="3:22" ht="6" customHeight="1"/>
    <row r="2" spans="3:22" ht="26.25">
      <c r="C2" s="1194" t="s">
        <v>1124</v>
      </c>
    </row>
    <row r="4" spans="3:22" ht="20.25" customHeight="1">
      <c r="C4" s="1476" t="s">
        <v>1158</v>
      </c>
      <c r="D4" s="1476"/>
      <c r="E4" s="1476"/>
      <c r="F4" s="1476"/>
      <c r="G4" s="1476"/>
      <c r="H4" s="1476"/>
      <c r="I4" s="1476"/>
      <c r="J4" s="1476"/>
      <c r="K4" s="1476"/>
      <c r="L4" s="1476"/>
      <c r="M4" s="1476"/>
      <c r="N4" s="1476"/>
      <c r="O4" s="1476"/>
      <c r="P4" s="1476"/>
      <c r="Q4" s="1476"/>
      <c r="R4" s="1476"/>
      <c r="S4" s="1476"/>
      <c r="T4" s="1476"/>
      <c r="U4" s="1476"/>
      <c r="V4" s="1476"/>
    </row>
    <row r="5" spans="3:22" ht="14.25" customHeight="1">
      <c r="C5" s="1476"/>
      <c r="D5" s="1476"/>
      <c r="E5" s="1476"/>
      <c r="F5" s="1476"/>
      <c r="G5" s="1476"/>
      <c r="H5" s="1476"/>
      <c r="I5" s="1476"/>
      <c r="J5" s="1476"/>
      <c r="K5" s="1476"/>
      <c r="L5" s="1476"/>
      <c r="M5" s="1476"/>
      <c r="N5" s="1476"/>
      <c r="O5" s="1476"/>
      <c r="P5" s="1476"/>
      <c r="Q5" s="1476"/>
      <c r="R5" s="1476"/>
      <c r="S5" s="1476"/>
      <c r="T5" s="1476"/>
      <c r="U5" s="1476"/>
      <c r="V5" s="1476"/>
    </row>
    <row r="6" spans="3:22" ht="14.25" customHeight="1">
      <c r="C6" s="1476"/>
      <c r="D6" s="1476"/>
      <c r="E6" s="1476"/>
      <c r="F6" s="1476"/>
      <c r="G6" s="1476"/>
      <c r="H6" s="1476"/>
      <c r="I6" s="1476"/>
      <c r="J6" s="1476"/>
      <c r="K6" s="1476"/>
      <c r="L6" s="1476"/>
      <c r="M6" s="1476"/>
      <c r="N6" s="1476"/>
      <c r="O6" s="1476"/>
      <c r="P6" s="1476"/>
      <c r="Q6" s="1476"/>
      <c r="R6" s="1476"/>
      <c r="S6" s="1476"/>
      <c r="T6" s="1476"/>
      <c r="U6" s="1476"/>
      <c r="V6" s="1476"/>
    </row>
    <row r="7" spans="3:22" ht="14.25" customHeight="1">
      <c r="C7" s="1476"/>
      <c r="D7" s="1476"/>
      <c r="E7" s="1476"/>
      <c r="F7" s="1476"/>
      <c r="G7" s="1476"/>
      <c r="H7" s="1476"/>
      <c r="I7" s="1476"/>
      <c r="J7" s="1476"/>
      <c r="K7" s="1476"/>
      <c r="L7" s="1476"/>
      <c r="M7" s="1476"/>
      <c r="N7" s="1476"/>
      <c r="O7" s="1476"/>
      <c r="P7" s="1476"/>
      <c r="Q7" s="1476"/>
      <c r="R7" s="1476"/>
      <c r="S7" s="1476"/>
      <c r="T7" s="1476"/>
      <c r="U7" s="1476"/>
      <c r="V7" s="1476"/>
    </row>
    <row r="9" spans="3:22" ht="14.25" customHeight="1">
      <c r="C9" s="1477" t="s">
        <v>1159</v>
      </c>
      <c r="D9" s="1477"/>
      <c r="E9" s="1477"/>
      <c r="F9" s="1477"/>
      <c r="G9" s="1477"/>
      <c r="H9" s="1477"/>
      <c r="I9" s="1477"/>
      <c r="J9" s="1477"/>
      <c r="K9" s="1477"/>
      <c r="L9" s="1477"/>
      <c r="M9" s="1477"/>
      <c r="N9" s="1477"/>
      <c r="O9" s="1477"/>
      <c r="P9" s="1477"/>
      <c r="Q9" s="1477"/>
      <c r="R9" s="1477"/>
      <c r="S9" s="1477"/>
      <c r="T9" s="1477"/>
      <c r="U9" s="1477"/>
      <c r="V9" s="1477"/>
    </row>
    <row r="10" spans="3:22" ht="14.25" customHeight="1">
      <c r="C10" s="1477"/>
      <c r="D10" s="1477"/>
      <c r="E10" s="1477"/>
      <c r="F10" s="1477"/>
      <c r="G10" s="1477"/>
      <c r="H10" s="1477"/>
      <c r="I10" s="1477"/>
      <c r="J10" s="1477"/>
      <c r="K10" s="1477"/>
      <c r="L10" s="1477"/>
      <c r="M10" s="1477"/>
      <c r="N10" s="1477"/>
      <c r="O10" s="1477"/>
      <c r="P10" s="1477"/>
      <c r="Q10" s="1477"/>
      <c r="R10" s="1477"/>
      <c r="S10" s="1477"/>
      <c r="T10" s="1477"/>
      <c r="U10" s="1477"/>
      <c r="V10" s="1477"/>
    </row>
    <row r="11" spans="3:22" ht="14.25" customHeight="1">
      <c r="C11" s="1477"/>
      <c r="D11" s="1477"/>
      <c r="E11" s="1477"/>
      <c r="F11" s="1477"/>
      <c r="G11" s="1477"/>
      <c r="H11" s="1477"/>
      <c r="I11" s="1477"/>
      <c r="J11" s="1477"/>
      <c r="K11" s="1477"/>
      <c r="L11" s="1477"/>
      <c r="M11" s="1477"/>
      <c r="N11" s="1477"/>
      <c r="O11" s="1477"/>
      <c r="P11" s="1477"/>
      <c r="Q11" s="1477"/>
      <c r="R11" s="1477"/>
      <c r="S11" s="1477"/>
      <c r="T11" s="1477"/>
      <c r="U11" s="1477"/>
      <c r="V11" s="1477"/>
    </row>
    <row r="12" spans="3:22" ht="14.25" customHeight="1">
      <c r="C12" s="1477"/>
      <c r="D12" s="1477"/>
      <c r="E12" s="1477"/>
      <c r="F12" s="1477"/>
      <c r="G12" s="1477"/>
      <c r="H12" s="1477"/>
      <c r="I12" s="1477"/>
      <c r="J12" s="1477"/>
      <c r="K12" s="1477"/>
      <c r="L12" s="1477"/>
      <c r="M12" s="1477"/>
      <c r="N12" s="1477"/>
      <c r="O12" s="1477"/>
      <c r="P12" s="1477"/>
      <c r="Q12" s="1477"/>
      <c r="R12" s="1477"/>
      <c r="S12" s="1477"/>
      <c r="T12" s="1477"/>
      <c r="U12" s="1477"/>
      <c r="V12" s="1477"/>
    </row>
    <row r="20" spans="7:7" ht="15">
      <c r="G20" s="1211"/>
    </row>
    <row r="21" spans="7:7" ht="15">
      <c r="G21" s="1211"/>
    </row>
    <row r="22" spans="7:7" ht="15">
      <c r="G22" s="1211"/>
    </row>
    <row r="23" spans="7:7" ht="15">
      <c r="G23" s="1211"/>
    </row>
    <row r="38" spans="3:7" s="1199" customFormat="1" ht="20.25"/>
    <row r="39" spans="3:7" s="1199" customFormat="1" ht="20.25">
      <c r="C39" s="1200"/>
      <c r="D39" s="1201"/>
      <c r="E39" s="1201"/>
      <c r="F39" s="1201"/>
      <c r="G39" s="1201"/>
    </row>
    <row r="40" spans="3:7" s="1199" customFormat="1" ht="20.25">
      <c r="D40" s="1202"/>
      <c r="E40" s="1202"/>
      <c r="F40" s="1202"/>
      <c r="G40" s="1202"/>
    </row>
    <row r="41" spans="3:7" s="1199" customFormat="1" ht="20.25">
      <c r="D41" s="1202"/>
      <c r="E41" s="1202"/>
      <c r="F41" s="1202"/>
      <c r="G41" s="1202"/>
    </row>
    <row r="42" spans="3:7" s="1199" customFormat="1" ht="20.25">
      <c r="D42" s="1202"/>
      <c r="E42" s="1202"/>
      <c r="F42" s="1202"/>
      <c r="G42" s="1202"/>
    </row>
    <row r="43" spans="3:7" s="1199" customFormat="1" ht="20.25">
      <c r="C43" s="1206"/>
      <c r="D43" s="1207"/>
      <c r="E43" s="1207"/>
      <c r="F43" s="1207"/>
      <c r="G43" s="1207"/>
    </row>
    <row r="44" spans="3:7" ht="20.25">
      <c r="C44" s="1209"/>
    </row>
  </sheetData>
  <mergeCells count="2">
    <mergeCell ref="C4:V7"/>
    <mergeCell ref="C9:V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ED021-4CA5-4ECD-843C-4C3B0556BEFC}">
  <dimension ref="B1:AJ64"/>
  <sheetViews>
    <sheetView topLeftCell="A13" zoomScale="85" zoomScaleNormal="85" workbookViewId="0">
      <selection activeCell="U44" sqref="U44"/>
    </sheetView>
  </sheetViews>
  <sheetFormatPr baseColWidth="10" defaultColWidth="10" defaultRowHeight="14.25"/>
  <cols>
    <col min="1" max="1" width="10" style="1193"/>
    <col min="2" max="2" width="25.125" style="1193" customWidth="1"/>
    <col min="3" max="11" width="10" style="1193"/>
    <col min="12" max="12" width="29" style="1193" customWidth="1"/>
    <col min="13" max="20" width="10" style="1193"/>
    <col min="21" max="21" width="18.625" style="1193" customWidth="1"/>
    <col min="22" max="31" width="10" style="1193"/>
    <col min="32" max="32" width="17.75" style="1193" customWidth="1"/>
    <col min="33" max="16384" width="10" style="1193"/>
  </cols>
  <sheetData>
    <row r="1" spans="2:32" ht="6" customHeight="1"/>
    <row r="2" spans="2:32" ht="27" customHeight="1">
      <c r="B2" s="1194" t="s">
        <v>1138</v>
      </c>
      <c r="C2" s="1212"/>
      <c r="D2" s="1212"/>
      <c r="E2" s="1212"/>
      <c r="F2" s="1212"/>
      <c r="G2" s="1212"/>
      <c r="H2" s="1212"/>
      <c r="I2" s="1212"/>
      <c r="J2" s="1212"/>
      <c r="K2" s="1212"/>
      <c r="L2" s="1212"/>
      <c r="M2" s="1212"/>
      <c r="N2" s="1212"/>
      <c r="O2" s="1212"/>
      <c r="P2" s="1212"/>
      <c r="Q2" s="1212"/>
      <c r="R2" s="1213"/>
      <c r="S2" s="1213"/>
      <c r="T2" s="1213"/>
    </row>
    <row r="3" spans="2:32" ht="27" customHeight="1">
      <c r="B3" s="1194"/>
      <c r="C3" s="1212"/>
      <c r="D3" s="1212"/>
      <c r="E3" s="1212"/>
      <c r="F3" s="1212"/>
      <c r="G3" s="1212"/>
      <c r="H3" s="1212"/>
      <c r="I3" s="1212"/>
      <c r="J3" s="1212"/>
      <c r="K3" s="1212"/>
      <c r="L3" s="1212"/>
      <c r="M3" s="1212"/>
      <c r="N3" s="1212"/>
      <c r="O3" s="1212"/>
      <c r="P3" s="1212"/>
      <c r="Q3" s="1212"/>
      <c r="R3" s="1213"/>
      <c r="S3" s="1213"/>
      <c r="T3" s="1213"/>
    </row>
    <row r="4" spans="2:32" ht="18" customHeight="1">
      <c r="B4" s="1478" t="s">
        <v>1139</v>
      </c>
      <c r="C4" s="1478"/>
      <c r="D4" s="1478"/>
      <c r="E4" s="1478"/>
      <c r="F4" s="1478"/>
      <c r="G4" s="1478"/>
      <c r="H4" s="1478"/>
      <c r="I4" s="1478"/>
      <c r="J4" s="1478"/>
      <c r="K4" s="1478"/>
      <c r="L4" s="1478"/>
      <c r="M4" s="1478"/>
      <c r="N4" s="1478"/>
      <c r="O4" s="1478"/>
      <c r="P4" s="1478"/>
      <c r="Q4" s="1478"/>
      <c r="R4" s="1478"/>
      <c r="S4" s="1478"/>
      <c r="T4" s="1478"/>
      <c r="U4" s="1478"/>
      <c r="V4" s="1478"/>
    </row>
    <row r="5" spans="2:32" ht="25.5" customHeight="1">
      <c r="B5" s="1478"/>
      <c r="C5" s="1478"/>
      <c r="D5" s="1478"/>
      <c r="E5" s="1478"/>
      <c r="F5" s="1478"/>
      <c r="G5" s="1478"/>
      <c r="H5" s="1478"/>
      <c r="I5" s="1478"/>
      <c r="J5" s="1478"/>
      <c r="K5" s="1478"/>
      <c r="L5" s="1478"/>
      <c r="M5" s="1478"/>
      <c r="N5" s="1478"/>
      <c r="O5" s="1478"/>
      <c r="P5" s="1478"/>
      <c r="Q5" s="1478"/>
      <c r="R5" s="1478"/>
      <c r="S5" s="1478"/>
      <c r="T5" s="1478"/>
      <c r="U5" s="1478"/>
      <c r="V5" s="1478"/>
    </row>
    <row r="6" spans="2:32" ht="16.5" customHeight="1">
      <c r="B6" s="1209"/>
      <c r="C6" s="1209"/>
      <c r="D6" s="1209"/>
      <c r="E6" s="1209"/>
      <c r="F6" s="1209"/>
      <c r="G6" s="1209"/>
      <c r="H6" s="1209"/>
      <c r="I6" s="1209"/>
      <c r="J6" s="1209"/>
      <c r="K6" s="1209"/>
      <c r="L6" s="1209"/>
      <c r="M6" s="1209"/>
      <c r="N6" s="1209"/>
      <c r="O6" s="1209"/>
      <c r="P6" s="1209"/>
      <c r="Q6" s="1209"/>
      <c r="R6" s="1209"/>
      <c r="S6" s="1209"/>
      <c r="T6" s="1209"/>
    </row>
    <row r="7" spans="2:32" ht="16.5" customHeight="1">
      <c r="B7" s="1479" t="s">
        <v>1160</v>
      </c>
      <c r="C7" s="1479"/>
      <c r="D7" s="1479"/>
      <c r="E7" s="1479"/>
      <c r="F7" s="1479"/>
      <c r="G7" s="1479"/>
      <c r="H7" s="1479"/>
      <c r="I7" s="1479"/>
      <c r="J7" s="1479"/>
      <c r="K7" s="1479"/>
      <c r="L7" s="1479"/>
      <c r="M7" s="1479"/>
      <c r="N7" s="1479"/>
      <c r="O7" s="1479"/>
      <c r="P7" s="1479"/>
      <c r="Q7" s="1479"/>
      <c r="R7" s="1479"/>
      <c r="S7" s="1479"/>
      <c r="T7" s="1479"/>
      <c r="U7" s="1479"/>
      <c r="V7" s="1479"/>
    </row>
    <row r="8" spans="2:32" ht="24" customHeight="1">
      <c r="B8" s="1479"/>
      <c r="C8" s="1479"/>
      <c r="D8" s="1479"/>
      <c r="E8" s="1479"/>
      <c r="F8" s="1479"/>
      <c r="G8" s="1479"/>
      <c r="H8" s="1479"/>
      <c r="I8" s="1479"/>
      <c r="J8" s="1479"/>
      <c r="K8" s="1479"/>
      <c r="L8" s="1479"/>
      <c r="M8" s="1479"/>
      <c r="N8" s="1479"/>
      <c r="O8" s="1479"/>
      <c r="P8" s="1479"/>
      <c r="Q8" s="1479"/>
      <c r="R8" s="1479"/>
      <c r="S8" s="1479"/>
      <c r="T8" s="1479"/>
      <c r="U8" s="1479"/>
      <c r="V8" s="1479"/>
    </row>
    <row r="9" spans="2:32" ht="21" customHeight="1">
      <c r="B9" s="1479"/>
      <c r="C9" s="1479"/>
      <c r="D9" s="1479"/>
      <c r="E9" s="1479"/>
      <c r="F9" s="1479"/>
      <c r="G9" s="1479"/>
      <c r="H9" s="1479"/>
      <c r="I9" s="1479"/>
      <c r="J9" s="1479"/>
      <c r="K9" s="1479"/>
      <c r="L9" s="1479"/>
      <c r="M9" s="1479"/>
      <c r="N9" s="1479"/>
      <c r="O9" s="1479"/>
      <c r="P9" s="1479"/>
      <c r="Q9" s="1479"/>
      <c r="R9" s="1479"/>
      <c r="S9" s="1479"/>
      <c r="T9" s="1479"/>
      <c r="U9" s="1479"/>
      <c r="V9" s="1479"/>
    </row>
    <row r="10" spans="2:32" ht="21" customHeight="1">
      <c r="B10" s="1214"/>
      <c r="C10" s="1214"/>
      <c r="D10" s="1214"/>
      <c r="E10" s="1214"/>
      <c r="F10" s="1214"/>
      <c r="G10" s="1214"/>
      <c r="H10" s="1214"/>
      <c r="I10" s="1214"/>
      <c r="J10" s="1214"/>
      <c r="K10" s="1214"/>
      <c r="L10" s="1214"/>
      <c r="M10" s="1214"/>
      <c r="N10" s="1214"/>
      <c r="O10" s="1214"/>
      <c r="P10" s="1214"/>
      <c r="Q10" s="1214"/>
      <c r="R10" s="1214"/>
      <c r="S10" s="1214"/>
      <c r="T10" s="1214"/>
      <c r="U10" s="1214"/>
      <c r="V10" s="1214"/>
    </row>
    <row r="11" spans="2:32" ht="26.25">
      <c r="B11" s="1197" t="s">
        <v>1107</v>
      </c>
      <c r="K11" s="1197" t="s">
        <v>1263</v>
      </c>
      <c r="U11" s="1197" t="s">
        <v>1307</v>
      </c>
      <c r="AF11" s="1197" t="s">
        <v>1161</v>
      </c>
    </row>
    <row r="47" spans="2:36" s="1199" customFormat="1" ht="20.25">
      <c r="B47" s="1199" t="s">
        <v>1111</v>
      </c>
      <c r="C47" s="1199">
        <v>2020</v>
      </c>
      <c r="D47" s="1199">
        <v>2030</v>
      </c>
      <c r="E47" s="1199">
        <v>2040</v>
      </c>
      <c r="F47" s="1199">
        <v>2050</v>
      </c>
      <c r="L47" s="1199" t="s">
        <v>1210</v>
      </c>
      <c r="M47" s="1199">
        <v>2020</v>
      </c>
      <c r="N47" s="1199">
        <v>2030</v>
      </c>
      <c r="O47" s="1199">
        <v>2040</v>
      </c>
      <c r="P47" s="1199">
        <v>2050</v>
      </c>
      <c r="U47" s="1199" t="s">
        <v>1285</v>
      </c>
      <c r="V47" s="1199">
        <v>2020</v>
      </c>
      <c r="W47" s="1199">
        <v>2030</v>
      </c>
      <c r="X47" s="1199">
        <v>2040</v>
      </c>
      <c r="Y47" s="1199">
        <v>2050</v>
      </c>
      <c r="AF47" s="1429" t="s">
        <v>1286</v>
      </c>
      <c r="AG47" s="1199">
        <v>2020</v>
      </c>
      <c r="AH47" s="1199">
        <v>2030</v>
      </c>
      <c r="AI47" s="1199">
        <v>2040</v>
      </c>
      <c r="AJ47" s="1199">
        <v>2050</v>
      </c>
    </row>
    <row r="48" spans="2:36" s="1199" customFormat="1" ht="20.25">
      <c r="B48" s="1200" t="s">
        <v>581</v>
      </c>
      <c r="C48" s="1201">
        <v>64</v>
      </c>
      <c r="D48" s="1201">
        <v>59</v>
      </c>
      <c r="E48" s="1201">
        <f>AVERAGE(D48,F48)</f>
        <v>49.5</v>
      </c>
      <c r="F48" s="1201">
        <v>40</v>
      </c>
      <c r="L48" s="1200" t="s">
        <v>581</v>
      </c>
      <c r="M48" s="1201">
        <v>28</v>
      </c>
      <c r="N48" s="1201">
        <v>33</v>
      </c>
      <c r="O48" s="1201">
        <f>AVERAGE(N48,P48)</f>
        <v>39</v>
      </c>
      <c r="P48" s="1201">
        <v>45</v>
      </c>
      <c r="U48" s="1200" t="s">
        <v>581</v>
      </c>
      <c r="V48" s="1201">
        <v>5</v>
      </c>
      <c r="W48" s="1201">
        <v>5</v>
      </c>
      <c r="X48" s="1201">
        <f>AVERAGE(W48,Y48)</f>
        <v>5</v>
      </c>
      <c r="Y48" s="1201">
        <v>5</v>
      </c>
      <c r="AF48" s="1200" t="s">
        <v>581</v>
      </c>
      <c r="AG48" s="1201">
        <v>3</v>
      </c>
      <c r="AH48" s="1201">
        <v>3</v>
      </c>
      <c r="AI48" s="1201">
        <f>AVERAGE(AH48,AJ48)</f>
        <v>6.5</v>
      </c>
      <c r="AJ48" s="1201">
        <v>10</v>
      </c>
    </row>
    <row r="49" spans="2:36" s="1199" customFormat="1" ht="20.25">
      <c r="B49" s="1199" t="s">
        <v>1113</v>
      </c>
      <c r="C49" s="1202">
        <v>78.099999999999994</v>
      </c>
      <c r="D49" s="1202">
        <v>75</v>
      </c>
      <c r="E49" s="1202">
        <f>+AVERAGE(D49,F49)</f>
        <v>72.5</v>
      </c>
      <c r="F49" s="1202">
        <v>70</v>
      </c>
      <c r="L49" s="1199" t="s">
        <v>1113</v>
      </c>
      <c r="M49" s="1202">
        <v>17</v>
      </c>
      <c r="N49" s="1202">
        <v>24</v>
      </c>
      <c r="O49" s="1202">
        <f>+AVERAGE(N49,P49)</f>
        <v>29</v>
      </c>
      <c r="P49" s="1202">
        <v>34</v>
      </c>
      <c r="U49" s="1199" t="s">
        <v>1113</v>
      </c>
      <c r="V49" s="1202">
        <v>3</v>
      </c>
      <c r="W49" s="1202">
        <v>6</v>
      </c>
      <c r="X49" s="1202">
        <f>+AVERAGE(W49,Y49)</f>
        <v>6.5</v>
      </c>
      <c r="Y49" s="1202">
        <v>7</v>
      </c>
      <c r="AF49" s="1199" t="s">
        <v>1113</v>
      </c>
      <c r="AG49" s="1202">
        <v>1</v>
      </c>
      <c r="AH49" s="1202">
        <v>2</v>
      </c>
      <c r="AI49" s="1202">
        <f>+AVERAGE(AH49,AJ49)</f>
        <v>3</v>
      </c>
      <c r="AJ49" s="1202">
        <v>4</v>
      </c>
    </row>
    <row r="50" spans="2:36" s="1199" customFormat="1" ht="20.25">
      <c r="B50" s="1199" t="s">
        <v>618</v>
      </c>
      <c r="C50" s="1202">
        <v>69</v>
      </c>
      <c r="D50" s="1202">
        <v>64</v>
      </c>
      <c r="E50" s="1202">
        <f t="shared" ref="E50:E52" si="0">AVERAGE(D50,F50)</f>
        <v>57</v>
      </c>
      <c r="F50" s="1202">
        <v>50</v>
      </c>
      <c r="L50" s="1199" t="s">
        <v>618</v>
      </c>
      <c r="M50" s="1202">
        <v>23</v>
      </c>
      <c r="N50" s="1202">
        <v>26</v>
      </c>
      <c r="O50" s="1202">
        <f t="shared" ref="O50:O52" si="1">AVERAGE(N50,P50)</f>
        <v>30.5</v>
      </c>
      <c r="P50" s="1202">
        <v>35</v>
      </c>
      <c r="U50" s="1199" t="s">
        <v>618</v>
      </c>
      <c r="V50" s="1202">
        <v>6</v>
      </c>
      <c r="W50" s="1202">
        <v>5</v>
      </c>
      <c r="X50" s="1202">
        <f t="shared" ref="X50:X52" si="2">AVERAGE(W50,Y50)</f>
        <v>7.5</v>
      </c>
      <c r="Y50" s="1202">
        <v>10</v>
      </c>
      <c r="AF50" s="1199" t="s">
        <v>618</v>
      </c>
      <c r="AG50" s="1202">
        <v>3</v>
      </c>
      <c r="AH50" s="1202">
        <v>5</v>
      </c>
      <c r="AI50" s="1202">
        <f t="shared" ref="AI50:AI52" si="3">AVERAGE(AH50,AJ50)</f>
        <v>5</v>
      </c>
      <c r="AJ50" s="1202">
        <v>5</v>
      </c>
    </row>
    <row r="51" spans="2:36" s="1199" customFormat="1" ht="20.25">
      <c r="B51" s="1199" t="s">
        <v>612</v>
      </c>
      <c r="C51" s="1202">
        <v>30</v>
      </c>
      <c r="D51" s="1202">
        <v>25</v>
      </c>
      <c r="E51" s="1202">
        <f t="shared" si="0"/>
        <v>17.5</v>
      </c>
      <c r="F51" s="1202">
        <v>10</v>
      </c>
      <c r="L51" s="1199" t="s">
        <v>612</v>
      </c>
      <c r="M51" s="1202">
        <v>55</v>
      </c>
      <c r="N51" s="1202">
        <v>60</v>
      </c>
      <c r="O51" s="1202">
        <f t="shared" si="1"/>
        <v>65</v>
      </c>
      <c r="P51" s="1202">
        <v>70</v>
      </c>
      <c r="U51" s="1199" t="s">
        <v>612</v>
      </c>
      <c r="V51" s="1202">
        <v>10</v>
      </c>
      <c r="W51" s="1202">
        <v>5</v>
      </c>
      <c r="X51" s="1202">
        <f t="shared" si="2"/>
        <v>7.5</v>
      </c>
      <c r="Y51" s="1202">
        <v>10</v>
      </c>
      <c r="AF51" s="1199" t="s">
        <v>612</v>
      </c>
      <c r="AG51" s="1202">
        <v>5</v>
      </c>
      <c r="AH51" s="1202">
        <v>10</v>
      </c>
      <c r="AI51" s="1202">
        <f t="shared" si="3"/>
        <v>12.5</v>
      </c>
      <c r="AJ51" s="1202">
        <v>15</v>
      </c>
    </row>
    <row r="52" spans="2:36" s="1199" customFormat="1" ht="20.25">
      <c r="B52" s="1206" t="s">
        <v>1071</v>
      </c>
      <c r="C52" s="1207">
        <v>53</v>
      </c>
      <c r="D52" s="1207">
        <v>47</v>
      </c>
      <c r="E52" s="1207">
        <f t="shared" si="0"/>
        <v>45</v>
      </c>
      <c r="F52" s="1207">
        <v>43</v>
      </c>
      <c r="L52" s="1206" t="s">
        <v>1071</v>
      </c>
      <c r="M52" s="1207">
        <v>35</v>
      </c>
      <c r="N52" s="1207">
        <v>39</v>
      </c>
      <c r="O52" s="1207">
        <f t="shared" si="1"/>
        <v>40.5</v>
      </c>
      <c r="P52" s="1207">
        <v>42</v>
      </c>
      <c r="U52" s="1206" t="s">
        <v>1071</v>
      </c>
      <c r="V52" s="1207">
        <v>7</v>
      </c>
      <c r="W52" s="1207">
        <v>7</v>
      </c>
      <c r="X52" s="1207">
        <f t="shared" si="2"/>
        <v>7</v>
      </c>
      <c r="Y52" s="1207">
        <v>7</v>
      </c>
      <c r="AF52" s="1206" t="s">
        <v>1071</v>
      </c>
      <c r="AG52" s="1207">
        <v>5</v>
      </c>
      <c r="AH52" s="1207">
        <v>7</v>
      </c>
      <c r="AI52" s="1207">
        <f t="shared" si="3"/>
        <v>7</v>
      </c>
      <c r="AJ52" s="1207">
        <v>7</v>
      </c>
    </row>
    <row r="53" spans="2:36" ht="21" thickBot="1">
      <c r="B53" s="1206"/>
      <c r="C53" s="1207"/>
      <c r="D53" s="1207"/>
      <c r="E53" s="1207"/>
      <c r="F53" s="1207"/>
    </row>
    <row r="54" spans="2:36" ht="23.25" thickBot="1">
      <c r="B54" s="1442"/>
      <c r="C54" s="1450">
        <v>2020</v>
      </c>
      <c r="D54" s="1450">
        <v>2030</v>
      </c>
      <c r="E54" s="1450">
        <v>2040</v>
      </c>
      <c r="F54" s="1450">
        <v>2050</v>
      </c>
    </row>
    <row r="55" spans="2:36" ht="25.5">
      <c r="B55" s="1451" t="s">
        <v>914</v>
      </c>
      <c r="C55" s="1452">
        <v>53.3</v>
      </c>
      <c r="D55" s="1451">
        <v>47</v>
      </c>
      <c r="E55" s="1451">
        <v>45</v>
      </c>
      <c r="F55" s="1451">
        <v>43</v>
      </c>
    </row>
    <row r="56" spans="2:36" ht="23.25" thickBot="1">
      <c r="B56" s="1445" t="s">
        <v>1209</v>
      </c>
      <c r="C56" s="1446">
        <v>58</v>
      </c>
      <c r="D56" s="1446">
        <v>55</v>
      </c>
      <c r="E56" s="1447">
        <f>+AVERAGE(D56,F56)</f>
        <v>53.5</v>
      </c>
      <c r="F56" s="1446">
        <v>52</v>
      </c>
      <c r="L56" s="1361" t="s">
        <v>1238</v>
      </c>
      <c r="M56" s="1352">
        <v>2020</v>
      </c>
      <c r="N56" s="1355">
        <v>2030</v>
      </c>
      <c r="O56" s="1358">
        <v>2040</v>
      </c>
      <c r="P56" s="1349">
        <v>2050</v>
      </c>
      <c r="U56" s="1193" t="s">
        <v>1327</v>
      </c>
      <c r="V56" s="1193">
        <v>2020</v>
      </c>
      <c r="W56" s="1193">
        <v>2030</v>
      </c>
      <c r="X56" s="1193">
        <v>2040</v>
      </c>
      <c r="Y56" s="1193">
        <v>2050</v>
      </c>
    </row>
    <row r="57" spans="2:36" ht="25.5">
      <c r="B57" s="1453" t="s">
        <v>6</v>
      </c>
      <c r="C57" s="1453">
        <v>35</v>
      </c>
      <c r="D57" s="1453">
        <v>39</v>
      </c>
      <c r="E57" s="1453">
        <v>41</v>
      </c>
      <c r="F57" s="1453">
        <v>42</v>
      </c>
      <c r="L57" s="1362" t="s">
        <v>1258</v>
      </c>
      <c r="M57" s="1384">
        <v>48.4</v>
      </c>
      <c r="N57" s="1385">
        <v>57.1</v>
      </c>
      <c r="O57" s="1386">
        <f>+AVERAGE(N57,P57)</f>
        <v>66.05</v>
      </c>
      <c r="P57" s="1365">
        <v>75</v>
      </c>
      <c r="U57" s="1193" t="s">
        <v>1210</v>
      </c>
      <c r="V57" s="1193">
        <v>35</v>
      </c>
      <c r="W57" s="1193">
        <v>39</v>
      </c>
      <c r="X57" s="1193">
        <v>41</v>
      </c>
      <c r="Y57" s="1193">
        <v>42</v>
      </c>
    </row>
    <row r="58" spans="2:36" ht="23.25" thickBot="1">
      <c r="B58" s="1443" t="s">
        <v>1209</v>
      </c>
      <c r="C58" s="1444">
        <v>78</v>
      </c>
      <c r="D58" s="1444">
        <v>75</v>
      </c>
      <c r="E58" s="1444">
        <f>+AVERAGE(D58,F58)</f>
        <v>72</v>
      </c>
      <c r="F58" s="1444">
        <v>69</v>
      </c>
      <c r="L58" s="1383" t="s">
        <v>1239</v>
      </c>
      <c r="M58" s="1354">
        <v>0.35</v>
      </c>
      <c r="N58" s="1357">
        <v>0.39</v>
      </c>
      <c r="O58" s="1360">
        <f>+AVERAGE(N58,P58)</f>
        <v>0.44500000000000001</v>
      </c>
      <c r="P58" s="1350">
        <v>0.5</v>
      </c>
      <c r="U58" s="1440" t="s">
        <v>1326</v>
      </c>
    </row>
    <row r="59" spans="2:36" ht="25.5">
      <c r="B59" s="1451" t="s">
        <v>1211</v>
      </c>
      <c r="C59" s="1451">
        <v>7</v>
      </c>
      <c r="D59" s="1451">
        <v>7</v>
      </c>
      <c r="E59" s="1451">
        <v>7</v>
      </c>
      <c r="F59" s="1451">
        <v>7</v>
      </c>
      <c r="L59" s="1383" t="s">
        <v>1240</v>
      </c>
      <c r="M59" s="1354">
        <v>0.48</v>
      </c>
      <c r="N59" s="1357">
        <v>0.47</v>
      </c>
      <c r="O59" s="1360">
        <f t="shared" ref="O59" si="4">AVERAGE(N59,P59)</f>
        <v>0.38500000000000001</v>
      </c>
      <c r="P59" s="1350">
        <v>0.3</v>
      </c>
      <c r="U59" s="1193" t="s">
        <v>914</v>
      </c>
    </row>
    <row r="60" spans="2:36" ht="23.25" thickBot="1">
      <c r="B60" s="1445" t="s">
        <v>1209</v>
      </c>
      <c r="C60" s="1446">
        <v>77</v>
      </c>
      <c r="D60" s="1446">
        <v>72</v>
      </c>
      <c r="E60" s="1447">
        <f>+AVERAGE(D60,F60)</f>
        <v>69.5</v>
      </c>
      <c r="F60" s="1446">
        <v>67</v>
      </c>
      <c r="L60" s="1383" t="s">
        <v>1241</v>
      </c>
      <c r="M60" s="1354">
        <v>0.06</v>
      </c>
      <c r="N60" s="1357">
        <v>7.0000000000000007E-2</v>
      </c>
      <c r="O60" s="1360">
        <f>+AVERAGE(N60,P60)</f>
        <v>8.5000000000000006E-2</v>
      </c>
      <c r="P60" s="1350">
        <v>0.1</v>
      </c>
      <c r="U60" s="1440" t="s">
        <v>1326</v>
      </c>
    </row>
    <row r="61" spans="2:36" ht="25.5">
      <c r="B61" s="1453" t="s">
        <v>1103</v>
      </c>
      <c r="C61" s="1453">
        <v>5</v>
      </c>
      <c r="D61" s="1453">
        <v>7</v>
      </c>
      <c r="E61" s="1453">
        <v>7</v>
      </c>
      <c r="F61" s="1453">
        <v>7</v>
      </c>
      <c r="L61" s="1383" t="s">
        <v>1242</v>
      </c>
      <c r="M61" s="1354">
        <v>0.08</v>
      </c>
      <c r="N61" s="1357">
        <v>7.0000000000000007E-2</v>
      </c>
      <c r="O61" s="1360">
        <f>+AVERAGE(N61,P61)</f>
        <v>8.5000000000000006E-2</v>
      </c>
      <c r="P61" s="1350">
        <v>0.1</v>
      </c>
      <c r="U61" s="1193" t="s">
        <v>1102</v>
      </c>
    </row>
    <row r="62" spans="2:36" ht="23.25" thickBot="1">
      <c r="B62" s="1448" t="s">
        <v>1209</v>
      </c>
      <c r="C62" s="1449">
        <v>80</v>
      </c>
      <c r="D62" s="1449">
        <v>75</v>
      </c>
      <c r="E62" s="1449">
        <f>+AVERAGE(D62,F62)</f>
        <v>71</v>
      </c>
      <c r="F62" s="1449">
        <v>67</v>
      </c>
      <c r="L62" s="1361" t="s">
        <v>1243</v>
      </c>
      <c r="M62" s="1352">
        <v>380</v>
      </c>
      <c r="N62" s="1355">
        <v>375</v>
      </c>
      <c r="O62" s="1380">
        <f>+AVERAGE(N62,P62)</f>
        <v>360.5</v>
      </c>
      <c r="P62" s="1349">
        <v>346</v>
      </c>
      <c r="U62" s="1440" t="s">
        <v>1326</v>
      </c>
    </row>
    <row r="63" spans="2:36">
      <c r="U63" s="1193" t="s">
        <v>1103</v>
      </c>
    </row>
    <row r="64" spans="2:36">
      <c r="C64" s="1441">
        <f>+(C55*C56+C57*C58+C59*C60+C61*C62)/100</f>
        <v>67.603999999999999</v>
      </c>
      <c r="D64" s="1441">
        <f t="shared" ref="D64:F64" si="5">+(D55*D56+D57*D58+D59*D60+D61*D62)/100</f>
        <v>65.39</v>
      </c>
      <c r="E64" s="1441">
        <f t="shared" si="5"/>
        <v>63.43</v>
      </c>
      <c r="F64" s="1441">
        <f t="shared" si="5"/>
        <v>60.72</v>
      </c>
      <c r="U64" s="1440" t="s">
        <v>1326</v>
      </c>
    </row>
  </sheetData>
  <mergeCells count="2">
    <mergeCell ref="B4:V5"/>
    <mergeCell ref="B7:V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96338-5C3B-45B0-83BB-24BCAF3D2360}">
  <dimension ref="B1:V55"/>
  <sheetViews>
    <sheetView topLeftCell="A4" zoomScale="90" zoomScaleNormal="90" workbookViewId="0">
      <selection activeCell="N38" sqref="N38"/>
    </sheetView>
  </sheetViews>
  <sheetFormatPr baseColWidth="10" defaultColWidth="10" defaultRowHeight="14.25"/>
  <cols>
    <col min="1" max="1" width="2" style="1193" customWidth="1"/>
    <col min="2" max="2" width="10" style="1193"/>
    <col min="3" max="3" width="25" style="1193" customWidth="1"/>
    <col min="4" max="14" width="10" style="1193"/>
    <col min="15" max="15" width="31.375" style="1193" customWidth="1"/>
    <col min="16" max="16384" width="10" style="1193"/>
  </cols>
  <sheetData>
    <row r="1" spans="2:22" ht="6" customHeight="1"/>
    <row r="2" spans="2:22" ht="6" customHeight="1"/>
    <row r="3" spans="2:22" ht="26.25">
      <c r="C3" s="1197"/>
    </row>
    <row r="4" spans="2:22" ht="23.25" customHeight="1">
      <c r="B4" s="1210"/>
      <c r="C4" s="1210"/>
      <c r="D4" s="1210"/>
      <c r="E4" s="1210"/>
      <c r="F4" s="1210"/>
      <c r="G4" s="1210"/>
      <c r="H4" s="1210"/>
      <c r="I4" s="1210"/>
      <c r="J4" s="1210"/>
      <c r="K4" s="1210"/>
      <c r="L4" s="1210"/>
      <c r="M4" s="1210"/>
      <c r="N4" s="1210"/>
      <c r="O4" s="1210"/>
      <c r="P4" s="1210"/>
      <c r="Q4" s="1210"/>
      <c r="R4" s="1210"/>
      <c r="S4" s="1210"/>
      <c r="T4" s="1210"/>
      <c r="U4" s="1210"/>
      <c r="V4" s="1210"/>
    </row>
    <row r="5" spans="2:22" ht="26.25">
      <c r="B5" s="1197" t="s">
        <v>1264</v>
      </c>
    </row>
    <row r="21" spans="7:7" ht="15">
      <c r="G21" s="1211"/>
    </row>
    <row r="22" spans="7:7" ht="15">
      <c r="G22" s="1211"/>
    </row>
    <row r="23" spans="7:7" ht="15">
      <c r="G23" s="1211"/>
    </row>
    <row r="24" spans="7:7" ht="15">
      <c r="G24" s="1211"/>
    </row>
    <row r="38" spans="3:19" ht="15.75">
      <c r="O38" s="1361" t="s">
        <v>1267</v>
      </c>
      <c r="P38" s="1352">
        <v>2020</v>
      </c>
      <c r="Q38" s="1355">
        <v>2030</v>
      </c>
      <c r="R38" s="1358">
        <v>2040</v>
      </c>
      <c r="S38" s="1349">
        <v>2050</v>
      </c>
    </row>
    <row r="39" spans="3:19" s="1199" customFormat="1" ht="20.25">
      <c r="C39" s="1430" t="s">
        <v>1264</v>
      </c>
      <c r="D39" s="1199">
        <v>2020</v>
      </c>
      <c r="E39" s="1199">
        <v>2030</v>
      </c>
      <c r="F39" s="1199">
        <v>2040</v>
      </c>
      <c r="G39" s="1199">
        <v>2050</v>
      </c>
      <c r="O39" s="1383" t="s">
        <v>1283</v>
      </c>
      <c r="P39" s="1388">
        <v>12.5</v>
      </c>
      <c r="Q39" s="1389">
        <v>14.8</v>
      </c>
      <c r="R39" s="1380">
        <f>+AVERAGE(Q39,S39)</f>
        <v>17.100000000000001</v>
      </c>
      <c r="S39" s="1366">
        <v>19.399999999999999</v>
      </c>
    </row>
    <row r="40" spans="3:19" s="1199" customFormat="1" ht="20.25">
      <c r="C40" s="1200" t="s">
        <v>581</v>
      </c>
      <c r="D40" s="1201">
        <v>451</v>
      </c>
      <c r="E40" s="1201">
        <v>447</v>
      </c>
      <c r="F40" s="1201">
        <f>+AVERAGE(E40,G40)</f>
        <v>401.5</v>
      </c>
      <c r="G40" s="1201">
        <v>356</v>
      </c>
      <c r="O40" s="1383" t="s">
        <v>1284</v>
      </c>
      <c r="P40" s="1388">
        <v>12.5</v>
      </c>
      <c r="Q40" s="1389">
        <v>14.1</v>
      </c>
      <c r="R40" s="1380">
        <f>+AVERAGE(Q40,S40)</f>
        <v>15.7</v>
      </c>
      <c r="S40" s="1366">
        <v>17.3</v>
      </c>
    </row>
    <row r="41" spans="3:19" s="1199" customFormat="1" ht="20.25">
      <c r="C41" s="1199" t="s">
        <v>1113</v>
      </c>
      <c r="D41" s="1202">
        <v>366</v>
      </c>
      <c r="E41" s="1202">
        <v>322</v>
      </c>
      <c r="F41" s="1201">
        <f t="shared" ref="F41:F43" si="0">+AVERAGE(E41,G41)</f>
        <v>316</v>
      </c>
      <c r="G41" s="1202">
        <v>310</v>
      </c>
    </row>
    <row r="42" spans="3:19" s="1199" customFormat="1" ht="20.25">
      <c r="C42" s="1199" t="s">
        <v>618</v>
      </c>
      <c r="D42" s="1202">
        <v>366</v>
      </c>
      <c r="E42" s="1202">
        <v>333</v>
      </c>
      <c r="F42" s="1201">
        <f t="shared" si="0"/>
        <v>316.5</v>
      </c>
      <c r="G42" s="1202">
        <v>300</v>
      </c>
      <c r="O42" s="1361" t="s">
        <v>1265</v>
      </c>
      <c r="P42" s="1352"/>
      <c r="Q42" s="1355"/>
      <c r="R42" s="1380"/>
      <c r="S42" s="1349"/>
    </row>
    <row r="43" spans="3:19" s="1199" customFormat="1" ht="20.25">
      <c r="C43" s="1199" t="s">
        <v>612</v>
      </c>
      <c r="D43" s="1202">
        <v>354</v>
      </c>
      <c r="E43" s="1202">
        <v>347</v>
      </c>
      <c r="F43" s="1201">
        <f t="shared" si="0"/>
        <v>336.5</v>
      </c>
      <c r="G43" s="1202">
        <v>326</v>
      </c>
      <c r="O43" s="1383" t="s">
        <v>1099</v>
      </c>
      <c r="P43" s="1388">
        <v>34</v>
      </c>
      <c r="Q43" s="1389">
        <v>46</v>
      </c>
      <c r="R43" s="1390">
        <f>+AVERAGE(Q43,S43)</f>
        <v>51.5</v>
      </c>
      <c r="S43" s="1366">
        <v>57</v>
      </c>
    </row>
    <row r="44" spans="3:19" s="1199" customFormat="1" ht="20.25">
      <c r="C44" s="1206" t="s">
        <v>1071</v>
      </c>
      <c r="D44" s="1207">
        <v>381.5</v>
      </c>
      <c r="E44" s="1207">
        <v>377.1</v>
      </c>
      <c r="F44" s="1207">
        <f>+AVERAGE(E44,G44)</f>
        <v>356.05</v>
      </c>
      <c r="G44" s="1207">
        <v>335</v>
      </c>
    </row>
    <row r="45" spans="3:19" ht="20.25">
      <c r="C45" s="1199"/>
      <c r="D45" s="1202"/>
      <c r="E45" s="1202"/>
      <c r="F45" s="1202"/>
      <c r="G45" s="1202"/>
      <c r="O45" s="1383" t="s">
        <v>1266</v>
      </c>
      <c r="P45" s="1388"/>
      <c r="Q45" s="1389"/>
      <c r="R45" s="1380"/>
      <c r="S45" s="1366"/>
    </row>
    <row r="46" spans="3:19" ht="15.75">
      <c r="O46" s="1383" t="s">
        <v>1268</v>
      </c>
      <c r="P46" s="1388">
        <f>+P40/P43*1000</f>
        <v>367.64705882352945</v>
      </c>
      <c r="Q46" s="1389">
        <f>+Q40/Q43*1000</f>
        <v>306.52173913043481</v>
      </c>
      <c r="R46" s="1380">
        <f>+R40/R43*1000</f>
        <v>304.85436893203882</v>
      </c>
      <c r="S46" s="1366">
        <f>+S40/S43*1000</f>
        <v>303.50877192982455</v>
      </c>
    </row>
    <row r="55" spans="16:19">
      <c r="P55" s="1387"/>
      <c r="Q55" s="1387"/>
      <c r="R55" s="1387"/>
      <c r="S55" s="138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B802-2F96-4C7A-BC33-A5CED015A302}">
  <dimension ref="B1:AB63"/>
  <sheetViews>
    <sheetView topLeftCell="A5" zoomScale="85" zoomScaleNormal="85" workbookViewId="0">
      <selection activeCell="C57" sqref="C57"/>
    </sheetView>
  </sheetViews>
  <sheetFormatPr baseColWidth="10" defaultColWidth="10" defaultRowHeight="14.25"/>
  <cols>
    <col min="1" max="1" width="2" style="1193" customWidth="1"/>
    <col min="2" max="2" width="10" style="1193"/>
    <col min="3" max="3" width="22.625" style="1193" customWidth="1"/>
    <col min="4" max="12" width="10" style="1193"/>
    <col min="13" max="13" width="30.5" style="1193" customWidth="1"/>
    <col min="14" max="23" width="10" style="1193"/>
    <col min="24" max="24" width="21.375" style="1193" customWidth="1"/>
    <col min="25" max="16384" width="10" style="1193"/>
  </cols>
  <sheetData>
    <row r="1" spans="2:23" ht="6" customHeight="1"/>
    <row r="2" spans="2:23" ht="6" customHeight="1"/>
    <row r="3" spans="2:23" ht="26.25">
      <c r="C3" s="1197" t="s">
        <v>1140</v>
      </c>
    </row>
    <row r="4" spans="2:23" ht="26.25">
      <c r="C4" s="1197"/>
    </row>
    <row r="5" spans="2:23" ht="20.25" customHeight="1">
      <c r="B5" s="1477" t="s">
        <v>1162</v>
      </c>
      <c r="C5" s="1477"/>
      <c r="D5" s="1477"/>
      <c r="E5" s="1477"/>
      <c r="F5" s="1477"/>
      <c r="G5" s="1477"/>
      <c r="H5" s="1477"/>
      <c r="I5" s="1477"/>
      <c r="J5" s="1477"/>
      <c r="K5" s="1477"/>
      <c r="L5" s="1477"/>
      <c r="M5" s="1477"/>
      <c r="N5" s="1477"/>
      <c r="O5" s="1477"/>
      <c r="P5" s="1477"/>
      <c r="Q5" s="1477"/>
      <c r="R5" s="1477"/>
      <c r="S5" s="1477"/>
      <c r="T5" s="1477"/>
    </row>
    <row r="6" spans="2:23" ht="18.75" hidden="1" customHeight="1">
      <c r="B6" s="1477"/>
      <c r="C6" s="1477"/>
      <c r="D6" s="1477"/>
      <c r="E6" s="1477"/>
      <c r="F6" s="1477"/>
      <c r="G6" s="1477"/>
      <c r="H6" s="1477"/>
      <c r="I6" s="1477"/>
      <c r="J6" s="1477"/>
      <c r="K6" s="1477"/>
      <c r="L6" s="1477"/>
      <c r="M6" s="1477"/>
      <c r="N6" s="1477"/>
      <c r="O6" s="1477"/>
      <c r="P6" s="1477"/>
      <c r="Q6" s="1477"/>
      <c r="R6" s="1477"/>
      <c r="S6" s="1477"/>
      <c r="T6" s="1477"/>
    </row>
    <row r="7" spans="2:23" ht="23.25" hidden="1" customHeight="1">
      <c r="B7" s="1477"/>
      <c r="C7" s="1477"/>
      <c r="D7" s="1477"/>
      <c r="E7" s="1477"/>
      <c r="F7" s="1477"/>
      <c r="G7" s="1477"/>
      <c r="H7" s="1477"/>
      <c r="I7" s="1477"/>
      <c r="J7" s="1477"/>
      <c r="K7" s="1477"/>
      <c r="L7" s="1477"/>
      <c r="M7" s="1477"/>
      <c r="N7" s="1477"/>
      <c r="O7" s="1477"/>
      <c r="P7" s="1477"/>
      <c r="Q7" s="1477"/>
      <c r="R7" s="1477"/>
      <c r="S7" s="1477"/>
      <c r="T7" s="1477"/>
    </row>
    <row r="8" spans="2:23" ht="23.25" hidden="1" customHeight="1">
      <c r="B8" s="1210"/>
      <c r="C8" s="1210"/>
      <c r="D8" s="1210"/>
      <c r="E8" s="1210"/>
      <c r="F8" s="1210"/>
      <c r="G8" s="1210"/>
      <c r="H8" s="1210"/>
      <c r="I8" s="1210"/>
      <c r="J8" s="1210"/>
      <c r="K8" s="1210"/>
      <c r="L8" s="1210"/>
      <c r="M8" s="1210"/>
      <c r="N8" s="1210"/>
      <c r="O8" s="1210"/>
      <c r="P8" s="1210"/>
      <c r="Q8" s="1210"/>
      <c r="R8" s="1210"/>
      <c r="S8" s="1210"/>
      <c r="T8" s="1210"/>
    </row>
    <row r="9" spans="2:23" ht="23.25" hidden="1" customHeight="1">
      <c r="B9" s="1477" t="s">
        <v>1141</v>
      </c>
      <c r="C9" s="1477"/>
      <c r="D9" s="1477"/>
      <c r="E9" s="1477"/>
      <c r="F9" s="1477"/>
      <c r="G9" s="1477"/>
      <c r="H9" s="1477"/>
      <c r="I9" s="1477"/>
      <c r="J9" s="1477"/>
      <c r="K9" s="1477"/>
      <c r="L9" s="1477"/>
      <c r="M9" s="1477"/>
      <c r="N9" s="1477"/>
      <c r="O9" s="1477"/>
      <c r="P9" s="1477"/>
      <c r="Q9" s="1477"/>
      <c r="R9" s="1477"/>
      <c r="S9" s="1477"/>
      <c r="T9" s="1477"/>
    </row>
    <row r="10" spans="2:23" ht="20.25" hidden="1" customHeight="1">
      <c r="B10" s="1477"/>
      <c r="C10" s="1477"/>
      <c r="D10" s="1477"/>
      <c r="E10" s="1477"/>
      <c r="F10" s="1477"/>
      <c r="G10" s="1477"/>
      <c r="H10" s="1477"/>
      <c r="I10" s="1477"/>
      <c r="J10" s="1477"/>
      <c r="K10" s="1477"/>
      <c r="L10" s="1477"/>
      <c r="M10" s="1477"/>
      <c r="N10" s="1477"/>
      <c r="O10" s="1477"/>
      <c r="P10" s="1477"/>
      <c r="Q10" s="1477"/>
      <c r="R10" s="1477"/>
      <c r="S10" s="1477"/>
      <c r="T10" s="1477"/>
    </row>
    <row r="11" spans="2:23" ht="23.25" hidden="1" customHeight="1">
      <c r="B11" s="1477"/>
      <c r="C11" s="1477"/>
      <c r="D11" s="1477"/>
      <c r="E11" s="1477"/>
      <c r="F11" s="1477"/>
      <c r="G11" s="1477"/>
      <c r="H11" s="1477"/>
      <c r="I11" s="1477"/>
      <c r="J11" s="1477"/>
      <c r="K11" s="1477"/>
      <c r="L11" s="1477"/>
      <c r="M11" s="1477"/>
      <c r="N11" s="1477"/>
      <c r="O11" s="1477"/>
      <c r="P11" s="1477"/>
      <c r="Q11" s="1477"/>
      <c r="R11" s="1477"/>
      <c r="S11" s="1477"/>
      <c r="T11" s="1477"/>
    </row>
    <row r="12" spans="2:23" ht="23.25" customHeight="1">
      <c r="B12" s="1210"/>
      <c r="C12" s="1210"/>
      <c r="D12" s="1210"/>
      <c r="E12" s="1210"/>
      <c r="F12" s="1210"/>
      <c r="G12" s="1210"/>
      <c r="H12" s="1210"/>
      <c r="I12" s="1210"/>
      <c r="J12" s="1210"/>
      <c r="K12" s="1210"/>
      <c r="L12" s="1210"/>
      <c r="M12" s="1210"/>
      <c r="N12" s="1210"/>
      <c r="O12" s="1210"/>
      <c r="P12" s="1210"/>
      <c r="Q12" s="1210"/>
      <c r="R12" s="1210"/>
      <c r="S12" s="1210"/>
      <c r="T12" s="1210"/>
    </row>
    <row r="13" spans="2:23" ht="26.25">
      <c r="B13" s="1197" t="s">
        <v>1105</v>
      </c>
      <c r="M13" s="1197" t="s">
        <v>1301</v>
      </c>
      <c r="W13" s="1197" t="s">
        <v>1275</v>
      </c>
    </row>
    <row r="29" spans="7:7" ht="15">
      <c r="G29" s="1211"/>
    </row>
    <row r="30" spans="7:7" ht="15">
      <c r="G30" s="1211"/>
    </row>
    <row r="31" spans="7:7" ht="15">
      <c r="G31" s="1211"/>
    </row>
    <row r="32" spans="7:7" ht="15">
      <c r="G32" s="1211"/>
    </row>
    <row r="46" spans="3:28" ht="15.75">
      <c r="M46" s="1361" t="s">
        <v>1244</v>
      </c>
      <c r="N46" s="1352">
        <v>2020</v>
      </c>
      <c r="O46" s="1355">
        <v>2030</v>
      </c>
      <c r="P46" s="1358">
        <v>2040</v>
      </c>
      <c r="Q46" s="1349">
        <v>2050</v>
      </c>
      <c r="X46" s="1361" t="s">
        <v>1309</v>
      </c>
      <c r="Y46" s="1352">
        <v>2020</v>
      </c>
      <c r="Z46" s="1355">
        <v>2030</v>
      </c>
      <c r="AA46" s="1358">
        <v>2040</v>
      </c>
      <c r="AB46" s="1349">
        <v>2050</v>
      </c>
    </row>
    <row r="47" spans="3:28" s="1199" customFormat="1" ht="20.25">
      <c r="C47" s="1199" t="s">
        <v>1110</v>
      </c>
      <c r="D47" s="1199">
        <v>2020</v>
      </c>
      <c r="E47" s="1199">
        <v>2030</v>
      </c>
      <c r="F47" s="1199">
        <v>2040</v>
      </c>
      <c r="G47" s="1199">
        <v>2050</v>
      </c>
      <c r="M47" s="1383" t="s">
        <v>1304</v>
      </c>
      <c r="N47" s="1354">
        <v>0.78</v>
      </c>
      <c r="O47" s="1357">
        <v>0.75</v>
      </c>
      <c r="P47" s="1360">
        <f>+AVERAGE(O47,Q47)</f>
        <v>0.72</v>
      </c>
      <c r="Q47" s="1350">
        <v>0.69</v>
      </c>
      <c r="X47" s="1432" t="s">
        <v>1310</v>
      </c>
      <c r="Y47" s="1433">
        <v>33</v>
      </c>
      <c r="Z47" s="1435">
        <v>38</v>
      </c>
      <c r="AA47" s="1436">
        <f>+AVERAGE(Z47,AB47)</f>
        <v>44</v>
      </c>
      <c r="AB47" s="1434">
        <v>50</v>
      </c>
    </row>
    <row r="48" spans="3:28" s="1199" customFormat="1" ht="20.25">
      <c r="C48" s="1200" t="s">
        <v>581</v>
      </c>
      <c r="D48" s="1201">
        <v>67</v>
      </c>
      <c r="E48" s="1201">
        <v>66</v>
      </c>
      <c r="F48" s="1201">
        <f>AVERAGE(E48,G48)</f>
        <v>63</v>
      </c>
      <c r="G48" s="1201">
        <v>60</v>
      </c>
      <c r="J48" s="1193"/>
      <c r="M48" s="1383" t="s">
        <v>1302</v>
      </c>
      <c r="N48" s="1354">
        <v>0.57999999999999996</v>
      </c>
      <c r="O48" s="1357">
        <v>0.55000000000000004</v>
      </c>
      <c r="P48" s="1360">
        <f>+AVERAGE(O48,Q48)</f>
        <v>0.53500000000000003</v>
      </c>
      <c r="Q48" s="1350">
        <v>0.52</v>
      </c>
      <c r="X48" s="1383" t="s">
        <v>1271</v>
      </c>
      <c r="Y48" s="1354">
        <v>0.35</v>
      </c>
      <c r="Z48" s="1357">
        <v>0.39</v>
      </c>
      <c r="AA48" s="1360">
        <f>+AVERAGE(Z48,AB48)</f>
        <v>0.40500000000000003</v>
      </c>
      <c r="AB48" s="1350">
        <v>0.42</v>
      </c>
    </row>
    <row r="49" spans="3:28" s="1199" customFormat="1" ht="20.25">
      <c r="C49" s="1199" t="s">
        <v>1113</v>
      </c>
      <c r="D49" s="1202">
        <v>75</v>
      </c>
      <c r="E49" s="1202">
        <v>70</v>
      </c>
      <c r="F49" s="1202">
        <f t="shared" ref="F49:F53" si="0">AVERAGE(E49,G49)</f>
        <v>68.5</v>
      </c>
      <c r="G49" s="1202">
        <v>67</v>
      </c>
      <c r="M49" s="1383" t="s">
        <v>1303</v>
      </c>
      <c r="N49" s="1354">
        <v>0.77</v>
      </c>
      <c r="O49" s="1357">
        <v>0.72</v>
      </c>
      <c r="P49" s="1360">
        <f t="shared" ref="P49:P50" si="1">AVERAGE(O49,Q49)</f>
        <v>0.69500000000000006</v>
      </c>
      <c r="Q49" s="1350">
        <v>0.67</v>
      </c>
      <c r="X49" s="1383" t="s">
        <v>1272</v>
      </c>
      <c r="Y49" s="1354">
        <v>0.53</v>
      </c>
      <c r="Z49" s="1357">
        <v>0.47</v>
      </c>
      <c r="AA49" s="1360">
        <f>+AVERAGE(Z49,AB49)</f>
        <v>0.44999999999999996</v>
      </c>
      <c r="AB49" s="1350">
        <v>0.43</v>
      </c>
    </row>
    <row r="50" spans="3:28" s="1199" customFormat="1" ht="20.25">
      <c r="C50" s="1199" t="s">
        <v>618</v>
      </c>
      <c r="D50" s="1202">
        <v>69</v>
      </c>
      <c r="E50" s="1202">
        <v>64</v>
      </c>
      <c r="F50" s="1202">
        <f t="shared" si="0"/>
        <v>59.5</v>
      </c>
      <c r="G50" s="1202">
        <v>55</v>
      </c>
      <c r="J50" s="1391"/>
      <c r="M50" s="1383" t="s">
        <v>1305</v>
      </c>
      <c r="N50" s="1354">
        <v>0.8</v>
      </c>
      <c r="O50" s="1357">
        <v>0.75</v>
      </c>
      <c r="P50" s="1360">
        <f t="shared" si="1"/>
        <v>0.71</v>
      </c>
      <c r="Q50" s="1350">
        <v>0.67</v>
      </c>
      <c r="X50" s="1383" t="s">
        <v>1273</v>
      </c>
      <c r="Y50" s="1354">
        <v>7.0000000000000007E-2</v>
      </c>
      <c r="Z50" s="1357">
        <v>7.0000000000000007E-2</v>
      </c>
      <c r="AA50" s="1360">
        <f t="shared" ref="AA50:AA51" si="2">AVERAGE(Z50,AB50)</f>
        <v>7.0000000000000007E-2</v>
      </c>
      <c r="AB50" s="1350">
        <v>7.0000000000000007E-2</v>
      </c>
    </row>
    <row r="51" spans="3:28" s="1199" customFormat="1" ht="20.25">
      <c r="C51" s="1199" t="s">
        <v>612</v>
      </c>
      <c r="D51" s="1202">
        <v>71</v>
      </c>
      <c r="E51" s="1202">
        <v>68</v>
      </c>
      <c r="F51" s="1202">
        <f t="shared" si="0"/>
        <v>65.5</v>
      </c>
      <c r="G51" s="1202">
        <v>63</v>
      </c>
      <c r="X51" s="1383" t="s">
        <v>1274</v>
      </c>
      <c r="Y51" s="1354">
        <v>0.05</v>
      </c>
      <c r="Z51" s="1357">
        <v>7.0000000000000007E-2</v>
      </c>
      <c r="AA51" s="1360">
        <f t="shared" si="2"/>
        <v>7.0000000000000007E-2</v>
      </c>
      <c r="AB51" s="1350">
        <v>7.0000000000000007E-2</v>
      </c>
    </row>
    <row r="52" spans="3:28" s="1199" customFormat="1" ht="20.25">
      <c r="C52" s="1206" t="s">
        <v>1071</v>
      </c>
      <c r="D52" s="1207">
        <v>68</v>
      </c>
      <c r="E52" s="1207">
        <v>65</v>
      </c>
      <c r="F52" s="1207">
        <f t="shared" si="0"/>
        <v>63</v>
      </c>
      <c r="G52" s="1207">
        <v>61</v>
      </c>
      <c r="M52" s="1361" t="s">
        <v>1245</v>
      </c>
      <c r="N52" s="1352">
        <v>2020</v>
      </c>
      <c r="O52" s="1355">
        <v>2030</v>
      </c>
      <c r="P52" s="1380">
        <v>2040</v>
      </c>
      <c r="Q52" s="1349">
        <v>2050</v>
      </c>
    </row>
    <row r="53" spans="3:28" ht="20.25">
      <c r="C53" s="1199" t="s">
        <v>1163</v>
      </c>
      <c r="D53" s="1202">
        <v>63</v>
      </c>
      <c r="E53" s="1202">
        <v>58</v>
      </c>
      <c r="F53" s="1202">
        <f t="shared" si="0"/>
        <v>56</v>
      </c>
      <c r="G53" s="1202">
        <v>54</v>
      </c>
      <c r="M53" s="1383" t="s">
        <v>1246</v>
      </c>
      <c r="N53" s="1354">
        <v>0.67</v>
      </c>
      <c r="O53" s="1357">
        <v>0.65</v>
      </c>
      <c r="P53" s="1360">
        <f>+AVERAGE(O53,Q53)</f>
        <v>0.63</v>
      </c>
      <c r="Q53" s="1350">
        <v>0.61</v>
      </c>
    </row>
    <row r="54" spans="3:28" ht="15.75">
      <c r="M54" s="1383" t="s">
        <v>1253</v>
      </c>
      <c r="N54" s="1354">
        <v>0.05</v>
      </c>
      <c r="O54" s="1357">
        <v>0.05</v>
      </c>
      <c r="P54" s="1360">
        <f t="shared" ref="P54:P60" si="3">+AVERAGE(O54,Q54)</f>
        <v>0.05</v>
      </c>
      <c r="Q54" s="1350">
        <v>0.05</v>
      </c>
    </row>
    <row r="55" spans="3:28" ht="15.75">
      <c r="M55" s="1383" t="s">
        <v>1247</v>
      </c>
      <c r="N55" s="1354">
        <v>0.17</v>
      </c>
      <c r="O55" s="1357">
        <v>0.15</v>
      </c>
      <c r="P55" s="1360">
        <f t="shared" si="3"/>
        <v>0.17499999999999999</v>
      </c>
      <c r="Q55" s="1350">
        <v>0.2</v>
      </c>
    </row>
    <row r="56" spans="3:28" ht="15.75">
      <c r="M56" s="1383" t="s">
        <v>1248</v>
      </c>
      <c r="N56" s="1354">
        <v>0.05</v>
      </c>
      <c r="O56" s="1357">
        <v>0.04</v>
      </c>
      <c r="P56" s="1360">
        <f t="shared" si="3"/>
        <v>4.4999999999999998E-2</v>
      </c>
      <c r="Q56" s="1350">
        <v>0.05</v>
      </c>
    </row>
    <row r="57" spans="3:28" ht="15.75">
      <c r="C57" s="1193" t="s">
        <v>1325</v>
      </c>
      <c r="M57" s="1383" t="s">
        <v>1249</v>
      </c>
      <c r="N57" s="1354">
        <v>0</v>
      </c>
      <c r="O57" s="1357">
        <v>0.02</v>
      </c>
      <c r="P57" s="1360">
        <f t="shared" si="3"/>
        <v>0.01</v>
      </c>
      <c r="Q57" s="1350">
        <v>0</v>
      </c>
    </row>
    <row r="58" spans="3:28" ht="15.75">
      <c r="M58" s="1383" t="s">
        <v>1250</v>
      </c>
      <c r="N58" s="1354">
        <v>0.05</v>
      </c>
      <c r="O58" s="1357">
        <v>0.05</v>
      </c>
      <c r="P58" s="1360">
        <f t="shared" si="3"/>
        <v>0.04</v>
      </c>
      <c r="Q58" s="1350">
        <v>0.03</v>
      </c>
    </row>
    <row r="59" spans="3:28" ht="15.75">
      <c r="M59" s="1383" t="s">
        <v>1252</v>
      </c>
      <c r="N59" s="1354">
        <v>0.01</v>
      </c>
      <c r="O59" s="1357">
        <v>0.04</v>
      </c>
      <c r="P59" s="1360">
        <f t="shared" si="3"/>
        <v>4.4999999999999998E-2</v>
      </c>
      <c r="Q59" s="1350">
        <v>0.05</v>
      </c>
    </row>
    <row r="60" spans="3:28" ht="15.75">
      <c r="M60" s="1383" t="s">
        <v>1251</v>
      </c>
      <c r="N60" s="1354">
        <v>0</v>
      </c>
      <c r="O60" s="1357">
        <v>0.01</v>
      </c>
      <c r="P60" s="1360">
        <f t="shared" si="3"/>
        <v>0.01</v>
      </c>
      <c r="Q60" s="1350">
        <v>0.01</v>
      </c>
    </row>
    <row r="63" spans="3:28">
      <c r="N63" s="1387">
        <f>+SUM(N53:N60)</f>
        <v>1.0000000000000002</v>
      </c>
      <c r="O63" s="1387">
        <f>+SUM(O53:O60)</f>
        <v>1.0100000000000002</v>
      </c>
      <c r="P63" s="1387">
        <f>+SUM(P53:P60)</f>
        <v>1.0050000000000001</v>
      </c>
      <c r="Q63" s="1387">
        <f>+SUM(Q53:Q60)</f>
        <v>1.0000000000000002</v>
      </c>
    </row>
  </sheetData>
  <mergeCells count="2">
    <mergeCell ref="B5:T7"/>
    <mergeCell ref="B9:T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D40B2-EBD5-4B73-BF45-FFDF60FEEFA1}">
  <dimension ref="B1:V50"/>
  <sheetViews>
    <sheetView topLeftCell="C14" zoomScale="110" zoomScaleNormal="110" workbookViewId="0">
      <selection activeCell="E50" sqref="E50"/>
    </sheetView>
  </sheetViews>
  <sheetFormatPr baseColWidth="10" defaultColWidth="10" defaultRowHeight="14.25"/>
  <cols>
    <col min="1" max="3" width="10" style="1193"/>
    <col min="4" max="4" width="28.5" style="1193" customWidth="1"/>
    <col min="5" max="16384" width="10" style="1193"/>
  </cols>
  <sheetData>
    <row r="1" spans="2:22" ht="6" customHeight="1"/>
    <row r="2" spans="2:22" ht="26.25">
      <c r="B2" s="1197" t="s">
        <v>1108</v>
      </c>
    </row>
    <row r="3" spans="2:22" ht="20.25" customHeight="1">
      <c r="C3" s="1217"/>
      <c r="D3" s="1217"/>
      <c r="E3" s="1217"/>
      <c r="F3" s="1217"/>
      <c r="G3" s="1217"/>
      <c r="H3" s="1217"/>
      <c r="I3" s="1217"/>
      <c r="J3" s="1217"/>
      <c r="K3" s="1217"/>
      <c r="L3" s="1217"/>
      <c r="M3" s="1217"/>
      <c r="N3" s="1217"/>
      <c r="O3" s="1217"/>
      <c r="P3" s="1217"/>
      <c r="Q3" s="1217"/>
      <c r="R3" s="1217"/>
      <c r="S3" s="1217"/>
      <c r="T3" s="1217"/>
      <c r="U3" s="1217"/>
      <c r="V3" s="1217"/>
    </row>
    <row r="4" spans="2:22" ht="18.75" hidden="1" customHeight="1">
      <c r="B4" s="1477" t="s">
        <v>1165</v>
      </c>
      <c r="C4" s="1477"/>
      <c r="D4" s="1477"/>
      <c r="E4" s="1477"/>
      <c r="F4" s="1477"/>
      <c r="G4" s="1477"/>
      <c r="H4" s="1477"/>
      <c r="I4" s="1477"/>
      <c r="J4" s="1477"/>
      <c r="K4" s="1477"/>
      <c r="L4" s="1477"/>
      <c r="M4" s="1477"/>
      <c r="N4" s="1477"/>
      <c r="O4" s="1477"/>
      <c r="P4" s="1477"/>
      <c r="Q4" s="1477"/>
      <c r="R4" s="1477"/>
      <c r="S4" s="1477"/>
      <c r="T4" s="1477"/>
      <c r="U4" s="1477"/>
      <c r="V4" s="1477"/>
    </row>
    <row r="5" spans="2:22" ht="26.25" hidden="1" customHeight="1">
      <c r="B5" s="1477"/>
      <c r="C5" s="1477"/>
      <c r="D5" s="1477"/>
      <c r="E5" s="1477"/>
      <c r="F5" s="1477"/>
      <c r="G5" s="1477"/>
      <c r="H5" s="1477"/>
      <c r="I5" s="1477"/>
      <c r="J5" s="1477"/>
      <c r="K5" s="1477"/>
      <c r="L5" s="1477"/>
      <c r="M5" s="1477"/>
      <c r="N5" s="1477"/>
      <c r="O5" s="1477"/>
      <c r="P5" s="1477"/>
      <c r="Q5" s="1477"/>
      <c r="R5" s="1477"/>
      <c r="S5" s="1477"/>
      <c r="T5" s="1477"/>
      <c r="U5" s="1477"/>
      <c r="V5" s="1477"/>
    </row>
    <row r="6" spans="2:22" ht="12.75" hidden="1" customHeight="1">
      <c r="B6" s="1210"/>
      <c r="C6" s="1210"/>
      <c r="D6" s="1210"/>
      <c r="E6" s="1210"/>
      <c r="F6" s="1210"/>
      <c r="G6" s="1210"/>
      <c r="H6" s="1210"/>
      <c r="I6" s="1210"/>
      <c r="J6" s="1210"/>
      <c r="K6" s="1210"/>
      <c r="L6" s="1210"/>
      <c r="M6" s="1210"/>
      <c r="N6" s="1210"/>
      <c r="O6" s="1210"/>
      <c r="P6" s="1210"/>
      <c r="Q6" s="1210"/>
      <c r="R6" s="1210"/>
      <c r="S6" s="1210"/>
      <c r="T6" s="1210"/>
      <c r="U6" s="1210"/>
      <c r="V6" s="1210"/>
    </row>
    <row r="7" spans="2:22" ht="26.25" hidden="1" customHeight="1">
      <c r="B7" s="1477" t="s">
        <v>1164</v>
      </c>
      <c r="C7" s="1477"/>
      <c r="D7" s="1477"/>
      <c r="E7" s="1477"/>
      <c r="F7" s="1477"/>
      <c r="G7" s="1477"/>
      <c r="H7" s="1477"/>
      <c r="I7" s="1477"/>
      <c r="J7" s="1477"/>
      <c r="K7" s="1477"/>
      <c r="L7" s="1477"/>
      <c r="M7" s="1477"/>
      <c r="N7" s="1477"/>
      <c r="O7" s="1477"/>
      <c r="P7" s="1477"/>
      <c r="Q7" s="1477"/>
      <c r="R7" s="1477"/>
      <c r="S7" s="1477"/>
      <c r="T7" s="1477"/>
      <c r="U7" s="1477"/>
      <c r="V7" s="1477"/>
    </row>
    <row r="8" spans="2:22" ht="26.25" hidden="1" customHeight="1">
      <c r="B8" s="1477"/>
      <c r="C8" s="1477"/>
      <c r="D8" s="1477"/>
      <c r="E8" s="1477"/>
      <c r="F8" s="1477"/>
      <c r="G8" s="1477"/>
      <c r="H8" s="1477"/>
      <c r="I8" s="1477"/>
      <c r="J8" s="1477"/>
      <c r="K8" s="1477"/>
      <c r="L8" s="1477"/>
      <c r="M8" s="1477"/>
      <c r="N8" s="1477"/>
      <c r="O8" s="1477"/>
      <c r="P8" s="1477"/>
      <c r="Q8" s="1477"/>
      <c r="R8" s="1477"/>
      <c r="S8" s="1477"/>
      <c r="T8" s="1477"/>
      <c r="U8" s="1477"/>
      <c r="V8" s="1477"/>
    </row>
    <row r="9" spans="2:22" hidden="1">
      <c r="B9" s="1477"/>
      <c r="C9" s="1477"/>
      <c r="D9" s="1477"/>
      <c r="E9" s="1477"/>
      <c r="F9" s="1477"/>
      <c r="G9" s="1477"/>
      <c r="H9" s="1477"/>
      <c r="I9" s="1477"/>
      <c r="J9" s="1477"/>
      <c r="K9" s="1477"/>
      <c r="L9" s="1477"/>
      <c r="M9" s="1477"/>
      <c r="N9" s="1477"/>
      <c r="O9" s="1477"/>
      <c r="P9" s="1477"/>
      <c r="Q9" s="1477"/>
      <c r="R9" s="1477"/>
      <c r="S9" s="1477"/>
      <c r="T9" s="1477"/>
      <c r="U9" s="1477"/>
      <c r="V9" s="1477"/>
    </row>
    <row r="10" spans="2:22" hidden="1"/>
    <row r="44" spans="4:8" s="1199" customFormat="1" ht="20.25">
      <c r="D44" s="1199" t="s">
        <v>1112</v>
      </c>
      <c r="E44" s="1199">
        <v>2020</v>
      </c>
      <c r="F44" s="1199">
        <v>2030</v>
      </c>
      <c r="G44" s="1199">
        <v>2040</v>
      </c>
      <c r="H44" s="1199">
        <v>2050</v>
      </c>
    </row>
    <row r="45" spans="4:8" s="1199" customFormat="1" ht="20.25">
      <c r="D45" s="1200" t="s">
        <v>581</v>
      </c>
      <c r="E45" s="1215">
        <v>3.6</v>
      </c>
      <c r="F45" s="1215">
        <v>3.5</v>
      </c>
      <c r="G45" s="1215">
        <f>AVERAGE(F45,H45)</f>
        <v>3.45</v>
      </c>
      <c r="H45" s="1215">
        <v>3.4</v>
      </c>
    </row>
    <row r="46" spans="4:8" s="1199" customFormat="1" ht="20.25">
      <c r="D46" s="1199" t="s">
        <v>1113</v>
      </c>
      <c r="E46" s="1205">
        <v>3.4</v>
      </c>
      <c r="F46" s="1205">
        <v>3.2</v>
      </c>
      <c r="G46" s="1205">
        <f>AVERAGE(F46,H46)</f>
        <v>3.1500000000000004</v>
      </c>
      <c r="H46" s="1205">
        <v>3.1</v>
      </c>
    </row>
    <row r="47" spans="4:8" s="1199" customFormat="1" ht="20.25">
      <c r="D47" s="1199" t="s">
        <v>618</v>
      </c>
      <c r="E47" s="1205">
        <v>4.0999999999999996</v>
      </c>
      <c r="F47" s="1205">
        <v>3.8</v>
      </c>
      <c r="G47" s="1205">
        <f t="shared" ref="G47:G48" si="0">AVERAGE(F47,H47)</f>
        <v>3.65</v>
      </c>
      <c r="H47" s="1205">
        <v>3.5</v>
      </c>
    </row>
    <row r="48" spans="4:8" s="1199" customFormat="1" ht="20.25">
      <c r="D48" s="1199" t="s">
        <v>612</v>
      </c>
      <c r="E48" s="1205">
        <v>3.9</v>
      </c>
      <c r="F48" s="1205">
        <v>3.5</v>
      </c>
      <c r="G48" s="1205">
        <f t="shared" si="0"/>
        <v>3.4</v>
      </c>
      <c r="H48" s="1205">
        <v>3.3</v>
      </c>
    </row>
    <row r="49" spans="4:8" s="1199" customFormat="1" ht="20.25">
      <c r="D49" s="1206" t="s">
        <v>1071</v>
      </c>
      <c r="E49" s="1216">
        <v>3.4249999999999998</v>
      </c>
      <c r="F49" s="1216">
        <v>3.4</v>
      </c>
      <c r="G49" s="1216">
        <f>AVERAGE(F49,H49)</f>
        <v>3.3499999999999996</v>
      </c>
      <c r="H49" s="1216">
        <v>3.3</v>
      </c>
    </row>
    <row r="50" spans="4:8" ht="20.25">
      <c r="D50" s="1209"/>
    </row>
  </sheetData>
  <mergeCells count="2">
    <mergeCell ref="B7:V9"/>
    <mergeCell ref="B4:V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D934-FC6A-4A8B-9EA7-7A83C3CAF965}">
  <dimension ref="B1:V53"/>
  <sheetViews>
    <sheetView topLeftCell="B1" zoomScaleNormal="100" workbookViewId="0">
      <selection activeCell="I50" sqref="I50"/>
    </sheetView>
  </sheetViews>
  <sheetFormatPr baseColWidth="10" defaultColWidth="10" defaultRowHeight="14.25"/>
  <cols>
    <col min="1" max="2" width="10" style="1193"/>
    <col min="3" max="3" width="27.125" style="1193" customWidth="1"/>
    <col min="4" max="4" width="12.5" style="1193" customWidth="1"/>
    <col min="5" max="10" width="10" style="1193"/>
    <col min="11" max="11" width="29.875" style="1193" customWidth="1"/>
    <col min="12" max="16384" width="10" style="1193"/>
  </cols>
  <sheetData>
    <row r="1" spans="2:22" ht="6" customHeight="1"/>
    <row r="2" spans="2:22" ht="26.25">
      <c r="B2" s="1197" t="s">
        <v>1151</v>
      </c>
    </row>
    <row r="3" spans="2:22" ht="42" hidden="1" customHeight="1">
      <c r="B3" s="1477" t="s">
        <v>1166</v>
      </c>
      <c r="C3" s="1477"/>
      <c r="D3" s="1477"/>
      <c r="E3" s="1477"/>
      <c r="F3" s="1477"/>
      <c r="G3" s="1477"/>
      <c r="H3" s="1477"/>
      <c r="I3" s="1477"/>
      <c r="J3" s="1477"/>
      <c r="K3" s="1477"/>
      <c r="L3" s="1477"/>
      <c r="M3" s="1477"/>
      <c r="N3" s="1477"/>
      <c r="O3" s="1477"/>
      <c r="P3" s="1477"/>
      <c r="Q3" s="1477"/>
      <c r="R3" s="1477"/>
      <c r="S3" s="1477"/>
      <c r="T3" s="1477"/>
      <c r="U3" s="1477"/>
      <c r="V3" s="1477"/>
    </row>
    <row r="4" spans="2:22" ht="26.25" hidden="1" customHeight="1">
      <c r="B4" s="1477"/>
      <c r="C4" s="1477"/>
      <c r="D4" s="1477"/>
      <c r="E4" s="1477"/>
      <c r="F4" s="1477"/>
      <c r="G4" s="1477"/>
      <c r="H4" s="1477"/>
      <c r="I4" s="1477"/>
      <c r="J4" s="1477"/>
      <c r="K4" s="1477"/>
      <c r="L4" s="1477"/>
      <c r="M4" s="1477"/>
      <c r="N4" s="1477"/>
      <c r="O4" s="1477"/>
      <c r="P4" s="1477"/>
      <c r="Q4" s="1477"/>
      <c r="R4" s="1477"/>
      <c r="S4" s="1477"/>
      <c r="T4" s="1477"/>
      <c r="U4" s="1477"/>
      <c r="V4" s="1477"/>
    </row>
    <row r="5" spans="2:22" ht="18" hidden="1" customHeight="1">
      <c r="B5" s="1477" t="s">
        <v>1167</v>
      </c>
      <c r="C5" s="1477"/>
      <c r="D5" s="1477"/>
      <c r="E5" s="1477"/>
      <c r="F5" s="1477"/>
      <c r="G5" s="1477"/>
      <c r="H5" s="1477"/>
      <c r="I5" s="1477"/>
      <c r="J5" s="1477"/>
      <c r="K5" s="1477"/>
      <c r="L5" s="1477"/>
      <c r="M5" s="1477"/>
      <c r="N5" s="1477"/>
      <c r="O5" s="1477"/>
      <c r="P5" s="1477"/>
      <c r="Q5" s="1477"/>
      <c r="R5" s="1477"/>
      <c r="S5" s="1477"/>
      <c r="T5" s="1477"/>
      <c r="U5" s="1477"/>
      <c r="V5" s="1477"/>
    </row>
    <row r="6" spans="2:22" ht="26.25" hidden="1" customHeight="1">
      <c r="B6" s="1477"/>
      <c r="C6" s="1477"/>
      <c r="D6" s="1477"/>
      <c r="E6" s="1477"/>
      <c r="F6" s="1477"/>
      <c r="G6" s="1477"/>
      <c r="H6" s="1477"/>
      <c r="I6" s="1477"/>
      <c r="J6" s="1477"/>
      <c r="K6" s="1477"/>
      <c r="L6" s="1477"/>
      <c r="M6" s="1477"/>
      <c r="N6" s="1477"/>
      <c r="O6" s="1477"/>
      <c r="P6" s="1477"/>
      <c r="Q6" s="1477"/>
      <c r="R6" s="1477"/>
      <c r="S6" s="1477"/>
      <c r="T6" s="1477"/>
      <c r="U6" s="1477"/>
      <c r="V6" s="1477"/>
    </row>
    <row r="7" spans="2:22" ht="26.25" hidden="1" customHeight="1">
      <c r="B7" s="1477"/>
      <c r="C7" s="1477"/>
      <c r="D7" s="1477"/>
      <c r="E7" s="1477"/>
      <c r="F7" s="1477"/>
      <c r="G7" s="1477"/>
      <c r="H7" s="1477"/>
      <c r="I7" s="1477"/>
      <c r="J7" s="1477"/>
      <c r="K7" s="1477"/>
      <c r="L7" s="1477"/>
      <c r="M7" s="1477"/>
      <c r="N7" s="1477"/>
      <c r="O7" s="1477"/>
      <c r="P7" s="1477"/>
      <c r="Q7" s="1477"/>
      <c r="R7" s="1477"/>
      <c r="S7" s="1477"/>
      <c r="T7" s="1477"/>
      <c r="U7" s="1477"/>
      <c r="V7" s="1477"/>
    </row>
    <row r="42" spans="3:15" ht="15.75">
      <c r="K42" s="1361" t="s">
        <v>1221</v>
      </c>
      <c r="L42" s="1352">
        <v>2020</v>
      </c>
      <c r="M42" s="1355">
        <v>2030</v>
      </c>
      <c r="N42" s="1358">
        <v>2040</v>
      </c>
      <c r="O42" s="1349">
        <v>2050</v>
      </c>
    </row>
    <row r="43" spans="3:15" s="1199" customFormat="1" ht="20.25">
      <c r="C43" s="1199" t="s">
        <v>1168</v>
      </c>
      <c r="D43" s="1199">
        <v>2020</v>
      </c>
      <c r="E43" s="1199">
        <v>2030</v>
      </c>
      <c r="F43" s="1199">
        <v>2040</v>
      </c>
      <c r="G43" s="1199">
        <v>2050</v>
      </c>
      <c r="K43" s="1362" t="s">
        <v>1220</v>
      </c>
      <c r="L43" s="1353">
        <f>+L44+L45</f>
        <v>0.92999999999999994</v>
      </c>
      <c r="M43" s="1356">
        <f>+M44+M45</f>
        <v>0.89999999999999991</v>
      </c>
      <c r="N43" s="1359">
        <f t="shared" ref="N43:O43" si="0">+N44+N45</f>
        <v>0.83499999999999996</v>
      </c>
      <c r="O43" s="1351">
        <f t="shared" si="0"/>
        <v>0.77</v>
      </c>
    </row>
    <row r="44" spans="3:15" s="1199" customFormat="1" ht="20.25">
      <c r="C44" s="1200" t="s">
        <v>581</v>
      </c>
      <c r="D44" s="1201">
        <v>89</v>
      </c>
      <c r="E44" s="1201">
        <v>75</v>
      </c>
      <c r="F44" s="1201">
        <f>AVERAGE(E44,G44)</f>
        <v>57.5</v>
      </c>
      <c r="G44" s="1201">
        <v>40</v>
      </c>
      <c r="K44" s="1361" t="s">
        <v>949</v>
      </c>
      <c r="L44" s="1354">
        <v>0.82</v>
      </c>
      <c r="M44" s="1357">
        <v>0.82</v>
      </c>
      <c r="N44" s="1360">
        <f>+AVERAGE(M44,O44)</f>
        <v>0.78499999999999992</v>
      </c>
      <c r="O44" s="1350">
        <v>0.75</v>
      </c>
    </row>
    <row r="45" spans="3:15" s="1199" customFormat="1" ht="20.25">
      <c r="C45" s="1199" t="s">
        <v>1113</v>
      </c>
      <c r="D45" s="1202">
        <v>100</v>
      </c>
      <c r="E45" s="1202">
        <v>81</v>
      </c>
      <c r="F45" s="1202">
        <f>+AVERAGE(E45,G45)</f>
        <v>67.5</v>
      </c>
      <c r="G45" s="1202">
        <v>54</v>
      </c>
      <c r="K45" s="1361" t="s">
        <v>299</v>
      </c>
      <c r="L45" s="1354">
        <v>0.11</v>
      </c>
      <c r="M45" s="1357">
        <v>0.08</v>
      </c>
      <c r="N45" s="1360">
        <f t="shared" ref="N45" si="1">AVERAGE(M45,O45)</f>
        <v>0.05</v>
      </c>
      <c r="O45" s="1350">
        <v>0.02</v>
      </c>
    </row>
    <row r="46" spans="3:15" s="1199" customFormat="1" ht="20.25">
      <c r="C46" s="1199" t="s">
        <v>618</v>
      </c>
      <c r="D46" s="1202">
        <v>92</v>
      </c>
      <c r="E46" s="1202">
        <v>85</v>
      </c>
      <c r="F46" s="1202">
        <f t="shared" ref="F46:F49" si="2">AVERAGE(E46,G46)</f>
        <v>65</v>
      </c>
      <c r="G46" s="1202">
        <v>45</v>
      </c>
      <c r="K46" s="1361" t="s">
        <v>947</v>
      </c>
      <c r="L46" s="1354"/>
      <c r="M46" s="1357"/>
      <c r="N46" s="1360"/>
      <c r="O46" s="1350"/>
    </row>
    <row r="47" spans="3:15" s="1199" customFormat="1" ht="20.25">
      <c r="C47" s="1199" t="s">
        <v>612</v>
      </c>
      <c r="D47" s="1202">
        <v>85</v>
      </c>
      <c r="E47" s="1202">
        <v>65</v>
      </c>
      <c r="F47" s="1202">
        <f t="shared" si="2"/>
        <v>43.5</v>
      </c>
      <c r="G47" s="1202">
        <v>22</v>
      </c>
      <c r="K47" s="1361" t="s">
        <v>1276</v>
      </c>
      <c r="L47" s="1354"/>
      <c r="M47" s="1357"/>
      <c r="N47" s="1360"/>
      <c r="O47" s="1350"/>
    </row>
    <row r="48" spans="3:15" s="1199" customFormat="1" ht="20.25">
      <c r="C48" s="1206" t="s">
        <v>1071</v>
      </c>
      <c r="D48" s="1207">
        <v>93</v>
      </c>
      <c r="E48" s="1207">
        <v>90</v>
      </c>
      <c r="F48" s="1207">
        <f t="shared" si="2"/>
        <v>83.5</v>
      </c>
      <c r="G48" s="1207">
        <v>77</v>
      </c>
      <c r="K48" s="1361" t="s">
        <v>1277</v>
      </c>
      <c r="L48" s="1354"/>
      <c r="M48" s="1357"/>
      <c r="N48" s="1360"/>
      <c r="O48" s="1350"/>
    </row>
    <row r="49" spans="3:15" ht="20.25">
      <c r="C49" s="1199" t="s">
        <v>1163</v>
      </c>
      <c r="D49" s="1202">
        <v>94</v>
      </c>
      <c r="E49" s="1202">
        <v>78</v>
      </c>
      <c r="F49" s="1202">
        <f t="shared" si="2"/>
        <v>67.5</v>
      </c>
      <c r="G49" s="1202">
        <v>57</v>
      </c>
      <c r="K49" s="1361" t="s">
        <v>911</v>
      </c>
      <c r="L49" s="1354"/>
      <c r="M49" s="1357"/>
      <c r="N49" s="1360"/>
      <c r="O49" s="1350"/>
    </row>
    <row r="50" spans="3:15" ht="18">
      <c r="D50" s="1220"/>
      <c r="E50" s="1220"/>
      <c r="F50" s="1220"/>
      <c r="G50" s="1220"/>
    </row>
    <row r="51" spans="3:15">
      <c r="C51" s="1193" t="s">
        <v>1212</v>
      </c>
    </row>
    <row r="52" spans="3:15">
      <c r="C52" s="1193" t="s">
        <v>299</v>
      </c>
    </row>
    <row r="53" spans="3:15">
      <c r="C53" s="1193" t="s">
        <v>949</v>
      </c>
    </row>
  </sheetData>
  <mergeCells count="2">
    <mergeCell ref="B3:V4"/>
    <mergeCell ref="B5:V7"/>
  </mergeCells>
  <pageMargins left="0.7" right="0.7" top="0.75" bottom="0.75" header="0.3" footer="0.3"/>
  <ignoredErrors>
    <ignoredError sqref="F45" 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C990-75C3-4E1A-8992-02EDCECBC3F1}">
  <dimension ref="B1:V51"/>
  <sheetViews>
    <sheetView zoomScale="90" zoomScaleNormal="90" workbookViewId="0">
      <selection activeCell="L56" sqref="L56"/>
    </sheetView>
  </sheetViews>
  <sheetFormatPr baseColWidth="10" defaultColWidth="10" defaultRowHeight="14.25"/>
  <cols>
    <col min="1" max="3" width="10" style="1193"/>
    <col min="4" max="4" width="22.375" style="1193" customWidth="1"/>
    <col min="5" max="16" width="10" style="1193"/>
    <col min="17" max="17" width="27.375" style="1193" customWidth="1"/>
    <col min="18" max="19" width="10" style="1193"/>
    <col min="20" max="20" width="12.125" style="1193" bestFit="1" customWidth="1"/>
    <col min="21" max="16384" width="10" style="1193"/>
  </cols>
  <sheetData>
    <row r="1" spans="2:22" ht="6" customHeight="1"/>
    <row r="2" spans="2:22" ht="26.25">
      <c r="B2" s="1197" t="s">
        <v>1106</v>
      </c>
    </row>
    <row r="3" spans="2:22" ht="21.75" hidden="1" customHeight="1">
      <c r="B3" s="1477" t="s">
        <v>1170</v>
      </c>
      <c r="C3" s="1477"/>
      <c r="D3" s="1477"/>
      <c r="E3" s="1477"/>
      <c r="F3" s="1477"/>
      <c r="G3" s="1477"/>
      <c r="H3" s="1477"/>
      <c r="I3" s="1477"/>
      <c r="J3" s="1477"/>
      <c r="K3" s="1477"/>
      <c r="L3" s="1477"/>
      <c r="M3" s="1477"/>
      <c r="N3" s="1477"/>
      <c r="O3" s="1477"/>
      <c r="P3" s="1477"/>
      <c r="Q3" s="1477"/>
      <c r="R3" s="1477"/>
      <c r="S3" s="1477"/>
      <c r="T3" s="1477"/>
      <c r="U3" s="1477"/>
      <c r="V3" s="1477"/>
    </row>
    <row r="4" spans="2:22" ht="21.75" hidden="1" customHeight="1">
      <c r="B4" s="1477"/>
      <c r="C4" s="1477"/>
      <c r="D4" s="1477"/>
      <c r="E4" s="1477"/>
      <c r="F4" s="1477"/>
      <c r="G4" s="1477"/>
      <c r="H4" s="1477"/>
      <c r="I4" s="1477"/>
      <c r="J4" s="1477"/>
      <c r="K4" s="1477"/>
      <c r="L4" s="1477"/>
      <c r="M4" s="1477"/>
      <c r="N4" s="1477"/>
      <c r="O4" s="1477"/>
      <c r="P4" s="1477"/>
      <c r="Q4" s="1477"/>
      <c r="R4" s="1477"/>
      <c r="S4" s="1477"/>
      <c r="T4" s="1477"/>
      <c r="U4" s="1477"/>
      <c r="V4" s="1477"/>
    </row>
    <row r="5" spans="2:22" ht="8.25" hidden="1" customHeight="1">
      <c r="D5" s="1197"/>
    </row>
    <row r="6" spans="2:22" ht="24.75" hidden="1" customHeight="1">
      <c r="B6" s="1477" t="s">
        <v>1171</v>
      </c>
      <c r="C6" s="1477"/>
      <c r="D6" s="1477"/>
      <c r="E6" s="1477"/>
      <c r="F6" s="1477"/>
      <c r="G6" s="1477"/>
      <c r="H6" s="1477"/>
      <c r="I6" s="1477"/>
      <c r="J6" s="1477"/>
      <c r="K6" s="1477"/>
      <c r="L6" s="1477"/>
      <c r="M6" s="1477"/>
      <c r="N6" s="1477"/>
      <c r="O6" s="1477"/>
      <c r="P6" s="1477"/>
      <c r="Q6" s="1477"/>
      <c r="R6" s="1477"/>
      <c r="S6" s="1477"/>
      <c r="T6" s="1477"/>
      <c r="U6" s="1477"/>
      <c r="V6" s="1477"/>
    </row>
    <row r="7" spans="2:22" ht="17.25" hidden="1" customHeight="1">
      <c r="D7" s="1197"/>
    </row>
    <row r="8" spans="2:22" ht="21.75" hidden="1" customHeight="1">
      <c r="B8" s="1477" t="s">
        <v>1172</v>
      </c>
      <c r="C8" s="1477"/>
      <c r="D8" s="1477"/>
      <c r="E8" s="1477"/>
      <c r="F8" s="1477"/>
      <c r="G8" s="1477"/>
      <c r="H8" s="1477"/>
      <c r="I8" s="1477"/>
      <c r="J8" s="1477"/>
      <c r="K8" s="1477"/>
      <c r="L8" s="1477"/>
      <c r="M8" s="1477"/>
      <c r="N8" s="1477"/>
      <c r="O8" s="1477"/>
      <c r="P8" s="1477"/>
      <c r="Q8" s="1477"/>
      <c r="R8" s="1477"/>
      <c r="S8" s="1477"/>
      <c r="T8" s="1477"/>
      <c r="U8" s="1477"/>
      <c r="V8" s="1477"/>
    </row>
    <row r="9" spans="2:22" ht="17.25" hidden="1" customHeight="1">
      <c r="B9" s="1477"/>
      <c r="C9" s="1477"/>
      <c r="D9" s="1477"/>
      <c r="E9" s="1477"/>
      <c r="F9" s="1477"/>
      <c r="G9" s="1477"/>
      <c r="H9" s="1477"/>
      <c r="I9" s="1477"/>
      <c r="J9" s="1477"/>
      <c r="K9" s="1477"/>
      <c r="L9" s="1477"/>
      <c r="M9" s="1477"/>
      <c r="N9" s="1477"/>
      <c r="O9" s="1477"/>
      <c r="P9" s="1477"/>
      <c r="Q9" s="1477"/>
      <c r="R9" s="1477"/>
      <c r="S9" s="1477"/>
      <c r="T9" s="1477"/>
      <c r="U9" s="1477"/>
      <c r="V9" s="1477"/>
    </row>
    <row r="10" spans="2:22" ht="20.25" customHeight="1">
      <c r="B10" s="1217"/>
      <c r="C10" s="1217"/>
      <c r="D10" s="1217"/>
      <c r="E10" s="1217"/>
      <c r="F10" s="1217"/>
      <c r="G10" s="1217"/>
      <c r="H10" s="1217"/>
      <c r="I10" s="1217"/>
      <c r="J10" s="1217"/>
      <c r="K10" s="1217"/>
      <c r="L10" s="1217"/>
      <c r="M10" s="1217"/>
      <c r="N10" s="1217"/>
      <c r="O10" s="1217"/>
      <c r="P10" s="1217"/>
      <c r="Q10" s="1217"/>
      <c r="R10" s="1217"/>
      <c r="S10" s="1217"/>
      <c r="T10" s="1217"/>
      <c r="U10" s="1217"/>
      <c r="V10" s="1217"/>
    </row>
    <row r="45" spans="4:21" s="1199" customFormat="1" ht="20.25">
      <c r="D45" s="1199" t="s">
        <v>953</v>
      </c>
      <c r="E45" s="1199">
        <v>2020</v>
      </c>
      <c r="F45" s="1199">
        <v>2030</v>
      </c>
      <c r="G45" s="1199">
        <v>2040</v>
      </c>
      <c r="H45" s="1199">
        <v>2050</v>
      </c>
      <c r="J45" s="1199" t="s">
        <v>951</v>
      </c>
      <c r="K45" s="1199">
        <v>2020</v>
      </c>
      <c r="L45" s="1199">
        <v>2030</v>
      </c>
      <c r="M45" s="1199">
        <v>2040</v>
      </c>
      <c r="N45" s="1199">
        <v>2050</v>
      </c>
      <c r="Q45" s="1361" t="s">
        <v>1221</v>
      </c>
      <c r="R45" s="1352">
        <v>2020</v>
      </c>
      <c r="S45" s="1355">
        <v>2030</v>
      </c>
      <c r="T45" s="1358">
        <v>2040</v>
      </c>
      <c r="U45" s="1349">
        <v>2050</v>
      </c>
    </row>
    <row r="46" spans="4:21" s="1199" customFormat="1" ht="20.25">
      <c r="D46" s="1200" t="s">
        <v>581</v>
      </c>
      <c r="E46" s="1201">
        <v>11</v>
      </c>
      <c r="F46" s="1201">
        <v>24</v>
      </c>
      <c r="G46" s="1201">
        <v>42.5</v>
      </c>
      <c r="H46" s="1201">
        <v>50</v>
      </c>
      <c r="J46" s="1200" t="s">
        <v>581</v>
      </c>
      <c r="K46" s="1201">
        <v>3</v>
      </c>
      <c r="L46" s="1201">
        <v>4</v>
      </c>
      <c r="M46" s="1201">
        <f>AVERAGE(L46,N46)</f>
        <v>7</v>
      </c>
      <c r="N46" s="1201">
        <v>10</v>
      </c>
      <c r="Q46" s="1362" t="s">
        <v>1222</v>
      </c>
      <c r="R46" s="1353">
        <v>0.03</v>
      </c>
      <c r="S46" s="1356">
        <v>0.05</v>
      </c>
      <c r="T46" s="1359">
        <f>+AVERAGE(S46,U46)</f>
        <v>6.5000000000000002E-2</v>
      </c>
      <c r="U46" s="1351">
        <v>0.08</v>
      </c>
    </row>
    <row r="47" spans="4:21" s="1199" customFormat="1" ht="20.25">
      <c r="D47" s="1199" t="s">
        <v>1113</v>
      </c>
      <c r="E47" s="1202">
        <v>0</v>
      </c>
      <c r="F47" s="1202">
        <v>19</v>
      </c>
      <c r="G47" s="1202">
        <v>32.5</v>
      </c>
      <c r="H47" s="1202">
        <v>46</v>
      </c>
      <c r="J47" s="1199" t="s">
        <v>1113</v>
      </c>
      <c r="K47" s="1202">
        <v>0</v>
      </c>
      <c r="L47" s="1202">
        <v>8</v>
      </c>
      <c r="M47" s="1202">
        <f>+AVERAGE(L47,N47)</f>
        <v>15.5</v>
      </c>
      <c r="N47" s="1202">
        <v>23</v>
      </c>
      <c r="Q47" s="1361" t="s">
        <v>1223</v>
      </c>
      <c r="R47" s="1354">
        <v>0.01</v>
      </c>
      <c r="S47" s="1357">
        <v>0.02</v>
      </c>
      <c r="T47" s="1360">
        <f>+AVERAGE(S47,U47)</f>
        <v>0.03</v>
      </c>
      <c r="U47" s="1350">
        <v>0.04</v>
      </c>
    </row>
    <row r="48" spans="4:21" s="1199" customFormat="1" ht="20.25">
      <c r="D48" s="1199" t="s">
        <v>618</v>
      </c>
      <c r="E48" s="1202">
        <v>8</v>
      </c>
      <c r="F48" s="1202">
        <v>15</v>
      </c>
      <c r="G48" s="1202">
        <v>35</v>
      </c>
      <c r="H48" s="1202">
        <v>55</v>
      </c>
      <c r="J48" s="1199" t="s">
        <v>618</v>
      </c>
      <c r="K48" s="1202">
        <v>1</v>
      </c>
      <c r="L48" s="1202">
        <v>3</v>
      </c>
      <c r="M48" s="1202">
        <f t="shared" ref="M48:M50" si="0">AVERAGE(L48,N48)</f>
        <v>6.5</v>
      </c>
      <c r="N48" s="1202">
        <v>10</v>
      </c>
      <c r="Q48" s="1361" t="s">
        <v>1224</v>
      </c>
      <c r="R48" s="1354">
        <v>0.01</v>
      </c>
      <c r="S48" s="1357">
        <v>0.02</v>
      </c>
      <c r="T48" s="1360">
        <f t="shared" ref="T48" si="1">AVERAGE(S48,U48)</f>
        <v>2.5000000000000001E-2</v>
      </c>
      <c r="U48" s="1350">
        <v>0.03</v>
      </c>
    </row>
    <row r="49" spans="4:21" s="1199" customFormat="1" ht="20.25">
      <c r="D49" s="1199" t="s">
        <v>612</v>
      </c>
      <c r="E49" s="1202">
        <v>15</v>
      </c>
      <c r="F49" s="1202">
        <v>35</v>
      </c>
      <c r="G49" s="1202">
        <v>56.5</v>
      </c>
      <c r="H49" s="1202">
        <v>78</v>
      </c>
      <c r="J49" s="1199" t="s">
        <v>612</v>
      </c>
      <c r="K49" s="1202">
        <v>1</v>
      </c>
      <c r="L49" s="1202">
        <v>7</v>
      </c>
      <c r="M49" s="1202">
        <f t="shared" si="0"/>
        <v>14.5</v>
      </c>
      <c r="N49" s="1202">
        <v>22</v>
      </c>
      <c r="Q49" s="1361" t="s">
        <v>1225</v>
      </c>
      <c r="R49" s="1354">
        <v>0.01</v>
      </c>
      <c r="S49" s="1357">
        <v>0.01</v>
      </c>
      <c r="T49" s="1360">
        <f>+AVERAGE(S49,U49)</f>
        <v>0.02</v>
      </c>
      <c r="U49" s="1350">
        <v>0.03</v>
      </c>
    </row>
    <row r="50" spans="4:21" s="1199" customFormat="1" ht="20.25">
      <c r="D50" s="1206" t="s">
        <v>1071</v>
      </c>
      <c r="E50" s="1207">
        <v>5</v>
      </c>
      <c r="F50" s="1207">
        <v>10</v>
      </c>
      <c r="G50" s="1207">
        <f t="shared" ref="G50" si="2">AVERAGE(F50,H50)</f>
        <v>14</v>
      </c>
      <c r="H50" s="1207">
        <v>18</v>
      </c>
      <c r="J50" s="1206" t="s">
        <v>588</v>
      </c>
      <c r="K50" s="1207">
        <v>3</v>
      </c>
      <c r="L50" s="1207">
        <v>5</v>
      </c>
      <c r="M50" s="1207">
        <f t="shared" si="0"/>
        <v>7.5</v>
      </c>
      <c r="N50" s="1207">
        <v>10</v>
      </c>
    </row>
    <row r="51" spans="4:21" ht="20.25">
      <c r="D51" s="1209" t="s">
        <v>1163</v>
      </c>
      <c r="E51" s="1202">
        <v>6</v>
      </c>
      <c r="F51" s="1202">
        <v>22</v>
      </c>
      <c r="G51" s="1202">
        <f>+AVERAGE(F51,H51)</f>
        <v>32.5</v>
      </c>
      <c r="H51" s="1202">
        <v>43</v>
      </c>
      <c r="K51" s="1345">
        <f>+K50+E50</f>
        <v>8</v>
      </c>
      <c r="L51" s="1345">
        <f t="shared" ref="L51:N51" si="3">+L50+F50</f>
        <v>15</v>
      </c>
      <c r="M51" s="1345">
        <f t="shared" si="3"/>
        <v>21.5</v>
      </c>
      <c r="N51" s="1345">
        <f t="shared" si="3"/>
        <v>28</v>
      </c>
      <c r="Q51" s="1193" t="s">
        <v>1269</v>
      </c>
    </row>
  </sheetData>
  <mergeCells count="3">
    <mergeCell ref="B3:V4"/>
    <mergeCell ref="B6:V6"/>
    <mergeCell ref="B8:V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3AC6-3F78-4DEF-B8F3-F6162C1773BC}">
  <dimension ref="B1:V52"/>
  <sheetViews>
    <sheetView topLeftCell="A32" zoomScale="90" zoomScaleNormal="90" workbookViewId="0">
      <selection activeCell="D55" sqref="D55"/>
    </sheetView>
  </sheetViews>
  <sheetFormatPr baseColWidth="10" defaultColWidth="10" defaultRowHeight="14.25"/>
  <cols>
    <col min="1" max="3" width="10" style="1193"/>
    <col min="4" max="4" width="22.375" style="1193" customWidth="1"/>
    <col min="5" max="16" width="10" style="1193"/>
    <col min="17" max="17" width="27.375" style="1193" customWidth="1"/>
    <col min="18" max="19" width="10" style="1193"/>
    <col min="20" max="20" width="12.125" style="1193" bestFit="1" customWidth="1"/>
    <col min="21" max="16384" width="10" style="1193"/>
  </cols>
  <sheetData>
    <row r="1" spans="2:22" ht="6" customHeight="1"/>
    <row r="2" spans="2:22" ht="26.25">
      <c r="B2" s="1197" t="s">
        <v>1150</v>
      </c>
    </row>
    <row r="3" spans="2:22" ht="21.75" hidden="1" customHeight="1">
      <c r="B3" s="1477" t="s">
        <v>1170</v>
      </c>
      <c r="C3" s="1477"/>
      <c r="D3" s="1477"/>
      <c r="E3" s="1477"/>
      <c r="F3" s="1477"/>
      <c r="G3" s="1477"/>
      <c r="H3" s="1477"/>
      <c r="I3" s="1477"/>
      <c r="J3" s="1477"/>
      <c r="K3" s="1477"/>
      <c r="L3" s="1477"/>
      <c r="M3" s="1477"/>
      <c r="N3" s="1477"/>
      <c r="O3" s="1477"/>
      <c r="P3" s="1477"/>
      <c r="Q3" s="1477"/>
      <c r="R3" s="1477"/>
      <c r="S3" s="1477"/>
      <c r="T3" s="1477"/>
      <c r="U3" s="1477"/>
      <c r="V3" s="1477"/>
    </row>
    <row r="4" spans="2:22" ht="21.75" hidden="1" customHeight="1">
      <c r="B4" s="1477"/>
      <c r="C4" s="1477"/>
      <c r="D4" s="1477"/>
      <c r="E4" s="1477"/>
      <c r="F4" s="1477"/>
      <c r="G4" s="1477"/>
      <c r="H4" s="1477"/>
      <c r="I4" s="1477"/>
      <c r="J4" s="1477"/>
      <c r="K4" s="1477"/>
      <c r="L4" s="1477"/>
      <c r="M4" s="1477"/>
      <c r="N4" s="1477"/>
      <c r="O4" s="1477"/>
      <c r="P4" s="1477"/>
      <c r="Q4" s="1477"/>
      <c r="R4" s="1477"/>
      <c r="S4" s="1477"/>
      <c r="T4" s="1477"/>
      <c r="U4" s="1477"/>
      <c r="V4" s="1477"/>
    </row>
    <row r="5" spans="2:22" ht="8.25" hidden="1" customHeight="1">
      <c r="D5" s="1197"/>
    </row>
    <row r="6" spans="2:22" ht="24.75" hidden="1" customHeight="1">
      <c r="B6" s="1477" t="s">
        <v>1171</v>
      </c>
      <c r="C6" s="1477"/>
      <c r="D6" s="1477"/>
      <c r="E6" s="1477"/>
      <c r="F6" s="1477"/>
      <c r="G6" s="1477"/>
      <c r="H6" s="1477"/>
      <c r="I6" s="1477"/>
      <c r="J6" s="1477"/>
      <c r="K6" s="1477"/>
      <c r="L6" s="1477"/>
      <c r="M6" s="1477"/>
      <c r="N6" s="1477"/>
      <c r="O6" s="1477"/>
      <c r="P6" s="1477"/>
      <c r="Q6" s="1477"/>
      <c r="R6" s="1477"/>
      <c r="S6" s="1477"/>
      <c r="T6" s="1477"/>
      <c r="U6" s="1477"/>
      <c r="V6" s="1477"/>
    </row>
    <row r="7" spans="2:22" ht="17.25" hidden="1" customHeight="1">
      <c r="D7" s="1197"/>
    </row>
    <row r="8" spans="2:22" ht="21.75" hidden="1" customHeight="1">
      <c r="B8" s="1477" t="s">
        <v>1172</v>
      </c>
      <c r="C8" s="1477"/>
      <c r="D8" s="1477"/>
      <c r="E8" s="1477"/>
      <c r="F8" s="1477"/>
      <c r="G8" s="1477"/>
      <c r="H8" s="1477"/>
      <c r="I8" s="1477"/>
      <c r="J8" s="1477"/>
      <c r="K8" s="1477"/>
      <c r="L8" s="1477"/>
      <c r="M8" s="1477"/>
      <c r="N8" s="1477"/>
      <c r="O8" s="1477"/>
      <c r="P8" s="1477"/>
      <c r="Q8" s="1477"/>
      <c r="R8" s="1477"/>
      <c r="S8" s="1477"/>
      <c r="T8" s="1477"/>
      <c r="U8" s="1477"/>
      <c r="V8" s="1477"/>
    </row>
    <row r="9" spans="2:22" ht="17.25" hidden="1" customHeight="1">
      <c r="B9" s="1477"/>
      <c r="C9" s="1477"/>
      <c r="D9" s="1477"/>
      <c r="E9" s="1477"/>
      <c r="F9" s="1477"/>
      <c r="G9" s="1477"/>
      <c r="H9" s="1477"/>
      <c r="I9" s="1477"/>
      <c r="J9" s="1477"/>
      <c r="K9" s="1477"/>
      <c r="L9" s="1477"/>
      <c r="M9" s="1477"/>
      <c r="N9" s="1477"/>
      <c r="O9" s="1477"/>
      <c r="P9" s="1477"/>
      <c r="Q9" s="1477"/>
      <c r="R9" s="1477"/>
      <c r="S9" s="1477"/>
      <c r="T9" s="1477"/>
      <c r="U9" s="1477"/>
      <c r="V9" s="1477"/>
    </row>
    <row r="10" spans="2:22" ht="20.25" customHeight="1">
      <c r="B10" s="1217"/>
      <c r="C10" s="1217"/>
      <c r="D10" s="1217"/>
      <c r="E10" s="1217"/>
      <c r="F10" s="1217"/>
      <c r="G10" s="1217"/>
      <c r="H10" s="1217"/>
      <c r="I10" s="1217"/>
      <c r="J10" s="1217"/>
      <c r="K10" s="1217"/>
      <c r="L10" s="1217"/>
      <c r="M10" s="1217"/>
      <c r="N10" s="1217"/>
      <c r="O10" s="1217"/>
      <c r="P10" s="1217"/>
      <c r="Q10" s="1217"/>
      <c r="R10" s="1217"/>
      <c r="S10" s="1217"/>
      <c r="T10" s="1217"/>
      <c r="U10" s="1217"/>
      <c r="V10" s="1217"/>
    </row>
    <row r="45" spans="4:21" s="1199" customFormat="1" ht="20.25">
      <c r="D45" s="1199" t="s">
        <v>1308</v>
      </c>
      <c r="E45" s="1199">
        <v>2020</v>
      </c>
      <c r="F45" s="1199">
        <v>2030</v>
      </c>
      <c r="G45" s="1199">
        <v>2040</v>
      </c>
      <c r="H45" s="1199">
        <v>2050</v>
      </c>
      <c r="J45" s="1199" t="s">
        <v>951</v>
      </c>
      <c r="K45" s="1199">
        <v>2020</v>
      </c>
      <c r="L45" s="1199">
        <v>2030</v>
      </c>
      <c r="M45" s="1199">
        <v>2040</v>
      </c>
      <c r="N45" s="1199">
        <v>2050</v>
      </c>
      <c r="Q45" s="1361" t="s">
        <v>1221</v>
      </c>
      <c r="R45" s="1352">
        <v>2020</v>
      </c>
      <c r="S45" s="1355">
        <v>2030</v>
      </c>
      <c r="T45" s="1358">
        <v>2040</v>
      </c>
      <c r="U45" s="1349">
        <v>2050</v>
      </c>
    </row>
    <row r="46" spans="4:21" s="1199" customFormat="1" ht="20.25">
      <c r="D46" s="1200" t="s">
        <v>581</v>
      </c>
      <c r="E46" s="1201">
        <v>8</v>
      </c>
      <c r="F46" s="1201">
        <v>20</v>
      </c>
      <c r="G46" s="1201">
        <f>+AVERAGE(F46,H46)</f>
        <v>30</v>
      </c>
      <c r="H46" s="1201">
        <v>40</v>
      </c>
      <c r="J46" s="1200" t="s">
        <v>581</v>
      </c>
      <c r="K46" s="1201">
        <v>3</v>
      </c>
      <c r="L46" s="1201">
        <v>4</v>
      </c>
      <c r="M46" s="1201">
        <f>AVERAGE(L46,N46)</f>
        <v>7</v>
      </c>
      <c r="N46" s="1201">
        <v>10</v>
      </c>
      <c r="Q46" s="1362" t="s">
        <v>1222</v>
      </c>
      <c r="R46" s="1353">
        <v>0.03</v>
      </c>
      <c r="S46" s="1356">
        <v>0.05</v>
      </c>
      <c r="T46" s="1359">
        <f>+AVERAGE(S46,U46)</f>
        <v>6.5000000000000002E-2</v>
      </c>
      <c r="U46" s="1351">
        <v>0.08</v>
      </c>
    </row>
    <row r="47" spans="4:21" s="1199" customFormat="1" ht="20.25">
      <c r="D47" s="1199" t="s">
        <v>1113</v>
      </c>
      <c r="E47" s="1202">
        <v>0</v>
      </c>
      <c r="F47" s="1202">
        <v>4</v>
      </c>
      <c r="G47" s="1202">
        <f>+AVERAGE(F47,H47)</f>
        <v>11</v>
      </c>
      <c r="H47" s="1202">
        <v>18</v>
      </c>
      <c r="J47" s="1199" t="s">
        <v>1113</v>
      </c>
      <c r="K47" s="1202">
        <v>0</v>
      </c>
      <c r="L47" s="1202">
        <v>8</v>
      </c>
      <c r="M47" s="1202">
        <f>+AVERAGE(L47,N47)</f>
        <v>15.5</v>
      </c>
      <c r="N47" s="1202">
        <v>23</v>
      </c>
      <c r="Q47" s="1361" t="s">
        <v>1223</v>
      </c>
      <c r="R47" s="1354">
        <v>0.01</v>
      </c>
      <c r="S47" s="1357">
        <v>0.02</v>
      </c>
      <c r="T47" s="1360">
        <f>+AVERAGE(S47,U47)</f>
        <v>0.03</v>
      </c>
      <c r="U47" s="1350">
        <v>0.04</v>
      </c>
    </row>
    <row r="48" spans="4:21" s="1199" customFormat="1" ht="20.25">
      <c r="D48" s="1199" t="s">
        <v>618</v>
      </c>
      <c r="E48" s="1202">
        <v>7</v>
      </c>
      <c r="F48" s="1202">
        <v>12</v>
      </c>
      <c r="G48" s="1202">
        <f t="shared" ref="G48:G49" si="0">+AVERAGE(F48,H48)</f>
        <v>26</v>
      </c>
      <c r="H48" s="1202">
        <v>40</v>
      </c>
      <c r="J48" s="1199" t="s">
        <v>618</v>
      </c>
      <c r="K48" s="1202">
        <v>1</v>
      </c>
      <c r="L48" s="1202">
        <v>3</v>
      </c>
      <c r="M48" s="1202">
        <f t="shared" ref="M48:M50" si="1">AVERAGE(L48,N48)</f>
        <v>6.5</v>
      </c>
      <c r="N48" s="1202">
        <v>10</v>
      </c>
      <c r="Q48" s="1361" t="s">
        <v>1224</v>
      </c>
      <c r="R48" s="1354">
        <v>0.01</v>
      </c>
      <c r="S48" s="1357">
        <v>0.02</v>
      </c>
      <c r="T48" s="1360">
        <v>0.02</v>
      </c>
      <c r="U48" s="1350">
        <v>0.02</v>
      </c>
    </row>
    <row r="49" spans="4:21" s="1199" customFormat="1" ht="20.25">
      <c r="D49" s="1199" t="s">
        <v>612</v>
      </c>
      <c r="E49" s="1202">
        <v>14</v>
      </c>
      <c r="F49" s="1202">
        <v>23</v>
      </c>
      <c r="G49" s="1202">
        <f t="shared" si="0"/>
        <v>33</v>
      </c>
      <c r="H49" s="1202">
        <v>43</v>
      </c>
      <c r="J49" s="1199" t="s">
        <v>612</v>
      </c>
      <c r="K49" s="1202">
        <v>1</v>
      </c>
      <c r="L49" s="1202">
        <v>7</v>
      </c>
      <c r="M49" s="1202">
        <f t="shared" si="1"/>
        <v>14.5</v>
      </c>
      <c r="N49" s="1202">
        <v>22</v>
      </c>
      <c r="Q49" s="1361" t="s">
        <v>1225</v>
      </c>
      <c r="R49" s="1354">
        <v>0.01</v>
      </c>
      <c r="S49" s="1357">
        <v>0.01</v>
      </c>
      <c r="T49" s="1360">
        <f>+AVERAGE(S49,U49)</f>
        <v>1.4999999999999999E-2</v>
      </c>
      <c r="U49" s="1350">
        <v>0.02</v>
      </c>
    </row>
    <row r="50" spans="4:21" s="1199" customFormat="1" ht="20.25">
      <c r="D50" s="1206" t="s">
        <v>1071</v>
      </c>
      <c r="E50" s="1207">
        <v>3</v>
      </c>
      <c r="F50" s="1207">
        <v>5</v>
      </c>
      <c r="G50" s="1207">
        <v>7</v>
      </c>
      <c r="H50" s="1207">
        <v>8</v>
      </c>
      <c r="J50" s="1206" t="s">
        <v>588</v>
      </c>
      <c r="K50" s="1207">
        <v>3</v>
      </c>
      <c r="L50" s="1207">
        <v>5</v>
      </c>
      <c r="M50" s="1207">
        <f t="shared" si="1"/>
        <v>7.5</v>
      </c>
      <c r="N50" s="1207">
        <v>10</v>
      </c>
      <c r="Q50" s="1361" t="s">
        <v>1278</v>
      </c>
      <c r="R50" s="1354"/>
      <c r="S50" s="1357"/>
      <c r="T50" s="1360"/>
      <c r="U50" s="1350"/>
    </row>
    <row r="51" spans="4:21" ht="20.25">
      <c r="D51" s="1209"/>
      <c r="E51" s="1202"/>
      <c r="F51" s="1202"/>
      <c r="G51" s="1202"/>
      <c r="H51" s="1202"/>
      <c r="K51" s="1345">
        <f>+K50+E50</f>
        <v>6</v>
      </c>
      <c r="L51" s="1345">
        <f t="shared" ref="L51:N51" si="2">+L50+F50</f>
        <v>10</v>
      </c>
      <c r="M51" s="1345">
        <f t="shared" si="2"/>
        <v>14.5</v>
      </c>
      <c r="N51" s="1345">
        <f t="shared" si="2"/>
        <v>18</v>
      </c>
      <c r="Q51" s="1361" t="s">
        <v>1279</v>
      </c>
      <c r="R51" s="1354"/>
      <c r="S51" s="1357"/>
      <c r="T51" s="1360"/>
      <c r="U51" s="1350"/>
    </row>
    <row r="52" spans="4:21" ht="15.75">
      <c r="Q52" s="1361" t="s">
        <v>1280</v>
      </c>
      <c r="R52" s="1354"/>
      <c r="S52" s="1357"/>
      <c r="T52" s="1360"/>
      <c r="U52" s="1350"/>
    </row>
  </sheetData>
  <mergeCells count="3">
    <mergeCell ref="B3:V4"/>
    <mergeCell ref="B6:V6"/>
    <mergeCell ref="B8:V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6A54-0297-4E3D-9FE4-9857DD3623F5}">
  <dimension ref="C1:R44"/>
  <sheetViews>
    <sheetView topLeftCell="B19" zoomScaleNormal="100" workbookViewId="0">
      <selection activeCell="I47" sqref="I47"/>
    </sheetView>
  </sheetViews>
  <sheetFormatPr baseColWidth="10" defaultColWidth="10" defaultRowHeight="14.25"/>
  <cols>
    <col min="1" max="2" width="10" style="1193"/>
    <col min="3" max="3" width="16.75" style="1193" customWidth="1"/>
    <col min="4" max="13" width="10" style="1193"/>
    <col min="14" max="14" width="25" style="1193" customWidth="1"/>
    <col min="15" max="16384" width="10" style="1193"/>
  </cols>
  <sheetData>
    <row r="1" spans="3:3" ht="6" customHeight="1"/>
    <row r="2" spans="3:3" ht="26.25">
      <c r="C2" s="1197" t="s">
        <v>1152</v>
      </c>
    </row>
    <row r="38" spans="3:18" s="1199" customFormat="1" ht="20.25">
      <c r="C38" s="1199" t="s">
        <v>951</v>
      </c>
      <c r="D38" s="1199">
        <v>2020</v>
      </c>
      <c r="E38" s="1199">
        <v>2030</v>
      </c>
      <c r="F38" s="1199">
        <v>2040</v>
      </c>
      <c r="G38" s="1199">
        <v>2050</v>
      </c>
      <c r="N38" s="1361" t="s">
        <v>1221</v>
      </c>
      <c r="O38" s="1352">
        <v>2020</v>
      </c>
      <c r="P38" s="1355">
        <v>2030</v>
      </c>
      <c r="Q38" s="1358">
        <v>2040</v>
      </c>
      <c r="R38" s="1349">
        <v>2050</v>
      </c>
    </row>
    <row r="39" spans="3:18" s="1199" customFormat="1" ht="20.25">
      <c r="C39" s="1200" t="s">
        <v>581</v>
      </c>
      <c r="D39" s="1201">
        <v>3</v>
      </c>
      <c r="E39" s="1201">
        <v>4</v>
      </c>
      <c r="F39" s="1201">
        <f>AVERAGE(E39,G39)</f>
        <v>7</v>
      </c>
      <c r="G39" s="1201">
        <v>10</v>
      </c>
      <c r="N39" s="1362" t="s">
        <v>1226</v>
      </c>
      <c r="O39" s="1353">
        <v>0.04</v>
      </c>
      <c r="P39" s="1356">
        <v>0.05</v>
      </c>
      <c r="Q39" s="1359">
        <f>+AVERAGE(P39,R39)</f>
        <v>7.5000000000000011E-2</v>
      </c>
      <c r="R39" s="1351">
        <v>0.1</v>
      </c>
    </row>
    <row r="40" spans="3:18" s="1199" customFormat="1" ht="20.25">
      <c r="C40" s="1199" t="s">
        <v>1113</v>
      </c>
      <c r="D40" s="1202">
        <v>0</v>
      </c>
      <c r="E40" s="1202">
        <v>8</v>
      </c>
      <c r="F40" s="1202">
        <f>+AVERAGE(E40,G40)</f>
        <v>15.5</v>
      </c>
      <c r="G40" s="1202">
        <v>23</v>
      </c>
      <c r="N40" s="1361" t="s">
        <v>1227</v>
      </c>
      <c r="O40" s="1354">
        <v>0.03</v>
      </c>
      <c r="P40" s="1357">
        <v>0.04</v>
      </c>
      <c r="Q40" s="1360">
        <v>0.05</v>
      </c>
      <c r="R40" s="1350">
        <v>7.0000000000000007E-2</v>
      </c>
    </row>
    <row r="41" spans="3:18" s="1199" customFormat="1" ht="20.25">
      <c r="C41" s="1199" t="s">
        <v>618</v>
      </c>
      <c r="D41" s="1202">
        <v>1</v>
      </c>
      <c r="E41" s="1202">
        <v>3</v>
      </c>
      <c r="F41" s="1202">
        <f t="shared" ref="F41:F43" si="0">AVERAGE(E41,G41)</f>
        <v>6.5</v>
      </c>
      <c r="G41" s="1202">
        <v>10</v>
      </c>
      <c r="N41" s="1361" t="s">
        <v>1228</v>
      </c>
      <c r="O41" s="1354">
        <v>0</v>
      </c>
      <c r="P41" s="1357">
        <v>0</v>
      </c>
      <c r="Q41" s="1360">
        <v>0.01</v>
      </c>
      <c r="R41" s="1350">
        <v>0.01</v>
      </c>
    </row>
    <row r="42" spans="3:18" s="1199" customFormat="1" ht="20.25">
      <c r="C42" s="1199" t="s">
        <v>612</v>
      </c>
      <c r="D42" s="1202">
        <v>1</v>
      </c>
      <c r="E42" s="1202">
        <v>7</v>
      </c>
      <c r="F42" s="1202">
        <f t="shared" si="0"/>
        <v>14.5</v>
      </c>
      <c r="G42" s="1202">
        <v>22</v>
      </c>
      <c r="N42" s="1361" t="s">
        <v>1229</v>
      </c>
      <c r="O42" s="1354">
        <v>0.01</v>
      </c>
      <c r="P42" s="1357">
        <v>0.01</v>
      </c>
      <c r="Q42" s="1360">
        <v>0.02</v>
      </c>
      <c r="R42" s="1350">
        <v>0.02</v>
      </c>
    </row>
    <row r="43" spans="3:18" s="1199" customFormat="1" ht="20.25">
      <c r="C43" s="1206" t="s">
        <v>1071</v>
      </c>
      <c r="D43" s="1207">
        <v>4</v>
      </c>
      <c r="E43" s="1207">
        <v>5</v>
      </c>
      <c r="F43" s="1207">
        <f t="shared" si="0"/>
        <v>7.5</v>
      </c>
      <c r="G43" s="1207">
        <v>10</v>
      </c>
      <c r="N43" s="1361" t="s">
        <v>1281</v>
      </c>
      <c r="O43" s="1354"/>
      <c r="P43" s="1357"/>
      <c r="Q43" s="1360"/>
      <c r="R43" s="1350"/>
    </row>
    <row r="44" spans="3:18" ht="20.25">
      <c r="C44" s="1209"/>
      <c r="N44" s="1361" t="s">
        <v>1282</v>
      </c>
      <c r="O44" s="1354"/>
      <c r="P44" s="1357"/>
      <c r="Q44" s="1360"/>
      <c r="R44" s="1350"/>
    </row>
  </sheetData>
  <pageMargins left="0.7" right="0.7" top="0.75" bottom="0.75" header="0.3" footer="0.3"/>
  <ignoredErrors>
    <ignoredError sqref="F40" formula="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405B-7C07-494E-B184-45A02FE7F683}">
  <dimension ref="C1:T44"/>
  <sheetViews>
    <sheetView topLeftCell="A15" zoomScale="50" zoomScaleNormal="50" workbookViewId="0">
      <selection activeCell="N33" sqref="N33"/>
    </sheetView>
  </sheetViews>
  <sheetFormatPr baseColWidth="10" defaultColWidth="10" defaultRowHeight="14.25"/>
  <cols>
    <col min="1" max="15" width="10" style="1193"/>
    <col min="16" max="16" width="35.875" style="1193" customWidth="1"/>
    <col min="17" max="16384" width="10" style="1193"/>
  </cols>
  <sheetData>
    <row r="1" spans="3:3" ht="6" customHeight="1"/>
    <row r="2" spans="3:3" ht="26.25">
      <c r="C2" s="1197" t="s">
        <v>1153</v>
      </c>
    </row>
    <row r="17" spans="16:20" ht="15.75">
      <c r="P17" s="1362" t="s">
        <v>1287</v>
      </c>
      <c r="Q17" s="1352">
        <v>2020</v>
      </c>
      <c r="R17" s="1355">
        <v>2030</v>
      </c>
      <c r="S17" s="1358">
        <v>2040</v>
      </c>
      <c r="T17" s="1349">
        <v>2050</v>
      </c>
    </row>
    <row r="18" spans="16:20" ht="15.75">
      <c r="P18" s="1395" t="s">
        <v>1092</v>
      </c>
      <c r="Q18" s="1354">
        <v>0.93</v>
      </c>
      <c r="R18" s="1357">
        <v>0.9</v>
      </c>
      <c r="S18" s="1360">
        <f>+AVERAGE(R18,T18)</f>
        <v>0.83499999999999996</v>
      </c>
      <c r="T18" s="1350">
        <v>0.77</v>
      </c>
    </row>
    <row r="19" spans="16:20" ht="15.75">
      <c r="P19" s="1395" t="s">
        <v>1288</v>
      </c>
      <c r="Q19" s="1354">
        <v>0.03</v>
      </c>
      <c r="R19" s="1357">
        <v>0.05</v>
      </c>
      <c r="S19" s="1360">
        <f>+AVERAGE(R19,T19)</f>
        <v>6.5000000000000002E-2</v>
      </c>
      <c r="T19" s="1350">
        <v>0.08</v>
      </c>
    </row>
    <row r="20" spans="16:20" ht="15.75">
      <c r="P20" s="1395" t="s">
        <v>951</v>
      </c>
      <c r="Q20" s="1354">
        <v>0.04</v>
      </c>
      <c r="R20" s="1357">
        <v>0.05</v>
      </c>
      <c r="S20" s="1360">
        <f>+AVERAGE(R20,T20)</f>
        <v>7.5000000000000011E-2</v>
      </c>
      <c r="T20" s="1350">
        <v>0.1</v>
      </c>
    </row>
    <row r="21" spans="16:20" ht="18">
      <c r="P21" s="1369" t="s">
        <v>952</v>
      </c>
      <c r="Q21" s="1397">
        <v>0</v>
      </c>
      <c r="R21" s="1398">
        <v>0</v>
      </c>
      <c r="S21" s="1399">
        <v>0.01</v>
      </c>
      <c r="T21" s="1400">
        <v>0.05</v>
      </c>
    </row>
    <row r="22" spans="16:20" ht="15.75">
      <c r="P22" s="1396" t="s">
        <v>1289</v>
      </c>
      <c r="Q22" s="1401">
        <v>44</v>
      </c>
      <c r="R22" s="1402">
        <v>44</v>
      </c>
      <c r="S22" s="1403">
        <v>44</v>
      </c>
      <c r="T22" s="1404">
        <v>44</v>
      </c>
    </row>
    <row r="23" spans="16:20" ht="15.75">
      <c r="P23" s="1396" t="s">
        <v>1290</v>
      </c>
      <c r="Q23" s="1401">
        <v>120</v>
      </c>
      <c r="R23" s="1402">
        <v>120</v>
      </c>
      <c r="S23" s="1403">
        <v>120</v>
      </c>
      <c r="T23" s="1404">
        <v>120</v>
      </c>
    </row>
    <row r="38" spans="3:7" s="1199" customFormat="1" ht="20.25">
      <c r="C38" s="1199" t="s">
        <v>953</v>
      </c>
      <c r="D38" s="1199">
        <v>2020</v>
      </c>
      <c r="E38" s="1199">
        <v>2030</v>
      </c>
      <c r="F38" s="1199">
        <v>2040</v>
      </c>
      <c r="G38" s="1199">
        <v>2050</v>
      </c>
    </row>
    <row r="39" spans="3:7" s="1199" customFormat="1" ht="20.25">
      <c r="C39" s="1200" t="s">
        <v>581</v>
      </c>
      <c r="D39" s="1201">
        <v>0</v>
      </c>
      <c r="E39" s="1201">
        <v>1</v>
      </c>
      <c r="F39" s="1201">
        <f>AVERAGE(E39,G39)</f>
        <v>5.5</v>
      </c>
      <c r="G39" s="1201">
        <v>10</v>
      </c>
    </row>
    <row r="40" spans="3:7" s="1199" customFormat="1" ht="20.25">
      <c r="C40" s="1199" t="s">
        <v>1113</v>
      </c>
      <c r="D40" s="1202">
        <v>0</v>
      </c>
      <c r="E40" s="1202">
        <v>0</v>
      </c>
      <c r="F40" s="1202">
        <f>+AVERAGE(E40,G40)</f>
        <v>0.5</v>
      </c>
      <c r="G40" s="1202">
        <v>1</v>
      </c>
    </row>
    <row r="41" spans="3:7" s="1199" customFormat="1" ht="20.25">
      <c r="C41" s="1199" t="s">
        <v>618</v>
      </c>
      <c r="D41" s="1202">
        <v>1</v>
      </c>
      <c r="E41" s="1202">
        <v>3</v>
      </c>
      <c r="F41" s="1202">
        <f t="shared" ref="F41:F43" si="0">AVERAGE(E41,G41)</f>
        <v>6.5</v>
      </c>
      <c r="G41" s="1202">
        <v>10</v>
      </c>
    </row>
    <row r="42" spans="3:7" s="1199" customFormat="1" ht="20.25">
      <c r="C42" s="1199" t="s">
        <v>612</v>
      </c>
      <c r="D42" s="1202">
        <v>0</v>
      </c>
      <c r="E42" s="1202">
        <v>2</v>
      </c>
      <c r="F42" s="1202">
        <f t="shared" si="0"/>
        <v>6</v>
      </c>
      <c r="G42" s="1202">
        <v>10</v>
      </c>
    </row>
    <row r="43" spans="3:7" s="1199" customFormat="1" ht="20.25">
      <c r="C43" s="1206" t="s">
        <v>588</v>
      </c>
      <c r="D43" s="1207">
        <v>0</v>
      </c>
      <c r="E43" s="1207">
        <v>0</v>
      </c>
      <c r="F43" s="1207">
        <f t="shared" si="0"/>
        <v>2.5</v>
      </c>
      <c r="G43" s="1207">
        <v>5</v>
      </c>
    </row>
    <row r="44" spans="3:7" ht="20.25">
      <c r="C44" s="1209" t="s">
        <v>1149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F720-6FA4-4F6B-86EF-559C0B660728}">
  <dimension ref="C1:X57"/>
  <sheetViews>
    <sheetView topLeftCell="A13" zoomScale="60" zoomScaleNormal="60" workbookViewId="0">
      <selection activeCell="C38" sqref="C38:G48"/>
    </sheetView>
  </sheetViews>
  <sheetFormatPr baseColWidth="10" defaultColWidth="10" defaultRowHeight="14.25"/>
  <cols>
    <col min="1" max="18" width="10" style="1193"/>
    <col min="19" max="19" width="26.625" style="1193" customWidth="1"/>
    <col min="20" max="16384" width="10" style="1193"/>
  </cols>
  <sheetData>
    <row r="1" spans="3:3" ht="6" customHeight="1"/>
    <row r="2" spans="3:3" ht="26.25">
      <c r="C2" s="1197" t="s">
        <v>1153</v>
      </c>
    </row>
    <row r="38" spans="3:23" s="1199" customFormat="1" ht="20.25">
      <c r="C38" s="1199">
        <v>2050</v>
      </c>
      <c r="D38" s="1199" t="s">
        <v>142</v>
      </c>
      <c r="E38" s="1568" t="s">
        <v>1121</v>
      </c>
      <c r="F38" s="1568" t="s">
        <v>1122</v>
      </c>
      <c r="G38" s="1568" t="s">
        <v>1334</v>
      </c>
    </row>
    <row r="39" spans="3:23" s="1199" customFormat="1" ht="20.25">
      <c r="C39" s="1200" t="s">
        <v>581</v>
      </c>
      <c r="D39" s="1201">
        <v>30</v>
      </c>
      <c r="E39" s="1199">
        <v>3</v>
      </c>
      <c r="F39" s="1199">
        <v>9</v>
      </c>
      <c r="G39" s="1392">
        <f>+SUM(D39:F39)</f>
        <v>42</v>
      </c>
      <c r="H39" s="1392"/>
    </row>
    <row r="40" spans="3:23" s="1199" customFormat="1" ht="20.25">
      <c r="C40" s="1206" t="s">
        <v>588</v>
      </c>
      <c r="D40" s="1207">
        <v>19</v>
      </c>
      <c r="E40" s="1199">
        <v>10</v>
      </c>
      <c r="F40" s="1199">
        <v>13</v>
      </c>
      <c r="G40" s="1392">
        <f>+SUM(D40:F40)</f>
        <v>42</v>
      </c>
    </row>
    <row r="41" spans="3:23" s="1199" customFormat="1" ht="20.25">
      <c r="C41" s="1199" t="s">
        <v>1113</v>
      </c>
      <c r="D41" s="1202">
        <v>20</v>
      </c>
      <c r="E41" s="1199">
        <v>9</v>
      </c>
      <c r="F41" s="1199">
        <v>11</v>
      </c>
      <c r="G41" s="1392">
        <f>+SUM(D41:F41)</f>
        <v>40</v>
      </c>
      <c r="L41" s="1393">
        <f>2.5*0.33</f>
        <v>0.82500000000000007</v>
      </c>
      <c r="N41" s="1393">
        <f>8.3*0.33</f>
        <v>2.7390000000000003</v>
      </c>
    </row>
    <row r="42" spans="3:23" s="1199" customFormat="1" ht="20.25">
      <c r="C42" s="1209" t="s">
        <v>1270</v>
      </c>
      <c r="D42" s="1202">
        <v>36</v>
      </c>
      <c r="E42" s="1199">
        <v>0</v>
      </c>
      <c r="F42" s="1199">
        <v>0</v>
      </c>
      <c r="G42" s="1392">
        <f t="shared" ref="G39:G44" si="0">+SUM(D42:F42)</f>
        <v>36</v>
      </c>
      <c r="L42" s="1348">
        <f>+L41/3.8</f>
        <v>0.21710526315789477</v>
      </c>
      <c r="N42" s="1348">
        <f>+N41/16.9</f>
        <v>0.16207100591715978</v>
      </c>
    </row>
    <row r="43" spans="3:23" s="1199" customFormat="1" ht="20.25">
      <c r="C43" s="1199" t="s">
        <v>618</v>
      </c>
      <c r="D43" s="1202">
        <v>16</v>
      </c>
      <c r="E43" s="1199">
        <v>4</v>
      </c>
      <c r="F43" s="1199">
        <v>13</v>
      </c>
      <c r="G43" s="1392">
        <f t="shared" si="0"/>
        <v>33</v>
      </c>
    </row>
    <row r="44" spans="3:23" ht="20.25">
      <c r="C44" s="1199" t="s">
        <v>612</v>
      </c>
      <c r="D44" s="1202">
        <v>22</v>
      </c>
      <c r="E44" s="1199">
        <v>2</v>
      </c>
      <c r="F44" s="1199">
        <v>9</v>
      </c>
      <c r="G44" s="1392">
        <f t="shared" si="0"/>
        <v>33</v>
      </c>
      <c r="S44" s="1199"/>
      <c r="T44" s="1199"/>
      <c r="U44" s="1199"/>
      <c r="V44" s="1199"/>
    </row>
    <row r="45" spans="3:23" ht="20.25">
      <c r="C45" s="1199" t="s">
        <v>1331</v>
      </c>
      <c r="D45" s="1202">
        <v>42</v>
      </c>
      <c r="E45" s="1199"/>
      <c r="F45" s="1199"/>
      <c r="G45" s="1392"/>
      <c r="S45" s="1199"/>
      <c r="T45" s="1199"/>
      <c r="U45" s="1199"/>
      <c r="V45" s="1199"/>
    </row>
    <row r="46" spans="3:23" ht="20.25">
      <c r="C46" s="1199" t="s">
        <v>575</v>
      </c>
      <c r="D46" s="1202"/>
      <c r="E46" s="1199"/>
      <c r="F46" s="1199"/>
      <c r="G46" s="1392"/>
      <c r="S46" s="1199"/>
      <c r="T46" s="1199"/>
      <c r="U46" s="1199"/>
      <c r="V46" s="1199"/>
    </row>
    <row r="47" spans="3:23" ht="20.25">
      <c r="C47" s="1199" t="s">
        <v>576</v>
      </c>
      <c r="D47" s="1202">
        <v>30</v>
      </c>
      <c r="E47" s="1199"/>
      <c r="F47" s="1199"/>
      <c r="G47" s="1392"/>
      <c r="S47" s="1199"/>
      <c r="T47" s="1199"/>
      <c r="U47" s="1199"/>
      <c r="V47" s="1199"/>
      <c r="W47" s="1349"/>
    </row>
    <row r="48" spans="3:23" ht="20.25">
      <c r="C48" s="1199" t="s">
        <v>587</v>
      </c>
      <c r="D48" s="1202">
        <v>57</v>
      </c>
      <c r="E48" s="1199"/>
      <c r="F48" s="1199"/>
      <c r="G48" s="1392"/>
      <c r="S48" s="1199"/>
      <c r="T48" s="1199"/>
      <c r="U48" s="1199"/>
      <c r="V48" s="1199"/>
      <c r="W48" s="1350"/>
    </row>
    <row r="49" spans="4:24" ht="20.25">
      <c r="D49" s="1193" t="s">
        <v>1306</v>
      </c>
      <c r="E49" s="1193" t="s">
        <v>142</v>
      </c>
      <c r="S49" s="1199"/>
      <c r="T49" s="1199"/>
      <c r="U49" s="1199"/>
      <c r="V49" s="1199"/>
      <c r="W49" s="1350"/>
    </row>
    <row r="50" spans="4:24" ht="20.25">
      <c r="S50" s="1199"/>
      <c r="T50" s="1199"/>
      <c r="U50" s="1199"/>
      <c r="V50" s="1199"/>
      <c r="W50" s="1350"/>
    </row>
    <row r="51" spans="4:24" ht="20.25">
      <c r="S51" s="1199"/>
      <c r="T51" s="1199"/>
      <c r="U51" s="1199"/>
      <c r="V51" s="1199"/>
      <c r="W51" s="1400"/>
    </row>
    <row r="53" spans="4:24" ht="15.75">
      <c r="S53" s="1362" t="s">
        <v>983</v>
      </c>
      <c r="T53" s="1416"/>
      <c r="U53" s="1352">
        <v>2020</v>
      </c>
      <c r="V53" s="1355">
        <v>2030</v>
      </c>
      <c r="W53" s="1358">
        <v>2040</v>
      </c>
      <c r="X53" s="1349">
        <v>2050</v>
      </c>
    </row>
    <row r="54" spans="4:24" ht="15.75" customHeight="1">
      <c r="S54" s="1395" t="s">
        <v>1293</v>
      </c>
      <c r="T54" s="1417" t="s">
        <v>232</v>
      </c>
      <c r="U54" s="1354">
        <v>0.2</v>
      </c>
      <c r="V54" s="1357">
        <v>0.2</v>
      </c>
      <c r="W54" s="1360">
        <v>0.2</v>
      </c>
      <c r="X54" s="1350">
        <v>0.2</v>
      </c>
    </row>
    <row r="55" spans="4:24" ht="15.75" customHeight="1">
      <c r="S55" s="1395" t="s">
        <v>1294</v>
      </c>
      <c r="T55" s="1417" t="s">
        <v>1296</v>
      </c>
      <c r="U55" s="1418">
        <v>0.52500000000000002</v>
      </c>
      <c r="V55" s="1419">
        <v>0.52500000000000002</v>
      </c>
      <c r="W55" s="1420">
        <v>0.52500000000000002</v>
      </c>
      <c r="X55" s="1421">
        <v>0.52500000000000002</v>
      </c>
    </row>
    <row r="56" spans="4:24" ht="15.75" customHeight="1">
      <c r="S56" s="1395" t="s">
        <v>988</v>
      </c>
      <c r="T56" s="1417" t="s">
        <v>1297</v>
      </c>
      <c r="U56" s="1370">
        <v>8.5</v>
      </c>
      <c r="V56" s="1375">
        <v>9.1999999999999993</v>
      </c>
      <c r="W56" s="1379">
        <f>+AVERAGE(V56,X56)</f>
        <v>9.85</v>
      </c>
      <c r="X56" s="1364">
        <v>10.5</v>
      </c>
    </row>
    <row r="57" spans="4:24" ht="15.75" customHeight="1">
      <c r="S57" s="1395" t="s">
        <v>1295</v>
      </c>
      <c r="T57" s="1417" t="s">
        <v>1298</v>
      </c>
      <c r="U57" s="1422">
        <f>+U54*U55*U56</f>
        <v>0.89250000000000007</v>
      </c>
      <c r="V57" s="1423">
        <f>+V54*V55*V56</f>
        <v>0.96599999999999997</v>
      </c>
      <c r="W57" s="1424">
        <f>+W54*W55*W56</f>
        <v>1.0342500000000001</v>
      </c>
      <c r="X57" s="1425">
        <f>+X54*X55*X56</f>
        <v>1.1025</v>
      </c>
    </row>
  </sheetData>
  <sortState xmlns:xlrd2="http://schemas.microsoft.com/office/spreadsheetml/2017/richdata2" ref="C39:G44">
    <sortCondition descending="1" ref="G39:G44"/>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865B-757D-498A-9978-BC6556D035B3}">
  <dimension ref="B1:X57"/>
  <sheetViews>
    <sheetView topLeftCell="A24" zoomScale="70" zoomScaleNormal="70" workbookViewId="0">
      <selection activeCell="J49" sqref="J49"/>
    </sheetView>
  </sheetViews>
  <sheetFormatPr baseColWidth="10" defaultColWidth="10" defaultRowHeight="14.25"/>
  <cols>
    <col min="1" max="18" width="10" style="1193"/>
    <col min="19" max="19" width="26.625" style="1193" customWidth="1"/>
    <col min="20" max="16384" width="10" style="1193"/>
  </cols>
  <sheetData>
    <row r="1" spans="3:3" ht="6" customHeight="1"/>
    <row r="2" spans="3:3" ht="26.25">
      <c r="C2" s="1197"/>
    </row>
    <row r="37" spans="2:23" ht="15" thickBot="1"/>
    <row r="38" spans="2:23" s="1199" customFormat="1" ht="20.25">
      <c r="B38" s="1588">
        <v>2050</v>
      </c>
      <c r="C38" s="1589"/>
      <c r="D38" s="1577" t="s">
        <v>142</v>
      </c>
      <c r="E38" s="1569" t="s">
        <v>1122</v>
      </c>
      <c r="F38" s="1569" t="s">
        <v>1121</v>
      </c>
      <c r="G38" s="1569" t="s">
        <v>1335</v>
      </c>
      <c r="H38" s="1569" t="s">
        <v>1326</v>
      </c>
      <c r="I38" s="1570" t="s">
        <v>1333</v>
      </c>
    </row>
    <row r="39" spans="2:23" s="1199" customFormat="1" ht="20.25">
      <c r="B39" s="1584" t="s">
        <v>1332</v>
      </c>
      <c r="C39" s="1585"/>
      <c r="D39" s="1578">
        <v>0.25</v>
      </c>
      <c r="E39" s="1571"/>
      <c r="F39" s="1571"/>
      <c r="G39" s="1571">
        <f>SUM(D39:F39)</f>
        <v>0.25</v>
      </c>
      <c r="H39" s="1571">
        <v>0.56000000000000005</v>
      </c>
      <c r="I39" s="1572">
        <v>0.5</v>
      </c>
    </row>
    <row r="40" spans="2:23" s="1199" customFormat="1" ht="20.25">
      <c r="B40" s="1584" t="s">
        <v>576</v>
      </c>
      <c r="C40" s="1585"/>
      <c r="D40" s="1579">
        <v>0.3</v>
      </c>
      <c r="E40" s="1573"/>
      <c r="F40" s="1573"/>
      <c r="G40" s="1573">
        <f>SUM(D40:F40)</f>
        <v>0.3</v>
      </c>
      <c r="H40" s="1573">
        <v>0.65</v>
      </c>
      <c r="I40" s="1574">
        <v>0.53</v>
      </c>
    </row>
    <row r="41" spans="2:23" s="1199" customFormat="1" ht="20.25">
      <c r="B41" s="1584" t="s">
        <v>612</v>
      </c>
      <c r="C41" s="1585"/>
      <c r="D41" s="1579">
        <v>0.22</v>
      </c>
      <c r="E41" s="1573">
        <v>0.02</v>
      </c>
      <c r="F41" s="1573">
        <v>0.09</v>
      </c>
      <c r="G41" s="1573">
        <f>SUM(D41:F41)</f>
        <v>0.32999999999999996</v>
      </c>
      <c r="H41" s="1573">
        <v>0.63</v>
      </c>
      <c r="I41" s="1574">
        <v>0.66</v>
      </c>
      <c r="L41" s="1393"/>
      <c r="N41" s="1393"/>
    </row>
    <row r="42" spans="2:23" s="1199" customFormat="1" ht="20.25">
      <c r="B42" s="1584" t="s">
        <v>618</v>
      </c>
      <c r="C42" s="1585"/>
      <c r="D42" s="1579">
        <v>0.16</v>
      </c>
      <c r="E42" s="1573">
        <v>0.04</v>
      </c>
      <c r="F42" s="1573">
        <v>0.13</v>
      </c>
      <c r="G42" s="1573">
        <f>SUM(D42:F42)</f>
        <v>0.33</v>
      </c>
      <c r="H42" s="1573">
        <v>0.55000000000000004</v>
      </c>
      <c r="I42" s="1574">
        <v>0.5</v>
      </c>
      <c r="L42" s="1348"/>
      <c r="N42" s="1348"/>
    </row>
    <row r="43" spans="2:23" s="1199" customFormat="1" ht="20.25">
      <c r="B43" s="1586" t="s">
        <v>1270</v>
      </c>
      <c r="C43" s="1587"/>
      <c r="D43" s="1581">
        <v>0.36</v>
      </c>
      <c r="E43" s="1573"/>
      <c r="F43" s="1573"/>
      <c r="G43" s="1573">
        <f>SUM(D43:F43)</f>
        <v>0.36</v>
      </c>
      <c r="H43" s="1573">
        <v>0.54</v>
      </c>
      <c r="I43" s="1574">
        <v>0.43</v>
      </c>
    </row>
    <row r="44" spans="2:23" ht="20.25">
      <c r="B44" s="1584" t="s">
        <v>1113</v>
      </c>
      <c r="C44" s="1585"/>
      <c r="D44" s="1579">
        <v>0.2</v>
      </c>
      <c r="E44" s="1573">
        <v>0.09</v>
      </c>
      <c r="F44" s="1573">
        <v>0.11</v>
      </c>
      <c r="G44" s="1573">
        <f>SUM(D44:F44)</f>
        <v>0.4</v>
      </c>
      <c r="H44" s="1573">
        <v>0.63</v>
      </c>
      <c r="I44" s="1574">
        <v>0.45</v>
      </c>
      <c r="S44" s="1199"/>
      <c r="T44" s="1199"/>
      <c r="U44" s="1199"/>
      <c r="V44" s="1199"/>
    </row>
    <row r="45" spans="2:23" ht="20.25">
      <c r="B45" s="1582" t="s">
        <v>581</v>
      </c>
      <c r="C45" s="1583"/>
      <c r="D45" s="1580">
        <v>0.3</v>
      </c>
      <c r="E45" s="1573">
        <v>0.03</v>
      </c>
      <c r="F45" s="1573">
        <v>0.09</v>
      </c>
      <c r="G45" s="1573">
        <f>SUM(D45:F45)</f>
        <v>0.41999999999999993</v>
      </c>
      <c r="H45" s="1573">
        <v>0.6</v>
      </c>
      <c r="I45" s="1574">
        <v>0.5</v>
      </c>
      <c r="S45" s="1199"/>
      <c r="T45" s="1199"/>
      <c r="U45" s="1199"/>
      <c r="V45" s="1199"/>
    </row>
    <row r="46" spans="2:23" ht="20.25">
      <c r="B46" s="1584" t="s">
        <v>1331</v>
      </c>
      <c r="C46" s="1585"/>
      <c r="D46" s="1579">
        <v>0.42</v>
      </c>
      <c r="E46" s="1573"/>
      <c r="F46" s="1573"/>
      <c r="G46" s="1573">
        <f>SUM(D46:F46)</f>
        <v>0.42</v>
      </c>
      <c r="H46" s="1573">
        <v>0.65</v>
      </c>
      <c r="I46" s="1574">
        <v>0.9</v>
      </c>
      <c r="S46" s="1199"/>
      <c r="T46" s="1199"/>
      <c r="U46" s="1199"/>
      <c r="V46" s="1199"/>
    </row>
    <row r="47" spans="2:23" ht="21" thickBot="1">
      <c r="B47" s="1590" t="s">
        <v>588</v>
      </c>
      <c r="C47" s="1591"/>
      <c r="D47" s="1592">
        <v>0.19</v>
      </c>
      <c r="E47" s="1575">
        <v>0.1</v>
      </c>
      <c r="F47" s="1575">
        <v>0.13</v>
      </c>
      <c r="G47" s="1575">
        <f>SUM(D47:F47)</f>
        <v>0.42000000000000004</v>
      </c>
      <c r="H47" s="1575">
        <v>0.61</v>
      </c>
      <c r="I47" s="1576">
        <v>0.18</v>
      </c>
      <c r="S47" s="1199"/>
      <c r="T47" s="1199"/>
      <c r="U47" s="1199"/>
      <c r="V47" s="1199"/>
      <c r="W47" s="1349"/>
    </row>
    <row r="48" spans="2:23" ht="20.25">
      <c r="C48" s="1199"/>
      <c r="D48" s="1348"/>
      <c r="E48" s="1199"/>
      <c r="F48" s="1199"/>
      <c r="G48" s="1348"/>
      <c r="H48" s="1348"/>
      <c r="S48" s="1199"/>
      <c r="T48" s="1199"/>
      <c r="U48" s="1199"/>
      <c r="V48" s="1199"/>
      <c r="W48" s="1350"/>
    </row>
    <row r="49" spans="4:24" ht="20.25">
      <c r="D49" s="1193" t="s">
        <v>1306</v>
      </c>
      <c r="E49" s="1193" t="s">
        <v>142</v>
      </c>
      <c r="S49" s="1199"/>
      <c r="T49" s="1199"/>
      <c r="U49" s="1199"/>
      <c r="V49" s="1199"/>
      <c r="W49" s="1350"/>
    </row>
    <row r="50" spans="4:24" ht="20.25">
      <c r="S50" s="1199"/>
      <c r="T50" s="1199"/>
      <c r="U50" s="1199"/>
      <c r="V50" s="1199"/>
      <c r="W50" s="1350"/>
    </row>
    <row r="51" spans="4:24" ht="20.25">
      <c r="S51" s="1199"/>
      <c r="T51" s="1199"/>
      <c r="U51" s="1199"/>
      <c r="V51" s="1199"/>
      <c r="W51" s="1400"/>
    </row>
    <row r="53" spans="4:24" ht="15.75">
      <c r="S53" s="1362" t="s">
        <v>983</v>
      </c>
      <c r="T53" s="1416"/>
      <c r="U53" s="1352">
        <v>2020</v>
      </c>
      <c r="V53" s="1355">
        <v>2030</v>
      </c>
      <c r="W53" s="1358">
        <v>2040</v>
      </c>
      <c r="X53" s="1349">
        <v>2050</v>
      </c>
    </row>
    <row r="54" spans="4:24" ht="15.75" customHeight="1">
      <c r="S54" s="1395" t="s">
        <v>1293</v>
      </c>
      <c r="T54" s="1417" t="s">
        <v>232</v>
      </c>
      <c r="U54" s="1354">
        <v>0.2</v>
      </c>
      <c r="V54" s="1357">
        <v>0.2</v>
      </c>
      <c r="W54" s="1360">
        <v>0.2</v>
      </c>
      <c r="X54" s="1350">
        <v>0.2</v>
      </c>
    </row>
    <row r="55" spans="4:24" ht="15.75" customHeight="1">
      <c r="S55" s="1395" t="s">
        <v>1294</v>
      </c>
      <c r="T55" s="1417" t="s">
        <v>1296</v>
      </c>
      <c r="U55" s="1418">
        <v>0.52500000000000002</v>
      </c>
      <c r="V55" s="1419">
        <v>0.52500000000000002</v>
      </c>
      <c r="W55" s="1420">
        <v>0.52500000000000002</v>
      </c>
      <c r="X55" s="1421">
        <v>0.52500000000000002</v>
      </c>
    </row>
    <row r="56" spans="4:24" ht="15.75" customHeight="1">
      <c r="S56" s="1395" t="s">
        <v>988</v>
      </c>
      <c r="T56" s="1417" t="s">
        <v>1297</v>
      </c>
      <c r="U56" s="1370">
        <v>8.5</v>
      </c>
      <c r="V56" s="1375">
        <v>9.1999999999999993</v>
      </c>
      <c r="W56" s="1379">
        <f>+AVERAGE(V56,X56)</f>
        <v>9.85</v>
      </c>
      <c r="X56" s="1364">
        <v>10.5</v>
      </c>
    </row>
    <row r="57" spans="4:24" ht="15.75" customHeight="1">
      <c r="S57" s="1395" t="s">
        <v>1295</v>
      </c>
      <c r="T57" s="1417" t="s">
        <v>1298</v>
      </c>
      <c r="U57" s="1422">
        <f>+U54*U55*U56</f>
        <v>0.89250000000000007</v>
      </c>
      <c r="V57" s="1423">
        <f>+V54*V55*V56</f>
        <v>0.96599999999999997</v>
      </c>
      <c r="W57" s="1424">
        <f>+W54*W55*W56</f>
        <v>1.0342500000000001</v>
      </c>
      <c r="X57" s="1425">
        <f>+X54*X55*X56</f>
        <v>1.1025</v>
      </c>
    </row>
  </sheetData>
  <sortState xmlns:xlrd2="http://schemas.microsoft.com/office/spreadsheetml/2017/richdata2" ref="B39:I47">
    <sortCondition ref="G39:G47"/>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4370-183D-E54F-A0FB-870E34C410A8}">
  <dimension ref="A2:AD163"/>
  <sheetViews>
    <sheetView showGridLines="0" tabSelected="1" zoomScale="60" zoomScaleNormal="60" workbookViewId="0">
      <selection activeCell="F15" sqref="F15"/>
    </sheetView>
  </sheetViews>
  <sheetFormatPr baseColWidth="10" defaultColWidth="11" defaultRowHeight="15"/>
  <cols>
    <col min="1" max="1" width="2.625" style="884" customWidth="1"/>
    <col min="2" max="2" width="36.125" style="937" customWidth="1"/>
    <col min="3" max="3" width="40" style="884" customWidth="1"/>
    <col min="4" max="4" width="23.625" style="933" customWidth="1"/>
    <col min="5" max="5" width="12" style="884" customWidth="1"/>
    <col min="6" max="6" width="10.625" style="884" customWidth="1"/>
    <col min="7" max="7" width="9.125" style="884" customWidth="1"/>
    <col min="8" max="8" width="12" style="1092" customWidth="1"/>
    <col min="9" max="10" width="13.875" style="884" customWidth="1"/>
    <col min="11" max="11" width="11" style="884"/>
    <col min="12" max="12" width="12" style="884" bestFit="1" customWidth="1"/>
    <col min="13" max="16384" width="11" style="884"/>
  </cols>
  <sheetData>
    <row r="2" spans="2:14" ht="53.25" customHeight="1">
      <c r="B2" s="1480" t="s">
        <v>1068</v>
      </c>
      <c r="C2" s="1480"/>
      <c r="D2" s="1480"/>
    </row>
    <row r="3" spans="2:14" ht="16.5" customHeight="1">
      <c r="B3" s="884"/>
      <c r="D3" s="884"/>
      <c r="E3" s="1426">
        <v>2023</v>
      </c>
      <c r="F3" s="1427">
        <v>0.18</v>
      </c>
      <c r="G3" s="1456">
        <v>0.55000000000000004</v>
      </c>
    </row>
    <row r="4" spans="2:14" s="885" customFormat="1" ht="20.100000000000001" customHeight="1" thickBot="1">
      <c r="E4" s="946">
        <v>2020</v>
      </c>
      <c r="F4" s="946">
        <v>2030</v>
      </c>
      <c r="G4" s="946">
        <v>2050</v>
      </c>
      <c r="H4" s="1093" t="s">
        <v>1075</v>
      </c>
      <c r="I4" s="1081" t="s">
        <v>1076</v>
      </c>
    </row>
    <row r="5" spans="2:14" ht="32.1" customHeight="1">
      <c r="B5" s="1486" t="s">
        <v>1007</v>
      </c>
      <c r="C5" s="990" t="s">
        <v>1079</v>
      </c>
      <c r="D5" s="991" t="s">
        <v>376</v>
      </c>
      <c r="E5" s="1152">
        <f>+'Whole life model'!F17</f>
        <v>12.55</v>
      </c>
      <c r="F5" s="1152">
        <f>+E5*(1+F3)</f>
        <v>14.808999999999999</v>
      </c>
      <c r="G5" s="1153">
        <f>+E5*(1+G3)</f>
        <v>19.452500000000001</v>
      </c>
      <c r="H5" s="1094" t="s">
        <v>1077</v>
      </c>
      <c r="I5" s="1049" t="s">
        <v>1078</v>
      </c>
    </row>
    <row r="6" spans="2:14" ht="32.1" customHeight="1">
      <c r="B6" s="1482"/>
      <c r="C6" s="949" t="s">
        <v>1094</v>
      </c>
      <c r="D6" s="944" t="s">
        <v>376</v>
      </c>
      <c r="E6" s="1154">
        <f>+'Whole life model'!F21</f>
        <v>12.55</v>
      </c>
      <c r="F6" s="1154">
        <f>+'Whole life model'!G21</f>
        <v>14.141428372432969</v>
      </c>
      <c r="G6" s="1154">
        <f>+'Whole life model'!H21</f>
        <v>16.913328511900627</v>
      </c>
      <c r="H6" s="1095"/>
      <c r="I6" s="1141">
        <v>1</v>
      </c>
      <c r="J6" s="1142" t="s">
        <v>1114</v>
      </c>
      <c r="K6" s="1143">
        <f>+E25</f>
        <v>6.3131987975624995</v>
      </c>
      <c r="L6" s="1142"/>
      <c r="M6" s="1144"/>
      <c r="N6" s="1144"/>
    </row>
    <row r="7" spans="2:14" ht="32.1" customHeight="1">
      <c r="B7" s="1482"/>
      <c r="C7" s="949" t="s">
        <v>1299</v>
      </c>
      <c r="D7" s="947" t="s">
        <v>1056</v>
      </c>
      <c r="E7" s="1155">
        <f>+E17/E6*1000</f>
        <v>503.04372888944215</v>
      </c>
      <c r="F7" s="1155">
        <f>+F17/F5*1000</f>
        <v>490.88079813804683</v>
      </c>
      <c r="G7" s="1155">
        <f>+G17/G5*1000</f>
        <v>485.50487619086886</v>
      </c>
      <c r="H7" s="1096"/>
      <c r="I7" s="1141"/>
      <c r="J7" s="1142" t="s">
        <v>1115</v>
      </c>
      <c r="K7" s="1145">
        <f>+E28</f>
        <v>0.42105302103585657</v>
      </c>
      <c r="L7" s="1142"/>
      <c r="M7" s="1144"/>
      <c r="N7" s="1144"/>
    </row>
    <row r="8" spans="2:14" ht="32.1" customHeight="1">
      <c r="B8" s="1482"/>
      <c r="C8" s="949" t="s">
        <v>1300</v>
      </c>
      <c r="D8" s="947" t="s">
        <v>1056</v>
      </c>
      <c r="E8" s="1155">
        <f>+E7-1000*(E112*E113*E119)/1000000</f>
        <v>494.82372888944212</v>
      </c>
      <c r="F8" s="1155">
        <f t="shared" ref="F8:G8" si="0">+F7-1000*(F112*F113*F119)/1000000</f>
        <v>476.88079813804683</v>
      </c>
      <c r="G8" s="1155">
        <f t="shared" si="0"/>
        <v>464.38487619086885</v>
      </c>
      <c r="I8" s="1141"/>
      <c r="J8" s="1142" t="s">
        <v>1116</v>
      </c>
      <c r="K8" s="1145">
        <f>+K6+K7</f>
        <v>6.7342518185983558</v>
      </c>
      <c r="L8" s="1142"/>
      <c r="M8" s="1144"/>
      <c r="N8" s="1144"/>
    </row>
    <row r="9" spans="2:14" ht="32.1" customHeight="1">
      <c r="B9" s="1482"/>
      <c r="C9" s="943" t="s">
        <v>975</v>
      </c>
      <c r="D9" s="944" t="s">
        <v>376</v>
      </c>
      <c r="E9" s="1154">
        <f>+E11*E5</f>
        <v>8.4712500000000013</v>
      </c>
      <c r="F9" s="1154">
        <f>+F11*F5</f>
        <v>9.6836050999999976</v>
      </c>
      <c r="G9" s="1154">
        <f>+E9*(1+G3)</f>
        <v>13.130437500000003</v>
      </c>
      <c r="I9" s="1141"/>
      <c r="J9" s="1142" t="s">
        <v>1117</v>
      </c>
      <c r="K9" s="1146">
        <f>+G19</f>
        <v>1.55</v>
      </c>
      <c r="L9" s="1142"/>
      <c r="M9" s="1144"/>
      <c r="N9" s="1144"/>
    </row>
    <row r="10" spans="2:14" ht="32.1" customHeight="1">
      <c r="B10" s="1482"/>
      <c r="C10" s="943" t="s">
        <v>1008</v>
      </c>
      <c r="D10" s="944" t="s">
        <v>376</v>
      </c>
      <c r="E10" s="1154">
        <f>+E6*E11</f>
        <v>8.4712500000000013</v>
      </c>
      <c r="F10" s="1154">
        <f>+F6*F11</f>
        <v>9.2470800127339174</v>
      </c>
      <c r="G10" s="1154">
        <f>+G6*G11</f>
        <v>10.358906313683777</v>
      </c>
      <c r="H10" s="1474">
        <v>0.2</v>
      </c>
      <c r="I10" s="1141"/>
      <c r="J10" s="1142" t="s">
        <v>1118</v>
      </c>
      <c r="K10" s="1143">
        <f>+K8*K9</f>
        <v>10.438090318827452</v>
      </c>
      <c r="L10" s="1142"/>
      <c r="M10" s="1144"/>
      <c r="N10" s="1144"/>
    </row>
    <row r="11" spans="2:14" ht="32.1" customHeight="1">
      <c r="B11" s="1482"/>
      <c r="C11" s="943" t="s">
        <v>1009</v>
      </c>
      <c r="D11" s="944" t="s">
        <v>232</v>
      </c>
      <c r="E11" s="1471">
        <v>0.67500000000000004</v>
      </c>
      <c r="F11" s="1156">
        <f>+F32*F33+F37*F38+F42*F43+F47*F48</f>
        <v>0.65389999999999993</v>
      </c>
      <c r="G11" s="1156">
        <f>+G32*G33+G37*G38+G42*G43+G47*G48</f>
        <v>0.61246999999999996</v>
      </c>
      <c r="H11" s="984">
        <f>+H10/H12</f>
        <v>1.9801980198019802E-2</v>
      </c>
      <c r="I11" s="1141"/>
      <c r="J11" s="1142"/>
      <c r="K11" s="1142"/>
      <c r="L11" s="1142"/>
      <c r="M11" s="1144"/>
      <c r="N11" s="1144"/>
    </row>
    <row r="12" spans="2:14" ht="32.1" customHeight="1">
      <c r="B12" s="1482"/>
      <c r="C12" s="943" t="s">
        <v>1010</v>
      </c>
      <c r="D12" s="944" t="s">
        <v>232</v>
      </c>
      <c r="E12" s="1156">
        <f>+E111</f>
        <v>7.0000000000000007E-2</v>
      </c>
      <c r="F12" s="1156">
        <f t="shared" ref="F12:G12" si="1">+F111</f>
        <v>0.1</v>
      </c>
      <c r="G12" s="1156">
        <f t="shared" si="1"/>
        <v>0.18</v>
      </c>
      <c r="H12" s="1475">
        <f>6.1+0.4+3.6</f>
        <v>10.1</v>
      </c>
      <c r="I12" s="1141">
        <v>2</v>
      </c>
      <c r="J12" s="1142" t="s">
        <v>1312</v>
      </c>
      <c r="K12" s="1458">
        <f>-G54</f>
        <v>-1.0078503378217274</v>
      </c>
      <c r="L12" s="1144">
        <f>K10+K10*M12</f>
        <v>9.4302399810057249</v>
      </c>
      <c r="M12" s="1465">
        <f>-H54</f>
        <v>-9.6555050496530168E-2</v>
      </c>
      <c r="N12" s="1144">
        <f>+K10+K12</f>
        <v>9.4302399810057249</v>
      </c>
    </row>
    <row r="13" spans="2:14" ht="32.1" customHeight="1">
      <c r="B13" s="1482"/>
      <c r="C13" s="976" t="s">
        <v>951</v>
      </c>
      <c r="D13" s="977" t="s">
        <v>232</v>
      </c>
      <c r="E13" s="1157">
        <f t="shared" ref="E13:G13" si="2">+E114</f>
        <v>0.04</v>
      </c>
      <c r="F13" s="1157">
        <f t="shared" si="2"/>
        <v>0.05</v>
      </c>
      <c r="G13" s="1157">
        <f t="shared" si="2"/>
        <v>0.1</v>
      </c>
      <c r="I13" s="1141">
        <f>+I12+1</f>
        <v>3</v>
      </c>
      <c r="J13" s="1142" t="s">
        <v>1311</v>
      </c>
      <c r="K13" s="1458">
        <f>+L12-L13</f>
        <v>-0.63594931538748511</v>
      </c>
      <c r="L13" s="1144">
        <f>+L12-K10*M13</f>
        <v>10.06618929639321</v>
      </c>
      <c r="M13" s="1465">
        <f>-H55</f>
        <v>-6.0925829913581697E-2</v>
      </c>
      <c r="N13" s="1144">
        <f>+N12+K13</f>
        <v>8.7942906656182398</v>
      </c>
    </row>
    <row r="14" spans="2:14" ht="32.1" customHeight="1">
      <c r="B14" s="1482"/>
      <c r="C14" s="949" t="s">
        <v>1018</v>
      </c>
      <c r="D14" s="947" t="s">
        <v>291</v>
      </c>
      <c r="E14" s="1155">
        <v>3425</v>
      </c>
      <c r="F14" s="1155">
        <v>3400</v>
      </c>
      <c r="G14" s="1155">
        <v>3300</v>
      </c>
      <c r="I14" s="1141">
        <f t="shared" ref="I14:I15" si="3">+I13+1</f>
        <v>4</v>
      </c>
      <c r="J14" s="1142" t="s">
        <v>1313</v>
      </c>
      <c r="K14" s="1458">
        <f>+L13-L14</f>
        <v>-0.85273514132275352</v>
      </c>
      <c r="L14" s="1144">
        <f>+L13-K$10*M14</f>
        <v>10.918924437715964</v>
      </c>
      <c r="M14" s="1465">
        <f>-H68-H74</f>
        <v>-8.1694554777386227E-2</v>
      </c>
      <c r="N14" s="1144">
        <f>+N13+K14</f>
        <v>7.9415555242954863</v>
      </c>
    </row>
    <row r="15" spans="2:14" ht="32.1" customHeight="1">
      <c r="B15" s="1482"/>
      <c r="C15" s="949" t="s">
        <v>1054</v>
      </c>
      <c r="D15" s="947" t="s">
        <v>1011</v>
      </c>
      <c r="E15" s="1154">
        <f>+'Whole life model'!N49*1000</f>
        <v>32.9</v>
      </c>
      <c r="F15" s="1154">
        <f>+'Whole life model'!O49*1000</f>
        <v>37.5</v>
      </c>
      <c r="G15" s="1154">
        <f>+'Whole life model'!P49*1000</f>
        <v>50.5</v>
      </c>
      <c r="H15" s="1092" t="s">
        <v>1319</v>
      </c>
      <c r="I15" s="1141">
        <f t="shared" si="3"/>
        <v>5</v>
      </c>
      <c r="J15" s="1142" t="s">
        <v>1322</v>
      </c>
      <c r="K15" s="1459">
        <f>+L14-L15</f>
        <v>-5.3832098356746627E-2</v>
      </c>
      <c r="L15" s="1144">
        <f t="shared" ref="L15" si="4">+L14-K$10*M15</f>
        <v>10.97275653607271</v>
      </c>
      <c r="M15" s="1466">
        <f>-L28</f>
        <v>-5.1572746271076999E-3</v>
      </c>
      <c r="N15" s="1144"/>
    </row>
    <row r="16" spans="2:14" ht="32.1" customHeight="1">
      <c r="B16" s="1482"/>
      <c r="C16" s="949" t="s">
        <v>1218</v>
      </c>
      <c r="D16" s="992" t="s">
        <v>1219</v>
      </c>
      <c r="E16" s="1089">
        <f>+E6/E15*1000</f>
        <v>381.45896656534956</v>
      </c>
      <c r="F16" s="1089">
        <f t="shared" ref="F16" si="5">+F6/F15*1000</f>
        <v>377.10475659821253</v>
      </c>
      <c r="G16" s="1089">
        <f>+G6/G15*1000</f>
        <v>334.91739627525993</v>
      </c>
      <c r="I16" s="1141">
        <f>+I15+1</f>
        <v>6</v>
      </c>
      <c r="J16" s="1142" t="s">
        <v>1315</v>
      </c>
      <c r="K16" s="1459">
        <f>+L15-L16</f>
        <v>-8.3439752452958871E-2</v>
      </c>
      <c r="L16" s="1144">
        <f>+L15-K$10*M16</f>
        <v>11.056196288525669</v>
      </c>
      <c r="M16" s="1466">
        <f>-L29</f>
        <v>-7.9937756720169333E-3</v>
      </c>
      <c r="N16" s="1144"/>
    </row>
    <row r="17" spans="2:16" ht="32.1" customHeight="1">
      <c r="B17" s="1482"/>
      <c r="C17" s="949" t="s">
        <v>1055</v>
      </c>
      <c r="D17" s="992" t="s">
        <v>376</v>
      </c>
      <c r="E17" s="1089">
        <f>+E9*E21/1000</f>
        <v>6.3131987975624995</v>
      </c>
      <c r="F17" s="1089">
        <f>+F9*F21/1000</f>
        <v>7.2694537396263348</v>
      </c>
      <c r="G17" s="1089">
        <f>+G9*G21/1000</f>
        <v>9.4442836041028766</v>
      </c>
      <c r="H17" s="1064">
        <f>+G10*G21/1000</f>
        <v>7.4508141145153344</v>
      </c>
      <c r="I17" s="1141">
        <f>+I16+1</f>
        <v>7</v>
      </c>
      <c r="J17" s="1142" t="s">
        <v>1316</v>
      </c>
      <c r="K17" s="1458">
        <f t="shared" ref="K17:K18" si="6">+L16-L17</f>
        <v>-0.21878010134500059</v>
      </c>
      <c r="L17" s="1144">
        <f>+L16-K$10*M17</f>
        <v>11.27497638987067</v>
      </c>
      <c r="M17" s="1465">
        <f>-H120</f>
        <v>-2.0959782360800431E-2</v>
      </c>
      <c r="N17" s="1144"/>
    </row>
    <row r="18" spans="2:16" ht="32.1" customHeight="1" thickBot="1">
      <c r="B18" s="1482"/>
      <c r="C18" s="993" t="s">
        <v>1053</v>
      </c>
      <c r="D18" s="994" t="s">
        <v>376</v>
      </c>
      <c r="E18" s="1158">
        <f t="shared" ref="E18:G18" si="7">+E131</f>
        <v>5.3540838725624988</v>
      </c>
      <c r="F18" s="1158">
        <f t="shared" si="7"/>
        <v>6.1690512181109982</v>
      </c>
      <c r="G18" s="1158">
        <f t="shared" si="7"/>
        <v>5.5301905601347592</v>
      </c>
      <c r="I18" s="1141">
        <f>+I17+1</f>
        <v>8</v>
      </c>
      <c r="J18" s="1142" t="s">
        <v>1320</v>
      </c>
      <c r="K18" s="1459">
        <f t="shared" si="6"/>
        <v>-0.1211222213026808</v>
      </c>
      <c r="L18" s="1144">
        <f>+L17-K$10*M18</f>
        <v>11.39609861117335</v>
      </c>
      <c r="M18" s="1466">
        <f>-L30</f>
        <v>-1.1603867910992325E-2</v>
      </c>
      <c r="N18" s="1144"/>
    </row>
    <row r="19" spans="2:16" ht="32.1" customHeight="1">
      <c r="B19" s="1482"/>
      <c r="C19" s="1114" t="s">
        <v>1104</v>
      </c>
      <c r="D19" s="992" t="s">
        <v>232</v>
      </c>
      <c r="E19" s="1089">
        <v>0</v>
      </c>
      <c r="F19" s="1189">
        <f>1+F3</f>
        <v>1.18</v>
      </c>
      <c r="G19" s="1189">
        <f>1+G3</f>
        <v>1.55</v>
      </c>
      <c r="I19" s="1141">
        <f>+I21+1</f>
        <v>11</v>
      </c>
      <c r="J19" s="1148" t="s">
        <v>1321</v>
      </c>
      <c r="K19" s="1458">
        <f>+L21-L19</f>
        <v>-0.51749669747255922</v>
      </c>
      <c r="L19" s="1144">
        <f>+L21-K$10*M19</f>
        <v>14.194361728317258</v>
      </c>
      <c r="M19" s="1467">
        <f>-H133</f>
        <v>-4.9577717922131531E-2</v>
      </c>
      <c r="N19" s="1144"/>
    </row>
    <row r="20" spans="2:16" s="959" customFormat="1" ht="32.1" customHeight="1">
      <c r="B20" s="958"/>
      <c r="C20" s="1439" t="s">
        <v>1323</v>
      </c>
      <c r="D20" s="1439" t="s">
        <v>1324</v>
      </c>
      <c r="E20" s="945">
        <v>2020</v>
      </c>
      <c r="F20" s="945">
        <v>2030</v>
      </c>
      <c r="G20" s="945">
        <v>2050</v>
      </c>
      <c r="H20" s="1097"/>
      <c r="I20" s="1141">
        <f>+I18+1</f>
        <v>9</v>
      </c>
      <c r="J20" s="1142" t="s">
        <v>1317</v>
      </c>
      <c r="K20" s="1459">
        <f>+L18-L20</f>
        <v>-1.0766419671348615E-2</v>
      </c>
      <c r="L20" s="1144">
        <f>+L18-K$10*M20</f>
        <v>11.406865030844699</v>
      </c>
      <c r="M20" s="1466">
        <f>-L31</f>
        <v>-1.03145492542154E-3</v>
      </c>
      <c r="N20" s="1144"/>
    </row>
    <row r="21" spans="2:16" s="885" customFormat="1" ht="24.95" customHeight="1">
      <c r="B21" s="1483"/>
      <c r="C21" s="960" t="s">
        <v>1029</v>
      </c>
      <c r="D21" s="996" t="s">
        <v>1064</v>
      </c>
      <c r="E21" s="1159">
        <f>+(E22*(1-E24)+E24*E23)</f>
        <v>745.24996872509951</v>
      </c>
      <c r="F21" s="1159">
        <f>+(F22*(1-F24)+F24*F23)</f>
        <v>750.69704563090215</v>
      </c>
      <c r="G21" s="1159">
        <f>+(G22*(1-G24)+G24*G23)</f>
        <v>719.26648324573148</v>
      </c>
      <c r="H21" s="1098"/>
      <c r="I21" s="1141">
        <f>+I20+1</f>
        <v>10</v>
      </c>
      <c r="J21" s="1147" t="s">
        <v>1330</v>
      </c>
      <c r="K21" s="1458">
        <f>+L20-L21</f>
        <v>-2.2699999999999996</v>
      </c>
      <c r="L21" s="1144">
        <f>+L20-K$10*M21</f>
        <v>13.676865030844699</v>
      </c>
      <c r="M21" s="1468">
        <f>-H132</f>
        <v>-0.21747273022782171</v>
      </c>
      <c r="N21" s="1144"/>
      <c r="O21" s="885" t="s">
        <v>1213</v>
      </c>
      <c r="P21" s="885">
        <v>19</v>
      </c>
    </row>
    <row r="22" spans="2:16" s="885" customFormat="1" ht="20.100000000000001" customHeight="1">
      <c r="B22" s="1483"/>
      <c r="C22" s="1011" t="s">
        <v>1032</v>
      </c>
      <c r="D22" s="1012" t="s">
        <v>1064</v>
      </c>
      <c r="E22" s="1160">
        <f>+E95</f>
        <v>745.24996872509951</v>
      </c>
      <c r="F22" s="1160">
        <f>+F95</f>
        <v>750.69704563090215</v>
      </c>
      <c r="G22" s="1160">
        <f>+G95</f>
        <v>719.26648324573148</v>
      </c>
      <c r="H22" s="1099"/>
      <c r="I22" s="1141">
        <f>+I24+1</f>
        <v>14</v>
      </c>
      <c r="J22" s="1148" t="s">
        <v>1329</v>
      </c>
      <c r="K22" s="1458">
        <f>+L24-L22</f>
        <v>-2.2700000000000014</v>
      </c>
      <c r="L22" s="1149">
        <f>+L24-K$10*M22</f>
        <v>18.157456129746048</v>
      </c>
      <c r="M22" s="1469">
        <f>-H134</f>
        <v>-0.21747273022782171</v>
      </c>
      <c r="N22" s="1144"/>
      <c r="O22" s="885" t="s">
        <v>1214</v>
      </c>
      <c r="P22" s="885">
        <v>23</v>
      </c>
    </row>
    <row r="23" spans="2:16" s="885" customFormat="1" ht="20.100000000000001" customHeight="1">
      <c r="B23" s="1483"/>
      <c r="C23" s="1011" t="s">
        <v>1031</v>
      </c>
      <c r="D23" s="1012" t="s">
        <v>1064</v>
      </c>
      <c r="E23" s="1160">
        <f>+E99</f>
        <v>865</v>
      </c>
      <c r="F23" s="1160">
        <f>+F99</f>
        <v>865</v>
      </c>
      <c r="G23" s="1160">
        <f>+G99</f>
        <v>865</v>
      </c>
      <c r="H23" s="1099"/>
      <c r="I23" s="1141">
        <f>+I19+1</f>
        <v>12</v>
      </c>
      <c r="J23" s="1148" t="s">
        <v>1314</v>
      </c>
      <c r="K23" s="1458">
        <f>+L19-L23</f>
        <v>-0.60540923849199224</v>
      </c>
      <c r="L23" s="1144">
        <f>+L19-K$10*M23</f>
        <v>14.79977096680925</v>
      </c>
      <c r="M23" s="1467">
        <v>-5.8000000000000003E-2</v>
      </c>
      <c r="N23" s="1144"/>
      <c r="O23" s="885" t="s">
        <v>1215</v>
      </c>
      <c r="P23" s="885">
        <v>41</v>
      </c>
    </row>
    <row r="24" spans="2:16" s="885" customFormat="1" ht="20.100000000000001" customHeight="1">
      <c r="B24" s="1483"/>
      <c r="C24" s="1013" t="s">
        <v>1030</v>
      </c>
      <c r="D24" s="1012" t="s">
        <v>232</v>
      </c>
      <c r="E24" s="1161">
        <f>+E96</f>
        <v>0</v>
      </c>
      <c r="F24" s="1161">
        <v>0</v>
      </c>
      <c r="G24" s="1161">
        <v>0</v>
      </c>
      <c r="H24" s="1099"/>
      <c r="I24" s="1141">
        <f>+I23+1</f>
        <v>13</v>
      </c>
      <c r="J24" s="1148" t="s">
        <v>1318</v>
      </c>
      <c r="K24" s="1458">
        <f>+L23-L24</f>
        <v>-1.087685162936797</v>
      </c>
      <c r="L24" s="1144">
        <f>+L23-K$10*M24</f>
        <v>15.887456129746047</v>
      </c>
      <c r="M24" s="1467">
        <f>-H125</f>
        <v>-0.10420346344147942</v>
      </c>
      <c r="N24" s="1144"/>
      <c r="O24" s="885" t="s">
        <v>1216</v>
      </c>
      <c r="P24" s="885">
        <v>7</v>
      </c>
    </row>
    <row r="25" spans="2:16" s="885" customFormat="1" ht="24.95" customHeight="1">
      <c r="B25" s="1483"/>
      <c r="C25" s="960" t="s">
        <v>1057</v>
      </c>
      <c r="D25" s="939" t="s">
        <v>833</v>
      </c>
      <c r="E25" s="1162">
        <f>+E21*E9/1000</f>
        <v>6.3131987975624995</v>
      </c>
      <c r="F25" s="1162">
        <f t="shared" ref="F25:G25" si="8">+F21*F9/1000</f>
        <v>7.2694537396263348</v>
      </c>
      <c r="G25" s="1162">
        <f t="shared" si="8"/>
        <v>9.4442836041028766</v>
      </c>
      <c r="H25" s="1099"/>
      <c r="I25" s="1150"/>
      <c r="J25" s="1148">
        <f>13+7+7+15.5+7+12</f>
        <v>61.5</v>
      </c>
      <c r="M25" s="1218">
        <f>+SUM(M12:M24)</f>
        <v>-0.93264823250309137</v>
      </c>
      <c r="N25" s="1144"/>
      <c r="O25" s="885" t="s">
        <v>1217</v>
      </c>
      <c r="P25" s="885">
        <v>10</v>
      </c>
    </row>
    <row r="26" spans="2:16" s="885" customFormat="1" ht="20.100000000000001" customHeight="1">
      <c r="B26" s="1483"/>
      <c r="C26" s="1013" t="s">
        <v>1035</v>
      </c>
      <c r="D26" s="957" t="s">
        <v>993</v>
      </c>
      <c r="E26" s="1163">
        <f>+E76</f>
        <v>272.39999999999998</v>
      </c>
      <c r="F26" s="1163">
        <f t="shared" ref="F26:G26" si="9">+F76</f>
        <v>200</v>
      </c>
      <c r="G26" s="1163">
        <f t="shared" si="9"/>
        <v>14.1</v>
      </c>
      <c r="H26" s="1099"/>
      <c r="J26" s="885">
        <f>100-J25</f>
        <v>38.5</v>
      </c>
      <c r="N26" s="1151"/>
    </row>
    <row r="27" spans="2:16" s="885" customFormat="1" ht="20.100000000000001" customHeight="1">
      <c r="B27" s="1483"/>
      <c r="C27" s="1013" t="s">
        <v>1005</v>
      </c>
      <c r="D27" s="1012" t="s">
        <v>1063</v>
      </c>
      <c r="E27" s="1164">
        <f>+E78+E80+E82</f>
        <v>1.5457159362549802</v>
      </c>
      <c r="F27" s="1164">
        <f t="shared" ref="F27" si="10">+F78+F80+F82</f>
        <v>1.6773571685414725</v>
      </c>
      <c r="G27" s="1164">
        <f>+G78+G80+G82</f>
        <v>3.7128919857970093</v>
      </c>
      <c r="H27" s="1099"/>
      <c r="K27" s="1460">
        <f>+K15+K16+K18+K20</f>
        <v>-0.26916049178373491</v>
      </c>
      <c r="M27" s="1099">
        <f>+M16+M18+M15+M20</f>
        <v>-2.5786373135538495E-2</v>
      </c>
    </row>
    <row r="28" spans="2:16" s="885" customFormat="1" ht="20.100000000000001" customHeight="1">
      <c r="B28" s="1483"/>
      <c r="C28" s="1014" t="s">
        <v>1034</v>
      </c>
      <c r="D28" s="1012" t="s">
        <v>833</v>
      </c>
      <c r="E28" s="1165">
        <f>+E26*E27/1000</f>
        <v>0.42105302103585657</v>
      </c>
      <c r="F28" s="1166">
        <f>+F26*F27/1000</f>
        <v>0.33547143370829452</v>
      </c>
      <c r="G28" s="1166">
        <f>+G26*G27/1000</f>
        <v>5.235177699973783E-2</v>
      </c>
      <c r="H28" s="1100"/>
      <c r="I28" s="978"/>
      <c r="J28" s="885">
        <v>20</v>
      </c>
      <c r="K28" s="885" t="s">
        <v>1169</v>
      </c>
      <c r="L28" s="1100">
        <f>+J28*H$102/100</f>
        <v>5.1572746271076999E-3</v>
      </c>
    </row>
    <row r="29" spans="2:16" s="950" customFormat="1" ht="34.5" customHeight="1">
      <c r="B29" s="1036" t="s">
        <v>1044</v>
      </c>
      <c r="C29" s="952"/>
      <c r="D29" s="951" t="s">
        <v>1013</v>
      </c>
      <c r="E29" s="1162">
        <f>+E25+E28</f>
        <v>6.7342518185983558</v>
      </c>
      <c r="F29" s="1162">
        <f t="shared" ref="F29" si="11">+F25+F28</f>
        <v>7.604925173334629</v>
      </c>
      <c r="G29" s="1162">
        <f>+G25+G28</f>
        <v>9.4966353811026138</v>
      </c>
      <c r="H29" s="1091"/>
      <c r="I29" s="954"/>
      <c r="J29" s="950">
        <v>31</v>
      </c>
      <c r="K29" s="950" t="s">
        <v>1119</v>
      </c>
      <c r="L29" s="1100">
        <f>+J29*H$102/100</f>
        <v>7.9937756720169333E-3</v>
      </c>
    </row>
    <row r="30" spans="2:16" s="950" customFormat="1" ht="21" customHeight="1">
      <c r="B30" s="1036" t="s">
        <v>1096</v>
      </c>
      <c r="C30" s="952"/>
      <c r="D30" s="951" t="s">
        <v>1013</v>
      </c>
      <c r="E30" s="961" t="s">
        <v>1014</v>
      </c>
      <c r="F30" s="1113">
        <f>+F17</f>
        <v>7.2694537396263348</v>
      </c>
      <c r="G30" s="1115">
        <f>+E29*(G19-1)</f>
        <v>3.7038385002290961</v>
      </c>
      <c r="H30" s="1109">
        <f>+E29*(1+G3)</f>
        <v>10.438090318827452</v>
      </c>
      <c r="I30" s="884"/>
      <c r="J30" s="950">
        <v>45</v>
      </c>
      <c r="K30" s="950" t="s">
        <v>951</v>
      </c>
      <c r="L30" s="1100">
        <f>+J30*H$102/100</f>
        <v>1.1603867910992325E-2</v>
      </c>
    </row>
    <row r="31" spans="2:16" ht="18.75" customHeight="1">
      <c r="E31" s="1116">
        <v>2022</v>
      </c>
      <c r="F31" s="1116">
        <v>2030</v>
      </c>
      <c r="G31" s="1116">
        <v>2050</v>
      </c>
      <c r="I31" s="1010">
        <f>+(G32-E32)/E32</f>
        <v>0.21813031161473093</v>
      </c>
      <c r="J31" s="884">
        <v>4</v>
      </c>
      <c r="K31" s="884" t="s">
        <v>1120</v>
      </c>
      <c r="L31" s="1100">
        <f>+J31*H$102/100</f>
        <v>1.03145492542154E-3</v>
      </c>
    </row>
    <row r="32" spans="2:16" s="885" customFormat="1" ht="21.95" customHeight="1">
      <c r="B32" s="1482" t="s">
        <v>978</v>
      </c>
      <c r="C32" s="1052" t="s">
        <v>935</v>
      </c>
      <c r="D32" s="1053" t="s">
        <v>232</v>
      </c>
      <c r="E32" s="1343">
        <v>0.35299999999999998</v>
      </c>
      <c r="F32" s="1343">
        <v>0.39</v>
      </c>
      <c r="G32" s="1343">
        <v>0.43</v>
      </c>
      <c r="H32" s="1100">
        <f>+E32*E33+E37*E38+E42*E43+E47*E48</f>
        <v>0.67804799999999998</v>
      </c>
      <c r="I32" s="1010">
        <f>+(G33-E33)/E33</f>
        <v>-0.11025641025641035</v>
      </c>
      <c r="J32" s="995">
        <f>+SUM(J28:J31)</f>
        <v>100</v>
      </c>
      <c r="L32" s="1100">
        <f>+SUM(L28:L31)</f>
        <v>2.5786373135538498E-2</v>
      </c>
    </row>
    <row r="33" spans="2:30" s="885" customFormat="1" ht="20.100000000000001" customHeight="1">
      <c r="B33" s="1482"/>
      <c r="C33" s="1015" t="s">
        <v>936</v>
      </c>
      <c r="D33" s="1016" t="s">
        <v>232</v>
      </c>
      <c r="E33" s="1344">
        <v>0.78</v>
      </c>
      <c r="F33" s="1344">
        <v>0.75</v>
      </c>
      <c r="G33" s="1344">
        <v>0.69399999999999995</v>
      </c>
      <c r="H33" s="1100">
        <f>+F32*F33+F37*F38+F42*F43+F47*F48</f>
        <v>0.65389999999999993</v>
      </c>
      <c r="J33" s="1428">
        <f>+E32+E37+E42+E47</f>
        <v>1.01</v>
      </c>
    </row>
    <row r="34" spans="2:30" s="885" customFormat="1" ht="15.95" customHeight="1">
      <c r="B34" s="1482"/>
      <c r="C34" s="1017" t="s">
        <v>913</v>
      </c>
      <c r="D34" s="1018" t="s">
        <v>232</v>
      </c>
      <c r="E34" s="1131">
        <v>0.5</v>
      </c>
      <c r="F34" s="1131">
        <v>0.5</v>
      </c>
      <c r="G34" s="1131">
        <v>0.5</v>
      </c>
      <c r="H34" s="1100">
        <f>+G32*G33+G37*G38+G42*G43+G47*G48</f>
        <v>0.61246999999999996</v>
      </c>
      <c r="J34" s="1428">
        <f>+F32+F37+F42+F47</f>
        <v>1</v>
      </c>
    </row>
    <row r="35" spans="2:30" s="885" customFormat="1" ht="15.95" customHeight="1">
      <c r="B35" s="1482"/>
      <c r="C35" s="1017" t="s">
        <v>976</v>
      </c>
      <c r="D35" s="1018" t="s">
        <v>232</v>
      </c>
      <c r="E35" s="1131">
        <v>0.5</v>
      </c>
      <c r="F35" s="1131">
        <v>0.5</v>
      </c>
      <c r="G35" s="1131">
        <v>0.5</v>
      </c>
      <c r="H35" s="1099"/>
      <c r="J35" s="1428">
        <f>+G32+G37+G42+G47</f>
        <v>0.99500000000000011</v>
      </c>
    </row>
    <row r="36" spans="2:30" s="885" customFormat="1" ht="15.95" customHeight="1">
      <c r="B36" s="1482"/>
      <c r="C36" s="1019" t="s">
        <v>977</v>
      </c>
      <c r="D36" s="1020" t="s">
        <v>232</v>
      </c>
      <c r="E36" s="1117">
        <v>0</v>
      </c>
      <c r="F36" s="1117">
        <f t="shared" ref="F36:G36" si="12">100%-F34-F35</f>
        <v>0</v>
      </c>
      <c r="G36" s="1117">
        <f t="shared" si="12"/>
        <v>0</v>
      </c>
      <c r="H36" s="1099"/>
      <c r="I36" s="1010">
        <f>+(G37-E37)/E37</f>
        <v>-0.19172932330827072</v>
      </c>
      <c r="J36" s="995"/>
    </row>
    <row r="37" spans="2:30" s="885" customFormat="1" ht="21.95" customHeight="1">
      <c r="B37" s="1482"/>
      <c r="C37" s="1050" t="s">
        <v>914</v>
      </c>
      <c r="D37" s="1051" t="s">
        <v>232</v>
      </c>
      <c r="E37" s="1343">
        <v>0.53200000000000003</v>
      </c>
      <c r="F37" s="1343">
        <v>0.47</v>
      </c>
      <c r="G37" s="1343">
        <v>0.43</v>
      </c>
      <c r="H37" s="1099"/>
      <c r="I37" s="1010">
        <f>+(G38-E38)/E38</f>
        <v>-9.4076655052264702E-2</v>
      </c>
      <c r="AD37" s="1010">
        <f>5.5/(6.3+0.3+3.36)</f>
        <v>0.55220883534136556</v>
      </c>
    </row>
    <row r="38" spans="2:30" s="885" customFormat="1" ht="20.100000000000001" customHeight="1">
      <c r="B38" s="1482"/>
      <c r="C38" s="1015" t="s">
        <v>936</v>
      </c>
      <c r="D38" s="1016" t="s">
        <v>232</v>
      </c>
      <c r="E38" s="1344">
        <v>0.57399999999999995</v>
      </c>
      <c r="F38" s="1344">
        <v>0.55000000000000004</v>
      </c>
      <c r="G38" s="1344">
        <v>0.52</v>
      </c>
      <c r="H38" s="1099"/>
    </row>
    <row r="39" spans="2:30" s="885" customFormat="1" ht="15.95" customHeight="1">
      <c r="B39" s="1482"/>
      <c r="C39" s="1017" t="s">
        <v>913</v>
      </c>
      <c r="D39" s="1018" t="s">
        <v>232</v>
      </c>
      <c r="E39" s="1131">
        <v>0.2</v>
      </c>
      <c r="F39" s="1131">
        <v>0.2</v>
      </c>
      <c r="G39" s="1131">
        <v>0.2</v>
      </c>
      <c r="H39" s="1099"/>
    </row>
    <row r="40" spans="2:30" s="885" customFormat="1" ht="15.95" customHeight="1">
      <c r="B40" s="1482"/>
      <c r="C40" s="1017" t="s">
        <v>937</v>
      </c>
      <c r="D40" s="1018" t="s">
        <v>232</v>
      </c>
      <c r="E40" s="1131">
        <v>0.4</v>
      </c>
      <c r="F40" s="1131">
        <v>0.4</v>
      </c>
      <c r="G40" s="1131">
        <v>0.4</v>
      </c>
      <c r="H40" s="1099"/>
      <c r="I40" s="1010"/>
    </row>
    <row r="41" spans="2:30" s="885" customFormat="1" ht="15.95" customHeight="1">
      <c r="B41" s="1482"/>
      <c r="C41" s="1019" t="s">
        <v>938</v>
      </c>
      <c r="D41" s="1020" t="s">
        <v>232</v>
      </c>
      <c r="E41" s="1117">
        <f>100%-E39-E40</f>
        <v>0.4</v>
      </c>
      <c r="F41" s="1117">
        <f t="shared" ref="F41:G41" si="13">100%-F39-F40</f>
        <v>0.4</v>
      </c>
      <c r="G41" s="1117">
        <f t="shared" si="13"/>
        <v>0.4</v>
      </c>
      <c r="H41" s="1099"/>
      <c r="J41" s="995"/>
    </row>
    <row r="42" spans="2:30" s="885" customFormat="1" ht="21.95" customHeight="1">
      <c r="B42" s="1482"/>
      <c r="C42" s="1050" t="s">
        <v>939</v>
      </c>
      <c r="D42" s="1051" t="s">
        <v>232</v>
      </c>
      <c r="E42" s="1343">
        <v>7.1999999999999995E-2</v>
      </c>
      <c r="F42" s="1343">
        <v>7.0000000000000007E-2</v>
      </c>
      <c r="G42" s="1343">
        <v>6.5000000000000002E-2</v>
      </c>
      <c r="H42" s="1099"/>
    </row>
    <row r="43" spans="2:30" s="885" customFormat="1" ht="20.100000000000001" customHeight="1">
      <c r="B43" s="1482"/>
      <c r="C43" s="1015" t="s">
        <v>936</v>
      </c>
      <c r="D43" s="1016" t="s">
        <v>232</v>
      </c>
      <c r="E43" s="1344">
        <v>0.76600000000000001</v>
      </c>
      <c r="F43" s="1344">
        <v>0.72</v>
      </c>
      <c r="G43" s="1344">
        <v>0.67</v>
      </c>
      <c r="H43" s="1099"/>
    </row>
    <row r="44" spans="2:30" s="885" customFormat="1" ht="15.95" customHeight="1">
      <c r="B44" s="1482"/>
      <c r="C44" s="1017" t="s">
        <v>913</v>
      </c>
      <c r="D44" s="1018" t="s">
        <v>232</v>
      </c>
      <c r="E44" s="1131">
        <v>1</v>
      </c>
      <c r="F44" s="1131">
        <v>1</v>
      </c>
      <c r="G44" s="1131">
        <v>1</v>
      </c>
      <c r="H44" s="1099"/>
    </row>
    <row r="45" spans="2:30" s="885" customFormat="1" ht="15.95" customHeight="1">
      <c r="B45" s="1482"/>
      <c r="C45" s="1017" t="s">
        <v>937</v>
      </c>
      <c r="D45" s="1018" t="s">
        <v>232</v>
      </c>
      <c r="E45" s="1131">
        <v>0</v>
      </c>
      <c r="F45" s="1131">
        <v>0</v>
      </c>
      <c r="G45" s="1131">
        <v>0</v>
      </c>
      <c r="H45" s="1099"/>
      <c r="K45" s="885">
        <f>41+44+7+7</f>
        <v>99</v>
      </c>
    </row>
    <row r="46" spans="2:30" s="885" customFormat="1" ht="15.95" customHeight="1">
      <c r="B46" s="1482"/>
      <c r="C46" s="1019" t="s">
        <v>938</v>
      </c>
      <c r="D46" s="1020" t="s">
        <v>232</v>
      </c>
      <c r="E46" s="1117">
        <f>100%-E44-E45</f>
        <v>0</v>
      </c>
      <c r="F46" s="1117">
        <f t="shared" ref="F46:G46" si="14">100%-F44-F45</f>
        <v>0</v>
      </c>
      <c r="G46" s="1117">
        <f t="shared" si="14"/>
        <v>0</v>
      </c>
      <c r="H46" s="1099"/>
      <c r="J46" s="995"/>
    </row>
    <row r="47" spans="2:30" s="885" customFormat="1" ht="21.95" customHeight="1">
      <c r="B47" s="1482"/>
      <c r="C47" s="1050" t="s">
        <v>940</v>
      </c>
      <c r="D47" s="1051" t="s">
        <v>232</v>
      </c>
      <c r="E47" s="1343">
        <v>5.2999999999999999E-2</v>
      </c>
      <c r="F47" s="1343">
        <v>7.0000000000000007E-2</v>
      </c>
      <c r="G47" s="1343">
        <v>7.0000000000000007E-2</v>
      </c>
      <c r="H47" s="1099"/>
    </row>
    <row r="48" spans="2:30" s="885" customFormat="1" ht="20.100000000000001" customHeight="1">
      <c r="B48" s="1482"/>
      <c r="C48" s="1015" t="s">
        <v>936</v>
      </c>
      <c r="D48" s="1016" t="s">
        <v>232</v>
      </c>
      <c r="E48" s="1344">
        <v>0.79600000000000004</v>
      </c>
      <c r="F48" s="1344">
        <v>0.75</v>
      </c>
      <c r="G48" s="1344">
        <v>0.67</v>
      </c>
      <c r="H48" s="1099"/>
      <c r="L48" s="1010"/>
    </row>
    <row r="49" spans="2:16" s="885" customFormat="1" ht="15.95" customHeight="1">
      <c r="B49" s="1482"/>
      <c r="C49" s="1017" t="s">
        <v>913</v>
      </c>
      <c r="D49" s="1018" t="s">
        <v>232</v>
      </c>
      <c r="E49" s="1131">
        <v>0.8</v>
      </c>
      <c r="F49" s="1131">
        <v>0.8</v>
      </c>
      <c r="G49" s="1131">
        <v>0.7</v>
      </c>
      <c r="H49" s="1099"/>
    </row>
    <row r="50" spans="2:16" s="885" customFormat="1" ht="15.95" customHeight="1">
      <c r="B50" s="1482"/>
      <c r="C50" s="1017" t="s">
        <v>937</v>
      </c>
      <c r="D50" s="1018" t="s">
        <v>232</v>
      </c>
      <c r="E50" s="1131">
        <v>0.2</v>
      </c>
      <c r="F50" s="1131">
        <v>0.2</v>
      </c>
      <c r="G50" s="1131">
        <v>0.3</v>
      </c>
      <c r="H50" s="1099"/>
    </row>
    <row r="51" spans="2:16" s="885" customFormat="1" ht="15.95" customHeight="1">
      <c r="B51" s="1482"/>
      <c r="C51" s="1019" t="s">
        <v>938</v>
      </c>
      <c r="D51" s="1020" t="s">
        <v>232</v>
      </c>
      <c r="E51" s="1117">
        <f>100%-E49-E50</f>
        <v>0</v>
      </c>
      <c r="F51" s="1117">
        <f t="shared" ref="F51:G51" si="15">100%-F49-F50</f>
        <v>0</v>
      </c>
      <c r="G51" s="1117">
        <f t="shared" si="15"/>
        <v>0</v>
      </c>
      <c r="H51" s="1099"/>
    </row>
    <row r="52" spans="2:16" s="885" customFormat="1" ht="15.95" customHeight="1">
      <c r="B52" s="938"/>
      <c r="C52" s="960" t="s">
        <v>1080</v>
      </c>
      <c r="D52" s="1054" t="s">
        <v>376</v>
      </c>
      <c r="E52" s="1055">
        <f>+'Whole life model'!J17*'Whole life model'!J11*'Whole life model'!J13*'Whole life model'!J15+'Whole life model'!M17*'Whole life model'!M11*'Whole life model'!M13*'Whole life model'!M15+'Whole life model'!P17*'Whole life model'!P11*'Whole life model'!P13*'Whole life model'!P15+'Whole life model'!S17*'Whole life model'!S11*'Whole life model'!S13*'Whole life model'!S15</f>
        <v>5.1496015936254977</v>
      </c>
      <c r="F52" s="1055">
        <f>+'Whole life model'!J17*'Whole life model'!K11/'Whole life model'!J11*'Whole life model'!K13/'Whole life model'!J13*'Whole life model'!K15/'Whole life model'!J15+'Whole life model'!M17*'Whole life model'!N11/'Whole life model'!M11*'Whole life model'!N13/'Whole life model'!M13*'Whole life model'!N15/'Whole life model'!M15+'Whole life model'!P17*'Whole life model'!Q11/'Whole life model'!P11*'Whole life model'!Q13/'Whole life model'!P13*'Whole life model'!Q15/'Whole life model'!P15+'Whole life model'!S17*'Whole life model'!T11/'Whole life model'!S11*'Whole life model'!T13/'Whole life model'!S13*'Whole life model'!T15/'Whole life model'!S15</f>
        <v>11.984261332570313</v>
      </c>
      <c r="G52" s="1055">
        <f>+('Whole life model'!J17*G32/E32*'Whole life model'!L13/'Whole life model'!J13*'Whole life model'!L15/'Whole life model'!J15)+('Whole life model'!M17*G37/E37*'Whole life model'!O13/'Whole life model'!M13*'Whole life model'!O15/'Whole life model'!M15)+('Whole life model'!P17*G42/E42*'Whole life model'!R13/'Whole life model'!P13*'Whole life model'!R15/'Whole life model'!P15)+('Whole life model'!S17*G47/E47*'Whole life model'!U13/'Whole life model'!S13*'Whole life model'!U15/'Whole life model'!S15)</f>
        <v>10.740992634194104</v>
      </c>
      <c r="H52" s="1099"/>
      <c r="I52" s="1010"/>
    </row>
    <row r="53" spans="2:16" s="885" customFormat="1" ht="15.95" customHeight="1">
      <c r="B53" s="938"/>
      <c r="C53" s="960" t="s">
        <v>1081</v>
      </c>
      <c r="D53" s="1054" t="s">
        <v>376</v>
      </c>
      <c r="E53" s="1055">
        <f>+'Whole life model'!J17*'Whole life model'!J11*'Whole life model'!J15+'Whole life model'!M17*'Whole life model'!M11*'Whole life model'!M15+'Whole life model'!P17*'Whole life model'!P11*'Whole life model'!P15+'Whole life model'!S17*'Whole life model'!S11*'Whole life model'!S15</f>
        <v>5.1496015936254977</v>
      </c>
      <c r="F53" s="1055">
        <f>+'Whole life model'!J17*'Whole life model'!K11/'Whole life model'!J11*'Whole life model'!K15/'Whole life model'!J15+'Whole life model'!M17*'Whole life model'!N11/'Whole life model'!M11*'Whole life model'!N15/'Whole life model'!M15+'Whole life model'!P17*'Whole life model'!Q11/'Whole life model'!P11*'Whole life model'!Q15/'Whole life model'!P15+'Whole life model'!S17*'Whole life model'!T11/'Whole life model'!S11*'Whole life model'!T15/'Whole life model'!S15</f>
        <v>12.537763750000002</v>
      </c>
      <c r="G53" s="1055">
        <f>('Whole life model'!J17*G32/E32*'Whole life model'!L15/'Whole life model'!J15)+('Whole life model'!M17*G37/E37*'Whole life model'!O15/'Whole life model'!M15)+('Whole life model'!P17*G42/E42*'Whole life model'!R15/'Whole life model'!P15)+('Whole life model'!S17*G47/E47*'Whole life model'!U15/'Whole life model'!S15)</f>
        <v>11.703662693188242</v>
      </c>
      <c r="H53" s="1100"/>
      <c r="I53" s="1091">
        <f>+H54+H55+H68+H74+H86+H102+H120+H125+H132+H133+H134</f>
        <v>0.92225173536840854</v>
      </c>
      <c r="J53" s="950"/>
      <c r="K53" s="950"/>
      <c r="L53" s="950"/>
      <c r="M53" s="950"/>
    </row>
    <row r="54" spans="2:16" s="950" customFormat="1" ht="34.5" customHeight="1">
      <c r="B54" s="1481" t="s">
        <v>1045</v>
      </c>
      <c r="C54" s="1481"/>
      <c r="D54" s="1028" t="s">
        <v>1070</v>
      </c>
      <c r="E54" s="1037" t="s">
        <v>1014</v>
      </c>
      <c r="F54" s="1055">
        <f>(E29+F30)-(E29+F30)*F52/(E70*'Whole life model'!G15)</f>
        <v>0.61821908866730446</v>
      </c>
      <c r="G54" s="1108">
        <f>+(E29+G30)-(E29+G30)*G52/(E70*'Whole life model'!H15)</f>
        <v>1.0078503378217274</v>
      </c>
      <c r="H54" s="1431">
        <f>+G54/H30</f>
        <v>9.6555050496530168E-2</v>
      </c>
      <c r="I54" s="1462"/>
      <c r="P54" s="1462">
        <f>0.059*0.35+0.035*0.53+0.035*0.07+0.035*0.05</f>
        <v>4.3400000000000001E-2</v>
      </c>
    </row>
    <row r="55" spans="2:16" s="950" customFormat="1" ht="34.5" customHeight="1">
      <c r="B55" s="1481" t="s">
        <v>1046</v>
      </c>
      <c r="C55" s="1481"/>
      <c r="D55" s="1028" t="s">
        <v>1070</v>
      </c>
      <c r="E55" s="1037" t="s">
        <v>1014</v>
      </c>
      <c r="F55" s="1055">
        <f>(E29+F30-F54)-((E29+F30-F54)*F53/E69)</f>
        <v>13.302487425524681</v>
      </c>
      <c r="G55" s="1108">
        <f>+(E29+G30-G54)-((E29+G30-G54)*G53/E70)</f>
        <v>0.63594931538748511</v>
      </c>
      <c r="H55" s="1431">
        <f>+G55/H30</f>
        <v>6.0925829913581697E-2</v>
      </c>
    </row>
    <row r="56" spans="2:16" s="950" customFormat="1" ht="34.5" customHeight="1">
      <c r="B56" s="1036" t="s">
        <v>1065</v>
      </c>
      <c r="C56" s="1036"/>
      <c r="D56" s="1028" t="s">
        <v>1066</v>
      </c>
      <c r="E56" s="1076">
        <f>+'Whole life model'!N46</f>
        <v>381.45896656534956</v>
      </c>
      <c r="F56" s="1076">
        <f>+'Whole life model'!O46</f>
        <v>377.10475659821253</v>
      </c>
      <c r="G56" s="1076">
        <f>+'Whole life model'!P46</f>
        <v>334.91739627525993</v>
      </c>
      <c r="H56" s="1187">
        <f>+G53/E70</f>
        <v>0.93256276439746943</v>
      </c>
      <c r="I56" s="884"/>
      <c r="J56" s="884"/>
      <c r="K56" s="884"/>
      <c r="L56" s="884">
        <v>65</v>
      </c>
      <c r="M56" s="884"/>
    </row>
    <row r="57" spans="2:16" ht="32.25" customHeight="1">
      <c r="E57" s="945">
        <v>2022</v>
      </c>
      <c r="F57" s="945">
        <v>2030</v>
      </c>
      <c r="G57" s="945">
        <v>2050</v>
      </c>
      <c r="I57" s="885"/>
      <c r="J57" s="885"/>
      <c r="K57" s="885"/>
      <c r="L57" s="885">
        <v>5</v>
      </c>
      <c r="M57" s="885"/>
    </row>
    <row r="58" spans="2:16" s="885" customFormat="1" ht="27" customHeight="1">
      <c r="B58" s="1483" t="s">
        <v>1015</v>
      </c>
      <c r="C58" s="960" t="s">
        <v>941</v>
      </c>
      <c r="D58" s="1021" t="s">
        <v>232</v>
      </c>
      <c r="E58" s="1346">
        <f>E32*E33+E37*E38+E42*E43+E47*E48</f>
        <v>0.67804799999999998</v>
      </c>
      <c r="F58" s="1346">
        <f>F32*F33+F37*F38+F42*F43+F47*F48</f>
        <v>0.65389999999999993</v>
      </c>
      <c r="G58" s="1346">
        <f>G32*G33+G37*G38+G42*G43+G47*G48</f>
        <v>0.61246999999999996</v>
      </c>
      <c r="H58" s="1099">
        <f>+SUM(E58:E65)</f>
        <v>1.0100480000000001</v>
      </c>
      <c r="I58" s="1099">
        <f t="shared" ref="I58:J58" si="16">+SUM(F58:F65)</f>
        <v>1.0039</v>
      </c>
      <c r="J58" s="1099">
        <f t="shared" si="16"/>
        <v>1.0024700000000002</v>
      </c>
      <c r="L58" s="885">
        <v>15</v>
      </c>
    </row>
    <row r="59" spans="2:16" s="885" customFormat="1" ht="20.100000000000001" customHeight="1">
      <c r="B59" s="1482"/>
      <c r="C59" s="1022" t="s">
        <v>942</v>
      </c>
      <c r="D59" s="1023" t="s">
        <v>232</v>
      </c>
      <c r="E59" s="1132">
        <v>0.05</v>
      </c>
      <c r="F59" s="1132">
        <v>0.05</v>
      </c>
      <c r="G59" s="1132">
        <v>0.05</v>
      </c>
      <c r="H59" s="1099"/>
      <c r="L59" s="885">
        <v>4</v>
      </c>
    </row>
    <row r="60" spans="2:16" s="885" customFormat="1" ht="20.100000000000001" customHeight="1">
      <c r="B60" s="1482"/>
      <c r="C60" s="1022" t="s">
        <v>902</v>
      </c>
      <c r="D60" s="1023" t="s">
        <v>232</v>
      </c>
      <c r="E60" s="1132">
        <v>0.17</v>
      </c>
      <c r="F60" s="1132">
        <v>0.15</v>
      </c>
      <c r="G60" s="1132">
        <v>0.2</v>
      </c>
      <c r="H60" s="1099"/>
      <c r="L60" s="885">
        <v>2</v>
      </c>
    </row>
    <row r="61" spans="2:16" s="885" customFormat="1" ht="20.100000000000001" customHeight="1">
      <c r="B61" s="1482"/>
      <c r="C61" s="1022" t="s">
        <v>943</v>
      </c>
      <c r="D61" s="1023" t="s">
        <v>232</v>
      </c>
      <c r="E61" s="1132">
        <v>0.05</v>
      </c>
      <c r="F61" s="1132">
        <v>0.04</v>
      </c>
      <c r="G61" s="1132">
        <v>0.05</v>
      </c>
      <c r="H61" s="1099"/>
      <c r="L61" s="885">
        <v>5</v>
      </c>
    </row>
    <row r="62" spans="2:16" s="885" customFormat="1" ht="20.100000000000001" customHeight="1">
      <c r="B62" s="1482"/>
      <c r="C62" s="1022" t="s">
        <v>944</v>
      </c>
      <c r="D62" s="1023" t="s">
        <v>232</v>
      </c>
      <c r="E62" s="1132">
        <v>0</v>
      </c>
      <c r="F62" s="1132">
        <v>0.02</v>
      </c>
      <c r="G62" s="1132">
        <v>0</v>
      </c>
      <c r="H62" s="1099"/>
      <c r="L62" s="885">
        <v>4</v>
      </c>
    </row>
    <row r="63" spans="2:16" s="885" customFormat="1" ht="20.100000000000001" customHeight="1">
      <c r="B63" s="1482"/>
      <c r="C63" s="1022" t="s">
        <v>945</v>
      </c>
      <c r="D63" s="1023" t="s">
        <v>232</v>
      </c>
      <c r="E63" s="1132">
        <v>0.05</v>
      </c>
      <c r="F63" s="1132">
        <v>0.05</v>
      </c>
      <c r="G63" s="1132">
        <v>0.03</v>
      </c>
      <c r="H63" s="1099"/>
    </row>
    <row r="64" spans="2:16" s="885" customFormat="1" ht="20.100000000000001" customHeight="1">
      <c r="B64" s="1482"/>
      <c r="C64" s="1022" t="s">
        <v>1095</v>
      </c>
      <c r="D64" s="1023" t="s">
        <v>232</v>
      </c>
      <c r="E64" s="1132">
        <v>0.01</v>
      </c>
      <c r="F64" s="1132">
        <v>0.03</v>
      </c>
      <c r="G64" s="1132">
        <v>0.05</v>
      </c>
      <c r="H64" s="1099"/>
    </row>
    <row r="65" spans="1:13" s="885" customFormat="1" ht="20.100000000000001" customHeight="1">
      <c r="B65" s="1482"/>
      <c r="C65" s="1022" t="s">
        <v>946</v>
      </c>
      <c r="D65" s="1023" t="s">
        <v>232</v>
      </c>
      <c r="E65" s="1132">
        <v>2E-3</v>
      </c>
      <c r="F65" s="1132">
        <v>0.01</v>
      </c>
      <c r="G65" s="1132">
        <v>0.01</v>
      </c>
      <c r="H65" s="1099"/>
    </row>
    <row r="66" spans="1:13" s="885" customFormat="1" ht="20.100000000000001" customHeight="1">
      <c r="B66" s="938"/>
      <c r="C66" s="1024" t="s">
        <v>1097</v>
      </c>
      <c r="D66" s="1025"/>
      <c r="E66" s="1026">
        <v>0</v>
      </c>
      <c r="F66" s="1026">
        <f>+E58-F58</f>
        <v>2.4148000000000058E-2</v>
      </c>
      <c r="G66" s="1026">
        <f>+E58-G58</f>
        <v>6.5578000000000025E-2</v>
      </c>
      <c r="H66" s="1099"/>
    </row>
    <row r="67" spans="1:13" s="885" customFormat="1" ht="20.100000000000001" customHeight="1">
      <c r="B67" s="938"/>
      <c r="C67" s="1024" t="s">
        <v>1028</v>
      </c>
      <c r="D67" s="1025"/>
      <c r="E67" s="1027">
        <f>+E88*E95+E96*E99</f>
        <v>745.24996872509951</v>
      </c>
      <c r="F67" s="1027">
        <f>+E67</f>
        <v>745.24996872509951</v>
      </c>
      <c r="G67" s="1027">
        <f>+F67</f>
        <v>745.24996872509951</v>
      </c>
      <c r="H67" s="1099"/>
      <c r="I67" s="950"/>
      <c r="J67" s="950"/>
      <c r="K67" s="950"/>
      <c r="L67" s="950"/>
      <c r="M67" s="950"/>
    </row>
    <row r="68" spans="1:13" s="950" customFormat="1" ht="34.5" customHeight="1">
      <c r="B68" s="1481" t="s">
        <v>1047</v>
      </c>
      <c r="C68" s="1481"/>
      <c r="D68" s="1028" t="s">
        <v>1070</v>
      </c>
      <c r="E68" s="1037"/>
      <c r="F68" s="1038">
        <f>+'Resumen Ejes de Reduccion'!F6*'Resumen Ejes de Reduccion'!F66*'Resumen Ejes de Reduccion'!F67/1000</f>
        <v>0.25449333431455234</v>
      </c>
      <c r="G68" s="1108">
        <f>+'Resumen Ejes de Reduccion'!G6*'Resumen Ejes de Reduccion'!G66*'Resumen Ejes de Reduccion'!G67/1000</f>
        <v>0.82658823245527235</v>
      </c>
      <c r="H68" s="1431">
        <f>+G68/H30</f>
        <v>7.9189603386007681E-2</v>
      </c>
      <c r="I68" s="950">
        <f>+(E67*E58+G67*G58)/1000</f>
        <v>0.96175849913917799</v>
      </c>
      <c r="J68" s="1463">
        <f>+I68/H30</f>
        <v>9.2139315694982002E-2</v>
      </c>
    </row>
    <row r="69" spans="1:13" s="950" customFormat="1" ht="34.5" customHeight="1">
      <c r="E69" s="950">
        <v>2022</v>
      </c>
      <c r="F69" s="950">
        <v>2030</v>
      </c>
      <c r="G69" s="950">
        <v>2050</v>
      </c>
      <c r="H69" s="1091"/>
    </row>
    <row r="70" spans="1:13" s="950" customFormat="1" ht="34.5" customHeight="1">
      <c r="A70" s="884"/>
      <c r="B70" s="1483" t="s">
        <v>1082</v>
      </c>
      <c r="C70" s="960" t="s">
        <v>1083</v>
      </c>
      <c r="D70" s="1056" t="s">
        <v>1084</v>
      </c>
      <c r="E70" s="992">
        <f>+'Whole life model'!F17</f>
        <v>12.55</v>
      </c>
      <c r="F70" s="992">
        <f>+'Whole life model'!G17</f>
        <v>14.141428372432969</v>
      </c>
      <c r="G70" s="992">
        <f>+'Whole life model'!H17</f>
        <v>16.913328511900627</v>
      </c>
      <c r="H70" s="1091"/>
    </row>
    <row r="71" spans="1:13" s="950" customFormat="1" ht="34.5" customHeight="1">
      <c r="A71" s="884"/>
      <c r="B71" s="1483"/>
      <c r="C71" s="960" t="s">
        <v>1085</v>
      </c>
      <c r="D71" s="1028" t="s">
        <v>1086</v>
      </c>
      <c r="E71" s="1057">
        <f>+'Whole life model'!G30</f>
        <v>1.1509189946410234E-2</v>
      </c>
      <c r="F71" s="1057">
        <f>+'Whole life model'!H28</f>
        <v>0.01</v>
      </c>
      <c r="G71" s="992">
        <f>+'Whole life model'!H28</f>
        <v>0.01</v>
      </c>
      <c r="H71" s="1091"/>
    </row>
    <row r="72" spans="1:13" s="950" customFormat="1" ht="34.5" customHeight="1">
      <c r="A72" s="884"/>
      <c r="B72" s="1483"/>
      <c r="C72" s="960" t="s">
        <v>1087</v>
      </c>
      <c r="D72" s="1028" t="s">
        <v>1088</v>
      </c>
      <c r="E72" s="1058">
        <f>+'Whole life model'!G31</f>
        <v>6.7959811536678005</v>
      </c>
      <c r="F72" s="961">
        <f>+'Whole life model'!G29</f>
        <v>0.4</v>
      </c>
      <c r="G72" s="992">
        <f>+'Whole life model'!H29</f>
        <v>0.28999999999999998</v>
      </c>
      <c r="H72" s="1091"/>
    </row>
    <row r="73" spans="1:13" s="950" customFormat="1" ht="34.5" customHeight="1">
      <c r="A73" s="884"/>
      <c r="B73" s="1483"/>
      <c r="C73" s="960" t="s">
        <v>1089</v>
      </c>
      <c r="D73" s="1028" t="s">
        <v>1090</v>
      </c>
      <c r="E73" s="1059">
        <f>+'Whole life model'!G21</f>
        <v>14.141428372432969</v>
      </c>
      <c r="F73" s="1059">
        <f>+'Whole life model'!H23</f>
        <v>13.022324999999999</v>
      </c>
      <c r="G73" s="992">
        <f>+'Whole life model'!H19</f>
        <v>0.61812071641979627</v>
      </c>
      <c r="H73" s="1091"/>
    </row>
    <row r="74" spans="1:13" s="950" customFormat="1" ht="34.5" customHeight="1">
      <c r="A74" s="884"/>
      <c r="B74" s="1485" t="s">
        <v>1091</v>
      </c>
      <c r="C74" s="1485"/>
      <c r="D74" s="1028"/>
      <c r="E74" s="1060">
        <f>+E70*E71*(E22/1000*E73-E72)</f>
        <v>0.54062831076484208</v>
      </c>
      <c r="F74" s="1038">
        <f>+F70*F71*(F22/1000*F73-F72)</f>
        <v>1.3258749975721729</v>
      </c>
      <c r="G74" s="1061">
        <f>+G70*G71*(G22/1000*G73-G72)</f>
        <v>2.6146908867481725E-2</v>
      </c>
      <c r="H74" s="1101">
        <f>+G74/H30</f>
        <v>2.5049513913785429E-3</v>
      </c>
      <c r="I74" s="964"/>
      <c r="J74" s="964"/>
      <c r="K74" s="964"/>
      <c r="L74" s="964"/>
      <c r="M74" s="964"/>
    </row>
    <row r="75" spans="1:13" s="964" customFormat="1" ht="34.5" customHeight="1">
      <c r="B75" s="962"/>
      <c r="C75" s="962"/>
      <c r="D75" s="963"/>
      <c r="E75" s="945">
        <v>2022</v>
      </c>
      <c r="F75" s="945">
        <v>2030</v>
      </c>
      <c r="G75" s="945">
        <v>2050</v>
      </c>
      <c r="H75" s="1102"/>
      <c r="I75" s="885"/>
      <c r="J75" s="885"/>
      <c r="K75" s="885"/>
      <c r="L75" s="885"/>
      <c r="M75" s="885"/>
    </row>
    <row r="76" spans="1:13" s="885" customFormat="1" ht="18" customHeight="1">
      <c r="B76" s="1490" t="s">
        <v>1026</v>
      </c>
      <c r="C76" s="886" t="s">
        <v>992</v>
      </c>
      <c r="D76" s="1472" t="s">
        <v>993</v>
      </c>
      <c r="E76" s="1133">
        <v>272.39999999999998</v>
      </c>
      <c r="F76" s="1133">
        <v>200</v>
      </c>
      <c r="G76" s="1133">
        <v>14.1</v>
      </c>
      <c r="H76" s="1099"/>
      <c r="I76" s="884"/>
      <c r="J76" s="884"/>
      <c r="K76" s="884"/>
      <c r="L76" s="884"/>
      <c r="M76" s="884"/>
    </row>
    <row r="77" spans="1:13" ht="15.75">
      <c r="B77" s="1491"/>
      <c r="C77" s="935" t="s">
        <v>994</v>
      </c>
      <c r="D77" s="1029" t="s">
        <v>995</v>
      </c>
      <c r="E77" s="1134">
        <f>+'1.2 Clinker EF'!F46</f>
        <v>120</v>
      </c>
      <c r="F77" s="1134">
        <f>+'1.2 Clinker EF'!G46</f>
        <v>115</v>
      </c>
      <c r="G77" s="1134">
        <f>+'1.2 Clinker EF'!H46</f>
        <v>87</v>
      </c>
    </row>
    <row r="78" spans="1:13" ht="15.75">
      <c r="B78" s="1491"/>
      <c r="C78" s="935" t="s">
        <v>996</v>
      </c>
      <c r="D78" s="1029" t="s">
        <v>997</v>
      </c>
      <c r="E78" s="1119">
        <f>+E77*E6/1000</f>
        <v>1.506</v>
      </c>
      <c r="F78" s="1119">
        <f t="shared" ref="F78:G78" si="17">+F77*F6/1000</f>
        <v>1.6262642628297914</v>
      </c>
      <c r="G78" s="1119">
        <f t="shared" si="17"/>
        <v>1.4714595805353545</v>
      </c>
    </row>
    <row r="79" spans="1:13" ht="17.25" customHeight="1">
      <c r="B79" s="1491"/>
      <c r="C79" s="935" t="s">
        <v>998</v>
      </c>
      <c r="D79" s="1029" t="s">
        <v>999</v>
      </c>
      <c r="E79" s="1118">
        <v>0</v>
      </c>
      <c r="F79" s="1118">
        <v>0</v>
      </c>
      <c r="G79" s="1118">
        <v>200</v>
      </c>
    </row>
    <row r="80" spans="1:13" ht="15.75">
      <c r="B80" s="1491"/>
      <c r="C80" s="935" t="s">
        <v>1002</v>
      </c>
      <c r="D80" s="1029" t="s">
        <v>1003</v>
      </c>
      <c r="E80" s="1120">
        <v>0</v>
      </c>
      <c r="F80" s="1120">
        <v>0</v>
      </c>
      <c r="G80" s="1119">
        <v>2.11</v>
      </c>
    </row>
    <row r="81" spans="2:13" ht="15.75">
      <c r="B81" s="1491"/>
      <c r="C81" s="935" t="s">
        <v>1000</v>
      </c>
      <c r="D81" s="1029" t="s">
        <v>1001</v>
      </c>
      <c r="E81" s="1135">
        <f>+'Whole life model'!N39</f>
        <v>3</v>
      </c>
      <c r="F81" s="1135">
        <f>+'Whole life model'!O39</f>
        <v>3</v>
      </c>
      <c r="G81" s="1135">
        <f>+'Whole life model'!P39</f>
        <v>5</v>
      </c>
    </row>
    <row r="82" spans="2:13" ht="15.75">
      <c r="B82" s="1491"/>
      <c r="C82" s="935" t="s">
        <v>1004</v>
      </c>
      <c r="D82" s="1029" t="s">
        <v>1003</v>
      </c>
      <c r="E82" s="1123">
        <f>+'Whole life model'!N40</f>
        <v>3.9715936254980079E-2</v>
      </c>
      <c r="F82" s="1123">
        <f>+'Whole life model'!O40</f>
        <v>5.1092905711681048E-2</v>
      </c>
      <c r="G82" s="1123">
        <f>+'Whole life model'!P40</f>
        <v>0.13143240526165456</v>
      </c>
    </row>
    <row r="83" spans="2:13" ht="15.75">
      <c r="B83" s="1491"/>
      <c r="C83" s="935" t="s">
        <v>1005</v>
      </c>
      <c r="D83" s="1029" t="s">
        <v>1003</v>
      </c>
      <c r="E83" s="1119">
        <f>+E82+E80+E78</f>
        <v>1.5457159362549802</v>
      </c>
      <c r="F83" s="1119">
        <f t="shared" ref="F83:G83" si="18">+F82+F80+F78</f>
        <v>1.6773571685414725</v>
      </c>
      <c r="G83" s="1119">
        <f t="shared" si="18"/>
        <v>3.7128919857970093</v>
      </c>
    </row>
    <row r="84" spans="2:13" ht="30" customHeight="1">
      <c r="B84" s="1481" t="s">
        <v>1027</v>
      </c>
      <c r="C84" s="1481"/>
      <c r="D84" s="1028" t="s">
        <v>1006</v>
      </c>
      <c r="E84" s="1121">
        <f>+E76*E83/1000</f>
        <v>0.42105302103585657</v>
      </c>
      <c r="F84" s="1121">
        <f t="shared" ref="F84:G84" si="19">+F76*F83/1000</f>
        <v>0.33547143370829452</v>
      </c>
      <c r="G84" s="1121">
        <f t="shared" si="19"/>
        <v>5.235177699973783E-2</v>
      </c>
    </row>
    <row r="85" spans="2:13" ht="30" customHeight="1">
      <c r="B85" s="1036"/>
      <c r="C85" s="1036"/>
      <c r="D85" s="1028"/>
      <c r="E85" s="1121"/>
      <c r="F85" s="1121"/>
      <c r="G85" s="1121"/>
    </row>
    <row r="86" spans="2:13" ht="34.5" customHeight="1">
      <c r="B86" s="1481" t="s">
        <v>1048</v>
      </c>
      <c r="C86" s="1481"/>
      <c r="D86" s="1028" t="s">
        <v>1006</v>
      </c>
      <c r="E86" s="956"/>
      <c r="F86" s="956"/>
      <c r="G86" s="1061">
        <f>+(E84-G84)*G6/E6</f>
        <v>0.4968896624007425</v>
      </c>
      <c r="H86" s="1101">
        <f>+G86/H30</f>
        <v>4.7603502865317213E-2</v>
      </c>
      <c r="I86" s="1454">
        <f>+H86+0.5%</f>
        <v>5.260350286531721E-2</v>
      </c>
    </row>
    <row r="87" spans="2:13" ht="43.5" customHeight="1">
      <c r="E87" s="945">
        <v>2022</v>
      </c>
      <c r="F87" s="945">
        <v>2030</v>
      </c>
      <c r="G87" s="945">
        <v>2050</v>
      </c>
      <c r="I87" s="885" t="s">
        <v>1328</v>
      </c>
      <c r="J87" s="885"/>
      <c r="K87" s="885"/>
      <c r="L87" s="885"/>
      <c r="M87" s="885"/>
    </row>
    <row r="88" spans="2:13" s="885" customFormat="1" ht="24.95" customHeight="1">
      <c r="B88" s="1482" t="s">
        <v>979</v>
      </c>
      <c r="C88" s="936" t="s">
        <v>956</v>
      </c>
      <c r="D88" s="939" t="s">
        <v>232</v>
      </c>
      <c r="E88" s="942">
        <v>1</v>
      </c>
      <c r="F88" s="1069">
        <v>1</v>
      </c>
      <c r="G88" s="1070">
        <v>1</v>
      </c>
      <c r="H88" s="1099"/>
    </row>
    <row r="89" spans="2:13" s="885" customFormat="1" ht="20.100000000000001" customHeight="1">
      <c r="B89" s="1482"/>
      <c r="C89" s="1011" t="s">
        <v>1020</v>
      </c>
      <c r="D89" s="1012" t="s">
        <v>990</v>
      </c>
      <c r="E89" s="1122">
        <v>0.52500000000000002</v>
      </c>
      <c r="F89" s="1122">
        <v>0.52500000000000002</v>
      </c>
      <c r="G89" s="1122">
        <v>0.52500000000000002</v>
      </c>
      <c r="H89" s="1099"/>
    </row>
    <row r="90" spans="2:13" s="885" customFormat="1" ht="20.100000000000001" customHeight="1">
      <c r="B90" s="1482"/>
      <c r="C90" s="1011" t="s">
        <v>1022</v>
      </c>
      <c r="D90" s="1012" t="s">
        <v>990</v>
      </c>
      <c r="E90" s="1122">
        <v>1.1358400000000001E-2</v>
      </c>
      <c r="F90" s="1122">
        <v>1.1358400000000001E-2</v>
      </c>
      <c r="G90" s="1122">
        <v>1.1358400000000001E-2</v>
      </c>
      <c r="H90" s="1099"/>
      <c r="I90" s="1078"/>
    </row>
    <row r="91" spans="2:13" s="885" customFormat="1" ht="20.100000000000001" customHeight="1">
      <c r="B91" s="1482"/>
      <c r="C91" s="1013" t="s">
        <v>1023</v>
      </c>
      <c r="D91" s="1012" t="s">
        <v>990</v>
      </c>
      <c r="E91" s="1124">
        <f>+'1.2 Clinker EF'!F38</f>
        <v>0.20073924999999998</v>
      </c>
      <c r="F91" s="1125">
        <f>+'1.2 Clinker EF'!G38</f>
        <v>0.20099099999999998</v>
      </c>
      <c r="G91" s="1124">
        <f>+'1.2 Clinker EF'!H38</f>
        <v>0.1660923</v>
      </c>
      <c r="H91" s="1100">
        <f>+(G91-E91)/G91</f>
        <v>-0.20860057931644022</v>
      </c>
      <c r="I91" s="1078"/>
    </row>
    <row r="92" spans="2:13" s="885" customFormat="1" ht="20.100000000000001" customHeight="1">
      <c r="B92" s="1482"/>
      <c r="C92" s="1011" t="s">
        <v>1093</v>
      </c>
      <c r="D92" s="1012" t="s">
        <v>990</v>
      </c>
      <c r="E92" s="1126">
        <f>+'Whole life model'!F48/'Resumen Ejes de Reduccion'!E9</f>
        <v>8.1523187250995988E-3</v>
      </c>
      <c r="F92" s="1126">
        <f>+'Whole life model'!G48/'Resumen Ejes de Reduccion'!F9</f>
        <v>1.3347645630902091E-2</v>
      </c>
      <c r="G92" s="1126">
        <f>+'Whole life model'!H48/'Resumen Ejes de Reduccion'!G9</f>
        <v>1.6815783245731554E-2</v>
      </c>
      <c r="H92" s="1100">
        <f>+(G92-E92)/G92</f>
        <v>0.51519839391549316</v>
      </c>
      <c r="I92" s="1078"/>
    </row>
    <row r="93" spans="2:13" s="885" customFormat="1" ht="20.100000000000001" customHeight="1">
      <c r="B93" s="1482"/>
      <c r="C93" s="1011" t="s">
        <v>1021</v>
      </c>
      <c r="D93" s="1012" t="s">
        <v>1019</v>
      </c>
      <c r="E93" s="1127">
        <f>+'1.2 Clinker EF'!F39</f>
        <v>1.3699999999999997E-2</v>
      </c>
      <c r="F93" s="1127">
        <f>+'1.2 Clinker EF'!G39</f>
        <v>1.7500000000000002E-2</v>
      </c>
      <c r="G93" s="1127">
        <f>+'1.2 Clinker EF'!H39</f>
        <v>3.3000000000000002E-2</v>
      </c>
      <c r="H93" s="1100">
        <f>+(G93-E93)/G93</f>
        <v>0.58484848484848495</v>
      </c>
      <c r="I93" s="1004"/>
    </row>
    <row r="94" spans="2:13" s="885" customFormat="1" ht="20.100000000000001" customHeight="1">
      <c r="B94" s="1482"/>
      <c r="C94" s="1014" t="s">
        <v>1016</v>
      </c>
      <c r="D94" s="1012" t="s">
        <v>1064</v>
      </c>
      <c r="E94" s="1128">
        <f>+(E89+E90+E91)*1000</f>
        <v>737.09764999999993</v>
      </c>
      <c r="F94" s="1128">
        <f>+(F89+F90+F91)*1000</f>
        <v>737.34940000000006</v>
      </c>
      <c r="G94" s="1128">
        <f>+(G89+G90+G91)*1000</f>
        <v>702.45069999999998</v>
      </c>
      <c r="H94" s="1099"/>
      <c r="I94" s="1004"/>
    </row>
    <row r="95" spans="2:13" s="885" customFormat="1" ht="20.100000000000001" customHeight="1">
      <c r="B95" s="1482"/>
      <c r="C95" s="1014" t="s">
        <v>1017</v>
      </c>
      <c r="D95" s="1012" t="s">
        <v>1064</v>
      </c>
      <c r="E95" s="1048">
        <f>+(E89+E90+E91+E92)*1000</f>
        <v>745.24996872509951</v>
      </c>
      <c r="F95" s="1048">
        <f>+(F89+F90+F91+F92)*1000</f>
        <v>750.69704563090215</v>
      </c>
      <c r="G95" s="1048">
        <f>+(G89+G90+G91+G92)*1000</f>
        <v>719.26648324573148</v>
      </c>
      <c r="H95" s="1103"/>
    </row>
    <row r="96" spans="2:13" s="885" customFormat="1" ht="24.95" customHeight="1">
      <c r="B96" s="1482"/>
      <c r="C96" s="960" t="s">
        <v>957</v>
      </c>
      <c r="D96" s="939" t="s">
        <v>232</v>
      </c>
      <c r="E96" s="1136">
        <v>0</v>
      </c>
      <c r="F96" s="1136">
        <v>0</v>
      </c>
      <c r="G96" s="1136">
        <v>0</v>
      </c>
      <c r="H96" s="1099"/>
    </row>
    <row r="97" spans="2:15" s="885" customFormat="1" ht="20.100000000000001" customHeight="1">
      <c r="B97" s="1482"/>
      <c r="C97" s="1013" t="s">
        <v>955</v>
      </c>
      <c r="D97" s="1484" t="s">
        <v>1064</v>
      </c>
      <c r="E97" s="1137">
        <v>865</v>
      </c>
      <c r="F97" s="1137">
        <v>865</v>
      </c>
      <c r="G97" s="1137">
        <v>865</v>
      </c>
      <c r="H97" s="1099"/>
    </row>
    <row r="98" spans="2:15" s="885" customFormat="1" ht="20.100000000000001" customHeight="1">
      <c r="B98" s="1482"/>
      <c r="C98" s="1013" t="s">
        <v>1012</v>
      </c>
      <c r="D98" s="1484"/>
      <c r="E98" s="1130">
        <v>0</v>
      </c>
      <c r="F98" s="1130">
        <v>0</v>
      </c>
      <c r="G98" s="1130">
        <v>0</v>
      </c>
      <c r="H98" s="1099"/>
      <c r="I98" s="1003"/>
    </row>
    <row r="99" spans="2:15" s="885" customFormat="1" ht="20.100000000000001" customHeight="1">
      <c r="B99" s="1482"/>
      <c r="C99" s="1014" t="s">
        <v>974</v>
      </c>
      <c r="D99" s="1484"/>
      <c r="E99" s="1129">
        <f>+E97+E98</f>
        <v>865</v>
      </c>
      <c r="F99" s="1129">
        <f>+F97+F98</f>
        <v>865</v>
      </c>
      <c r="G99" s="1129">
        <f>+G97+G98</f>
        <v>865</v>
      </c>
      <c r="H99" s="1099"/>
      <c r="I99" s="1008"/>
      <c r="J99" s="950"/>
      <c r="K99" s="950"/>
      <c r="L99" s="950"/>
      <c r="M99" s="950"/>
    </row>
    <row r="100" spans="2:15" s="950" customFormat="1" ht="34.5" customHeight="1">
      <c r="B100" s="952" t="s">
        <v>1024</v>
      </c>
      <c r="C100" s="952"/>
      <c r="D100" s="951" t="s">
        <v>1013</v>
      </c>
      <c r="E100" s="955">
        <f>+E9*(E88*E95+E96*E99)/1000</f>
        <v>6.3131987975624995</v>
      </c>
      <c r="F100" s="1072">
        <f>+F9*(F88*F95+F96*F99)/1000</f>
        <v>7.2694537396263348</v>
      </c>
      <c r="G100" s="1072">
        <f>+G10*(E88*E95+E96*E99)/1000</f>
        <v>7.7199746062990711</v>
      </c>
      <c r="H100" s="1091"/>
    </row>
    <row r="101" spans="2:15" s="950" customFormat="1" ht="34.5" customHeight="1">
      <c r="B101" s="952" t="s">
        <v>1025</v>
      </c>
      <c r="C101" s="952"/>
      <c r="D101" s="951" t="s">
        <v>1013</v>
      </c>
      <c r="E101" s="955">
        <f>+E10*(E88*E95+E96*E99)/1000</f>
        <v>6.3131987975624995</v>
      </c>
      <c r="F101" s="1072">
        <f>+F10*(F88*F95+F96*F99)/1000</f>
        <v>6.9417556462719165</v>
      </c>
      <c r="G101" s="1072">
        <f>+G10*(G88*G95+G96*G99)/1000</f>
        <v>7.4508141145153344</v>
      </c>
      <c r="H101" s="1091"/>
    </row>
    <row r="102" spans="2:15" s="950" customFormat="1" ht="34.5" customHeight="1">
      <c r="B102" s="1481" t="s">
        <v>1049</v>
      </c>
      <c r="C102" s="1481"/>
      <c r="D102" s="1028" t="s">
        <v>1070</v>
      </c>
      <c r="E102" s="1039"/>
      <c r="F102" s="1073"/>
      <c r="G102" s="1061">
        <f>+G100-G101</f>
        <v>0.26916049178373669</v>
      </c>
      <c r="H102" s="1101">
        <f>+G102/H30</f>
        <v>2.5786373135538498E-2</v>
      </c>
      <c r="I102" s="884"/>
      <c r="J102" s="884"/>
      <c r="K102" s="884"/>
      <c r="L102" s="884"/>
      <c r="M102" s="884"/>
    </row>
    <row r="103" spans="2:15" ht="21.95" customHeight="1">
      <c r="E103" s="945">
        <v>2022</v>
      </c>
      <c r="F103" s="945">
        <v>2030</v>
      </c>
      <c r="G103" s="945">
        <v>2050</v>
      </c>
    </row>
    <row r="104" spans="2:15" ht="21" customHeight="1">
      <c r="B104" s="1491" t="s">
        <v>980</v>
      </c>
      <c r="C104" s="1065" t="s">
        <v>1092</v>
      </c>
      <c r="D104" s="1066"/>
      <c r="E104" s="1067">
        <f>+E105+E107+E109</f>
        <v>0.92999999999999994</v>
      </c>
      <c r="F104" s="1074">
        <f>+F105+F107+F109</f>
        <v>0.89999999999999991</v>
      </c>
      <c r="G104" s="1074">
        <f>+G105+G107+G109</f>
        <v>0.77</v>
      </c>
      <c r="H104" s="1092">
        <f>+G104-E104</f>
        <v>-0.15999999999999992</v>
      </c>
      <c r="I104" s="1062"/>
      <c r="J104" s="1063"/>
      <c r="K104" s="1062"/>
      <c r="L104" s="1062"/>
    </row>
    <row r="105" spans="2:15" ht="15.75">
      <c r="B105" s="1491"/>
      <c r="C105" s="886" t="s">
        <v>947</v>
      </c>
      <c r="D105" s="1029" t="s">
        <v>232</v>
      </c>
      <c r="E105" s="1046">
        <v>0</v>
      </c>
      <c r="F105" s="1071">
        <v>0</v>
      </c>
      <c r="G105" s="1071">
        <v>0</v>
      </c>
      <c r="H105" s="1104"/>
      <c r="I105" s="1062"/>
      <c r="J105" s="1063"/>
      <c r="K105" s="1062"/>
      <c r="L105" s="1062"/>
      <c r="O105" s="1064"/>
    </row>
    <row r="106" spans="2:15" ht="14.25" customHeight="1">
      <c r="B106" s="1491"/>
      <c r="C106" s="1030" t="s">
        <v>948</v>
      </c>
      <c r="D106" s="1031" t="s">
        <v>1069</v>
      </c>
      <c r="E106" s="1045">
        <v>96</v>
      </c>
      <c r="F106" s="1068">
        <v>96</v>
      </c>
      <c r="G106" s="1068">
        <v>96</v>
      </c>
      <c r="H106" s="1104"/>
      <c r="I106" s="1062"/>
      <c r="J106" s="1063"/>
      <c r="K106" s="1062"/>
      <c r="L106" s="1062"/>
    </row>
    <row r="107" spans="2:15" ht="15.75">
      <c r="B107" s="1491"/>
      <c r="C107" s="886" t="s">
        <v>299</v>
      </c>
      <c r="D107" s="1029" t="s">
        <v>232</v>
      </c>
      <c r="E107" s="1046">
        <v>0.11</v>
      </c>
      <c r="F107" s="1071">
        <v>0.08</v>
      </c>
      <c r="G107" s="1071">
        <v>0.02</v>
      </c>
      <c r="H107" s="1104"/>
      <c r="I107" s="1062"/>
      <c r="J107" s="1063"/>
      <c r="K107" s="1062"/>
      <c r="L107" s="1062"/>
    </row>
    <row r="108" spans="2:15" ht="14.25" customHeight="1">
      <c r="B108" s="1491"/>
      <c r="C108" s="1030" t="s">
        <v>948</v>
      </c>
      <c r="D108" s="1031" t="s">
        <v>1069</v>
      </c>
      <c r="E108" s="1045">
        <v>92.8</v>
      </c>
      <c r="F108" s="1068">
        <v>92.8</v>
      </c>
      <c r="G108" s="1068">
        <v>92.8</v>
      </c>
      <c r="H108" s="1104"/>
      <c r="I108" s="1062"/>
      <c r="J108" s="1063"/>
      <c r="K108" s="1062"/>
      <c r="L108" s="1062"/>
    </row>
    <row r="109" spans="2:15" ht="15.75">
      <c r="B109" s="1491"/>
      <c r="C109" s="886" t="s">
        <v>949</v>
      </c>
      <c r="D109" s="1029" t="s">
        <v>232</v>
      </c>
      <c r="E109" s="1046">
        <v>0.82</v>
      </c>
      <c r="F109" s="1071">
        <v>0.82</v>
      </c>
      <c r="G109" s="1071">
        <v>0.75</v>
      </c>
      <c r="H109" s="1104"/>
      <c r="L109" s="1062"/>
    </row>
    <row r="110" spans="2:15" ht="14.25" customHeight="1">
      <c r="B110" s="1491"/>
      <c r="C110" s="1030" t="s">
        <v>948</v>
      </c>
      <c r="D110" s="1032" t="s">
        <v>1069</v>
      </c>
      <c r="E110" s="1045">
        <v>56.1</v>
      </c>
      <c r="F110" s="1068">
        <v>56.1</v>
      </c>
      <c r="G110" s="1068">
        <v>56.1</v>
      </c>
      <c r="L110" s="1062"/>
    </row>
    <row r="111" spans="2:15" ht="18.75">
      <c r="B111" s="1491"/>
      <c r="C111" s="1065" t="s">
        <v>953</v>
      </c>
      <c r="D111" s="1066"/>
      <c r="E111" s="1067">
        <f>+E112+E114</f>
        <v>7.0000000000000007E-2</v>
      </c>
      <c r="F111" s="1074">
        <f>+F112+F114</f>
        <v>0.1</v>
      </c>
      <c r="G111" s="1074">
        <f>+G112+G114</f>
        <v>0.18</v>
      </c>
      <c r="I111" s="986"/>
      <c r="L111" s="983"/>
    </row>
    <row r="112" spans="2:15" ht="15.75">
      <c r="B112" s="1491"/>
      <c r="C112" s="886" t="s">
        <v>950</v>
      </c>
      <c r="D112" s="1029" t="s">
        <v>232</v>
      </c>
      <c r="E112" s="1046">
        <v>0.03</v>
      </c>
      <c r="F112" s="1071">
        <v>0.05</v>
      </c>
      <c r="G112" s="1071">
        <v>0.08</v>
      </c>
      <c r="H112" s="1092">
        <f>+G112-E112</f>
        <v>0.05</v>
      </c>
      <c r="I112" s="986"/>
    </row>
    <row r="113" spans="2:14" ht="14.25" customHeight="1">
      <c r="B113" s="1491"/>
      <c r="C113" s="1030" t="s">
        <v>948</v>
      </c>
      <c r="D113" s="1031" t="s">
        <v>1069</v>
      </c>
      <c r="E113" s="1045">
        <v>80</v>
      </c>
      <c r="F113" s="1068">
        <v>80</v>
      </c>
      <c r="G113" s="1068">
        <v>80</v>
      </c>
      <c r="I113" s="986"/>
    </row>
    <row r="114" spans="2:14" ht="15.75">
      <c r="B114" s="1491"/>
      <c r="C114" s="886" t="s">
        <v>951</v>
      </c>
      <c r="D114" s="1029" t="s">
        <v>232</v>
      </c>
      <c r="E114" s="1046">
        <v>0.04</v>
      </c>
      <c r="F114" s="1071">
        <v>0.05</v>
      </c>
      <c r="G114" s="1071">
        <v>0.1</v>
      </c>
      <c r="H114" s="1092">
        <f>+G114-E114</f>
        <v>6.0000000000000005E-2</v>
      </c>
      <c r="I114" s="986"/>
      <c r="N114" s="986"/>
    </row>
    <row r="115" spans="2:14" ht="14.25" customHeight="1">
      <c r="B115" s="1491"/>
      <c r="C115" s="1030" t="s">
        <v>948</v>
      </c>
      <c r="D115" s="1031" t="s">
        <v>1069</v>
      </c>
      <c r="E115" s="1045">
        <v>100</v>
      </c>
      <c r="F115" s="1068">
        <v>100</v>
      </c>
      <c r="G115" s="1068">
        <v>100</v>
      </c>
      <c r="I115" s="986"/>
    </row>
    <row r="116" spans="2:14" ht="21" customHeight="1">
      <c r="B116" s="1491"/>
      <c r="C116" s="960" t="s">
        <v>952</v>
      </c>
      <c r="D116" s="939" t="s">
        <v>232</v>
      </c>
      <c r="E116" s="1047">
        <v>0</v>
      </c>
      <c r="F116" s="1069">
        <v>0</v>
      </c>
      <c r="G116" s="1070">
        <v>0.05</v>
      </c>
      <c r="H116" s="1092">
        <f>+G116-E116</f>
        <v>0.05</v>
      </c>
      <c r="I116" s="986"/>
    </row>
    <row r="117" spans="2:14" ht="15.95" customHeight="1">
      <c r="B117" s="1491"/>
      <c r="C117" s="1030" t="s">
        <v>948</v>
      </c>
      <c r="D117" s="1031" t="s">
        <v>1069</v>
      </c>
      <c r="E117" s="1045">
        <v>0</v>
      </c>
      <c r="F117" s="1068">
        <v>0</v>
      </c>
      <c r="G117" s="1068">
        <v>0</v>
      </c>
      <c r="I117" s="986"/>
    </row>
    <row r="118" spans="2:14" ht="15.95" customHeight="1" thickBot="1">
      <c r="B118" s="1491"/>
      <c r="C118" s="940" t="s">
        <v>1037</v>
      </c>
      <c r="D118" s="965" t="s">
        <v>1036</v>
      </c>
      <c r="E118" s="1079">
        <f>+E112*E113</f>
        <v>2.4</v>
      </c>
      <c r="F118" s="1080">
        <f>+F112*F113</f>
        <v>4</v>
      </c>
      <c r="G118" s="1080">
        <f>+G112*G113</f>
        <v>6.4</v>
      </c>
    </row>
    <row r="119" spans="2:14" ht="21.95" customHeight="1" thickBot="1">
      <c r="B119" s="1491"/>
      <c r="C119" s="940" t="s">
        <v>981</v>
      </c>
      <c r="D119" s="941" t="s">
        <v>982</v>
      </c>
      <c r="E119" s="1110">
        <v>3425</v>
      </c>
      <c r="F119" s="1075">
        <v>3500</v>
      </c>
      <c r="G119" s="1075">
        <v>3300</v>
      </c>
      <c r="I119" s="885"/>
      <c r="J119" s="885"/>
      <c r="K119" s="885"/>
      <c r="L119" s="885"/>
      <c r="M119" s="885"/>
    </row>
    <row r="120" spans="2:14" s="885" customFormat="1" ht="33" customHeight="1" thickBot="1">
      <c r="B120" s="1040" t="s">
        <v>1051</v>
      </c>
      <c r="C120" s="1040"/>
      <c r="D120" s="1041" t="s">
        <v>985</v>
      </c>
      <c r="E120" s="1042">
        <f>+E119*E118/1000000*E10</f>
        <v>6.9633675000000006E-2</v>
      </c>
      <c r="F120" s="1042">
        <f>+F119*F118/1000000*F10</f>
        <v>0.12945912017827485</v>
      </c>
      <c r="G120" s="1061">
        <f>+G119*G118/1000000*G10</f>
        <v>0.21878010134500137</v>
      </c>
      <c r="H120" s="1101">
        <f>+G120/H30</f>
        <v>2.0959782360800431E-2</v>
      </c>
      <c r="I120" s="884"/>
      <c r="J120" s="884"/>
      <c r="K120" s="884"/>
      <c r="L120" s="884"/>
      <c r="M120" s="884"/>
    </row>
    <row r="121" spans="2:14" ht="21.95" customHeight="1">
      <c r="E121" s="945">
        <v>2022</v>
      </c>
      <c r="F121" s="945">
        <v>2030</v>
      </c>
      <c r="G121" s="945">
        <v>2050</v>
      </c>
      <c r="I121"/>
      <c r="J121"/>
      <c r="K121"/>
      <c r="L121"/>
      <c r="M121"/>
    </row>
    <row r="122" spans="2:14" customFormat="1" ht="17.100000000000001" customHeight="1">
      <c r="B122" s="1492" t="s">
        <v>983</v>
      </c>
      <c r="C122" s="956" t="s">
        <v>991</v>
      </c>
      <c r="D122" s="1029" t="s">
        <v>984</v>
      </c>
      <c r="E122" s="1413">
        <v>0.2</v>
      </c>
      <c r="F122" s="1413">
        <v>0.2</v>
      </c>
      <c r="G122" s="1413">
        <v>0.2</v>
      </c>
      <c r="H122" s="1105"/>
    </row>
    <row r="123" spans="2:14" customFormat="1" ht="18.95" customHeight="1">
      <c r="B123" s="1492"/>
      <c r="C123" s="956" t="s">
        <v>986</v>
      </c>
      <c r="D123" s="1043" t="s">
        <v>987</v>
      </c>
      <c r="E123" s="1414">
        <v>0.52500000000000002</v>
      </c>
      <c r="F123" s="1414">
        <v>0.52500000000000002</v>
      </c>
      <c r="G123" s="1414">
        <v>0.52500000000000002</v>
      </c>
      <c r="H123" s="1105"/>
    </row>
    <row r="124" spans="2:14" customFormat="1" ht="18.95" customHeight="1">
      <c r="B124" s="1492"/>
      <c r="C124" s="956" t="s">
        <v>988</v>
      </c>
      <c r="D124" s="1043" t="s">
        <v>989</v>
      </c>
      <c r="E124" s="992">
        <f>+E10</f>
        <v>8.4712500000000013</v>
      </c>
      <c r="F124" s="992">
        <f>+F10</f>
        <v>9.2470800127339174</v>
      </c>
      <c r="G124" s="992">
        <f>+G10</f>
        <v>10.358906313683777</v>
      </c>
      <c r="H124" s="1105"/>
      <c r="I124" s="668"/>
      <c r="J124" s="668"/>
      <c r="K124" s="668"/>
      <c r="L124" s="668"/>
      <c r="M124" s="668"/>
    </row>
    <row r="125" spans="2:14" s="668" customFormat="1" ht="34.5" customHeight="1">
      <c r="B125" s="1493" t="s">
        <v>1050</v>
      </c>
      <c r="C125" s="1493"/>
      <c r="D125" s="1028"/>
      <c r="E125" s="1412">
        <f>+E123*E124*E122</f>
        <v>0.88948125000000022</v>
      </c>
      <c r="F125" s="1412">
        <f>+F123*F124*F122</f>
        <v>0.97094340133706136</v>
      </c>
      <c r="G125" s="1415">
        <f>+G123*G124*G122</f>
        <v>1.0876851629367967</v>
      </c>
      <c r="H125" s="1101">
        <f>+G125/H30</f>
        <v>0.10420346344147942</v>
      </c>
      <c r="I125" s="884"/>
      <c r="J125" s="884"/>
      <c r="K125" s="884"/>
      <c r="L125" s="884"/>
      <c r="M125" s="884"/>
    </row>
    <row r="127" spans="2:14" ht="16.5" thickBot="1">
      <c r="E127" s="1410">
        <v>2022</v>
      </c>
      <c r="F127" s="1410">
        <v>2030</v>
      </c>
      <c r="G127" s="1410">
        <v>2050</v>
      </c>
      <c r="H127" s="1106" t="s">
        <v>1292</v>
      </c>
    </row>
    <row r="128" spans="2:14" ht="18.75" customHeight="1">
      <c r="B128" s="1487" t="s">
        <v>1038</v>
      </c>
      <c r="C128" s="966" t="s">
        <v>1033</v>
      </c>
      <c r="D128" s="970" t="s">
        <v>833</v>
      </c>
      <c r="E128" s="1033">
        <f>+E17</f>
        <v>6.3131987975624995</v>
      </c>
      <c r="F128" s="1033">
        <f>+F17</f>
        <v>7.2694537396263348</v>
      </c>
      <c r="G128" s="1033">
        <f>+H17</f>
        <v>7.4508141145153344</v>
      </c>
      <c r="H128" s="1107"/>
    </row>
    <row r="129" spans="2:11" ht="20.25" customHeight="1" thickBot="1">
      <c r="B129" s="1488"/>
      <c r="C129" s="967" t="s">
        <v>1039</v>
      </c>
      <c r="D129" s="971" t="s">
        <v>833</v>
      </c>
      <c r="E129" s="1034">
        <f>+E120</f>
        <v>6.9633675000000006E-2</v>
      </c>
      <c r="F129" s="1034">
        <f>+F120</f>
        <v>0.12945912017827485</v>
      </c>
      <c r="G129" s="1035">
        <f>+G120</f>
        <v>0.21878010134500137</v>
      </c>
      <c r="H129" s="1107"/>
    </row>
    <row r="130" spans="2:11" ht="18.75" customHeight="1" thickBot="1">
      <c r="B130" s="1488"/>
      <c r="C130" s="968" t="s">
        <v>1040</v>
      </c>
      <c r="D130" s="971" t="s">
        <v>833</v>
      </c>
      <c r="E130" s="1034">
        <f>+E125</f>
        <v>0.88948125000000022</v>
      </c>
      <c r="F130" s="1034">
        <f>+F125</f>
        <v>0.97094340133706136</v>
      </c>
      <c r="G130" s="1473">
        <f>+G125</f>
        <v>1.0876851629367967</v>
      </c>
      <c r="H130" s="1107"/>
    </row>
    <row r="131" spans="2:11" ht="33.75" customHeight="1" thickBot="1">
      <c r="B131" s="1488"/>
      <c r="C131" s="1044" t="s">
        <v>1052</v>
      </c>
      <c r="D131" s="957" t="s">
        <v>833</v>
      </c>
      <c r="E131" s="1407">
        <f>+E128-E130-E129</f>
        <v>5.3540838725624988</v>
      </c>
      <c r="F131" s="1407">
        <f>+F128-F130-F129</f>
        <v>6.1690512181109982</v>
      </c>
      <c r="G131" s="1189">
        <f>+G128-G129-G130-G102-'1.2 Clinker EF'!L39</f>
        <v>5.5301905601347592</v>
      </c>
      <c r="H131" s="1461">
        <f>++G131/H30</f>
        <v>0.52980865189102766</v>
      </c>
      <c r="I131" s="986">
        <f>+G131*J131</f>
        <v>3.8711333920943312</v>
      </c>
      <c r="J131" s="985">
        <v>0.7</v>
      </c>
      <c r="K131" s="984">
        <f>+I131/H$30</f>
        <v>0.37086605632371933</v>
      </c>
    </row>
    <row r="132" spans="2:11" ht="19.5" thickBot="1">
      <c r="B132" s="1488"/>
      <c r="C132" s="969" t="s">
        <v>1042</v>
      </c>
      <c r="D132" s="971" t="s">
        <v>833</v>
      </c>
      <c r="E132" s="1405">
        <v>0</v>
      </c>
      <c r="F132" s="1405">
        <v>0</v>
      </c>
      <c r="G132" s="1408">
        <v>2.27</v>
      </c>
      <c r="H132" s="1411">
        <f>+G132/H30</f>
        <v>0.21747273022782171</v>
      </c>
      <c r="I132" s="986">
        <f>+G131*J132</f>
        <v>0.5530190560134759</v>
      </c>
      <c r="J132" s="985">
        <v>0.1</v>
      </c>
      <c r="K132" s="984">
        <f t="shared" ref="K132:K133" si="20">+I132/H$30</f>
        <v>5.2980865189102763E-2</v>
      </c>
    </row>
    <row r="133" spans="2:11" ht="20.25" thickBot="1">
      <c r="B133" s="1488"/>
      <c r="C133" s="969" t="s">
        <v>1291</v>
      </c>
      <c r="D133" s="971" t="s">
        <v>1043</v>
      </c>
      <c r="E133" s="1408">
        <f>2.7*'1.2 Clinker EF'!J39</f>
        <v>0.3107714849999999</v>
      </c>
      <c r="F133" s="1408">
        <f>2.7*'1.2 Clinker EF'!K39</f>
        <v>0.43622998640233718</v>
      </c>
      <c r="G133" s="1408">
        <f>1.5*'1.2 Clinker EF'!L39</f>
        <v>0.51749669747255944</v>
      </c>
      <c r="H133" s="1411">
        <f>+G133/H$30</f>
        <v>4.9577717922131531E-2</v>
      </c>
      <c r="I133" s="986">
        <f>+G131*J133</f>
        <v>1.1060381120269518</v>
      </c>
      <c r="J133" s="985">
        <v>0.2</v>
      </c>
      <c r="K133" s="984">
        <f t="shared" si="20"/>
        <v>0.10596173037820553</v>
      </c>
    </row>
    <row r="134" spans="2:11" ht="19.5" thickBot="1">
      <c r="B134" s="1489"/>
      <c r="C134" s="972" t="s">
        <v>1041</v>
      </c>
      <c r="D134" s="973" t="s">
        <v>833</v>
      </c>
      <c r="E134" s="1406">
        <v>0</v>
      </c>
      <c r="F134" s="1406">
        <v>0</v>
      </c>
      <c r="G134" s="1409">
        <v>2.27</v>
      </c>
      <c r="H134" s="1411">
        <f>+G134/H$30</f>
        <v>0.21747273022782171</v>
      </c>
      <c r="I134" s="986">
        <f>SUM(I131:I133)</f>
        <v>5.5301905601347592</v>
      </c>
    </row>
    <row r="135" spans="2:11">
      <c r="G135" s="1186"/>
      <c r="H135" s="1092">
        <f>+H131+H125+H120+H102+H86+H74+H68+H55+H54</f>
        <v>0.96753720888166128</v>
      </c>
    </row>
    <row r="136" spans="2:11">
      <c r="G136" s="893"/>
      <c r="H136" s="1092">
        <f>+H54+H55+H68+H74+H86+H102+H120+H125+H132+H133+H134</f>
        <v>0.92225173536840854</v>
      </c>
    </row>
    <row r="142" spans="2:11">
      <c r="E142" s="987"/>
      <c r="F142" s="987"/>
      <c r="G142" s="987"/>
    </row>
    <row r="160" spans="4:6">
      <c r="D160" s="1005"/>
      <c r="E160" s="985"/>
      <c r="F160" s="985"/>
    </row>
    <row r="161" spans="4:6">
      <c r="D161" s="1005"/>
      <c r="E161" s="985"/>
      <c r="F161" s="985"/>
    </row>
    <row r="162" spans="4:6">
      <c r="D162" s="1005"/>
      <c r="E162" s="985"/>
      <c r="F162" s="985"/>
    </row>
    <row r="163" spans="4:6">
      <c r="D163" s="1005"/>
      <c r="E163" s="985"/>
      <c r="F163" s="985"/>
    </row>
  </sheetData>
  <mergeCells count="20">
    <mergeCell ref="B128:B134"/>
    <mergeCell ref="B76:B83"/>
    <mergeCell ref="B84:C84"/>
    <mergeCell ref="B122:B124"/>
    <mergeCell ref="B125:C125"/>
    <mergeCell ref="B86:C86"/>
    <mergeCell ref="B104:B119"/>
    <mergeCell ref="B2:D2"/>
    <mergeCell ref="B102:C102"/>
    <mergeCell ref="B88:B99"/>
    <mergeCell ref="B58:B65"/>
    <mergeCell ref="B54:C54"/>
    <mergeCell ref="D97:D99"/>
    <mergeCell ref="B55:C55"/>
    <mergeCell ref="B68:C68"/>
    <mergeCell ref="B21:B28"/>
    <mergeCell ref="B32:B51"/>
    <mergeCell ref="B70:B73"/>
    <mergeCell ref="B74:C74"/>
    <mergeCell ref="B5:B1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W63"/>
  <sheetViews>
    <sheetView zoomScale="70" zoomScaleNormal="70" workbookViewId="0">
      <pane xSplit="5" ySplit="8" topLeftCell="F28" activePane="bottomRight" state="frozen"/>
      <selection pane="topRight" activeCell="F1" sqref="F1"/>
      <selection pane="bottomLeft" activeCell="A11" sqref="A11"/>
      <selection pane="bottomRight" activeCell="F34" sqref="F34"/>
    </sheetView>
  </sheetViews>
  <sheetFormatPr baseColWidth="10" defaultColWidth="11" defaultRowHeight="15.75" outlineLevelRow="1" outlineLevelCol="1"/>
  <cols>
    <col min="1" max="1" width="2.625" style="3" customWidth="1"/>
    <col min="2" max="2" width="5.625" style="5" customWidth="1"/>
    <col min="3" max="3" width="15.625" style="58" customWidth="1"/>
    <col min="4" max="4" width="51.125" style="3" customWidth="1"/>
    <col min="5" max="5" width="21.625" style="36" hidden="1" customWidth="1"/>
    <col min="6" max="6" width="10.625" style="33" customWidth="1"/>
    <col min="7" max="8" width="10.625" style="12" customWidth="1"/>
    <col min="9" max="9" width="10.625" style="8" customWidth="1"/>
    <col min="10" max="12" width="12" style="6" customWidth="1" outlineLevel="1"/>
    <col min="13" max="21" width="12.625" style="6" customWidth="1" outlineLevel="1"/>
    <col min="22" max="22" width="5.625" style="6" customWidth="1"/>
    <col min="23" max="23" width="88.125" style="454" customWidth="1"/>
    <col min="24" max="16384" width="11" style="2"/>
  </cols>
  <sheetData>
    <row r="1" spans="1:23" ht="15" customHeight="1" outlineLevel="1">
      <c r="A1" s="95"/>
      <c r="B1" s="96"/>
      <c r="C1" s="97"/>
      <c r="D1" s="98"/>
      <c r="E1" s="58" t="s">
        <v>237</v>
      </c>
      <c r="F1" s="868" t="s">
        <v>872</v>
      </c>
      <c r="G1" s="869"/>
      <c r="H1" s="869"/>
      <c r="I1" s="3"/>
      <c r="J1" s="58" t="s">
        <v>94</v>
      </c>
      <c r="K1" s="2"/>
      <c r="L1" s="2"/>
      <c r="M1" s="2"/>
      <c r="N1" s="2"/>
      <c r="O1" s="2"/>
      <c r="P1" s="58" t="s">
        <v>93</v>
      </c>
      <c r="Q1" s="2"/>
      <c r="R1" s="2"/>
      <c r="S1" s="2"/>
      <c r="T1" s="2"/>
      <c r="U1" s="2"/>
      <c r="V1" s="1494" t="s">
        <v>554</v>
      </c>
      <c r="W1" s="734" t="s">
        <v>447</v>
      </c>
    </row>
    <row r="2" spans="1:23" ht="15" customHeight="1" outlineLevel="1">
      <c r="A2" s="99"/>
      <c r="B2" s="100"/>
      <c r="C2" s="101"/>
      <c r="D2" s="102"/>
      <c r="E2" s="36" t="s">
        <v>100</v>
      </c>
      <c r="F2" s="735" t="s">
        <v>1071</v>
      </c>
      <c r="G2" s="736"/>
      <c r="H2" s="737"/>
      <c r="I2" s="3"/>
      <c r="J2" s="1" t="s">
        <v>14</v>
      </c>
      <c r="K2" s="2"/>
      <c r="L2" s="2"/>
      <c r="M2" s="2" t="s">
        <v>553</v>
      </c>
      <c r="N2" s="2"/>
      <c r="O2" s="2"/>
      <c r="P2" s="234" t="s">
        <v>86</v>
      </c>
      <c r="Q2" s="234"/>
      <c r="R2" s="738" t="s">
        <v>137</v>
      </c>
      <c r="S2" s="739"/>
      <c r="T2" s="2"/>
      <c r="U2" s="2"/>
      <c r="V2" s="1495"/>
    </row>
    <row r="3" spans="1:23" ht="15" customHeight="1" outlineLevel="1">
      <c r="A3" s="99"/>
      <c r="B3" s="103"/>
      <c r="C3" s="101"/>
      <c r="D3" s="102"/>
      <c r="E3" s="36" t="s">
        <v>235</v>
      </c>
      <c r="F3" s="735" t="s">
        <v>1072</v>
      </c>
      <c r="G3" s="736"/>
      <c r="H3" s="737"/>
      <c r="I3" s="3"/>
      <c r="J3" s="319" t="s">
        <v>778</v>
      </c>
      <c r="K3" s="2"/>
      <c r="L3" s="2"/>
      <c r="M3" s="2" t="s">
        <v>17</v>
      </c>
      <c r="N3" s="2"/>
      <c r="O3" s="2"/>
      <c r="P3" s="740" t="s">
        <v>1</v>
      </c>
      <c r="Q3" s="741"/>
      <c r="R3" s="742" t="s">
        <v>3</v>
      </c>
      <c r="S3" s="743"/>
      <c r="T3" s="2"/>
      <c r="U3" s="2"/>
      <c r="V3" s="1495"/>
    </row>
    <row r="4" spans="1:23" ht="15" customHeight="1" outlineLevel="1">
      <c r="A4" s="99"/>
      <c r="B4" s="103"/>
      <c r="C4" s="101"/>
      <c r="D4" s="102"/>
      <c r="E4" s="452" t="s">
        <v>461</v>
      </c>
      <c r="F4" s="875" t="s">
        <v>1073</v>
      </c>
      <c r="G4" s="736"/>
      <c r="H4" s="737"/>
      <c r="I4" s="3"/>
      <c r="J4" s="1" t="s">
        <v>15</v>
      </c>
      <c r="K4" s="2"/>
      <c r="L4" s="2"/>
      <c r="M4" s="2" t="s">
        <v>18</v>
      </c>
      <c r="N4" s="2"/>
      <c r="O4" s="2"/>
      <c r="P4" s="744" t="s">
        <v>2</v>
      </c>
      <c r="Q4" s="745"/>
      <c r="R4" s="746" t="s">
        <v>0</v>
      </c>
      <c r="S4" s="747"/>
      <c r="T4" s="2"/>
      <c r="U4" s="2"/>
      <c r="V4" s="1495"/>
      <c r="W4" s="455" t="s">
        <v>4</v>
      </c>
    </row>
    <row r="5" spans="1:23" ht="15" customHeight="1" outlineLevel="1">
      <c r="A5" s="99"/>
      <c r="B5" s="103"/>
      <c r="C5" s="101"/>
      <c r="D5" s="102"/>
      <c r="E5" s="36" t="s">
        <v>102</v>
      </c>
      <c r="F5" s="876" t="s">
        <v>1074</v>
      </c>
      <c r="G5" s="736"/>
      <c r="H5" s="737"/>
      <c r="I5" s="3"/>
      <c r="J5" s="1" t="s">
        <v>16</v>
      </c>
      <c r="K5" s="2"/>
      <c r="L5" s="2"/>
      <c r="M5" s="2" t="s">
        <v>19</v>
      </c>
      <c r="N5" s="2"/>
      <c r="O5" s="2"/>
      <c r="P5" s="748" t="s">
        <v>391</v>
      </c>
      <c r="Q5" s="2"/>
      <c r="R5" s="2"/>
      <c r="S5" s="2"/>
      <c r="T5" s="2"/>
      <c r="U5" s="2"/>
      <c r="V5" s="1495"/>
      <c r="W5" s="455" t="s">
        <v>5</v>
      </c>
    </row>
    <row r="6" spans="1:23" ht="15" customHeight="1" outlineLevel="1">
      <c r="A6" s="99"/>
      <c r="B6" s="103"/>
      <c r="C6" s="101"/>
      <c r="D6" s="102"/>
      <c r="E6" s="36" t="s">
        <v>101</v>
      </c>
      <c r="F6" s="736" t="s">
        <v>147</v>
      </c>
      <c r="G6" s="736"/>
      <c r="H6" s="737"/>
      <c r="I6" s="3"/>
      <c r="J6" s="1" t="s">
        <v>552</v>
      </c>
      <c r="K6" s="2"/>
      <c r="L6" s="2"/>
      <c r="M6" s="2"/>
      <c r="N6" s="2"/>
      <c r="O6" s="2"/>
      <c r="P6" s="2"/>
      <c r="Q6" s="2"/>
      <c r="R6" s="2"/>
      <c r="S6" s="2"/>
      <c r="T6" s="2"/>
      <c r="U6" s="2"/>
      <c r="V6" s="1496"/>
    </row>
    <row r="7" spans="1:23" ht="24.95" customHeight="1">
      <c r="A7" s="104"/>
      <c r="B7" s="106" t="s">
        <v>236</v>
      </c>
      <c r="C7" s="105"/>
      <c r="D7" s="749" t="s">
        <v>856</v>
      </c>
      <c r="E7" s="36" t="s">
        <v>98</v>
      </c>
      <c r="F7" s="750">
        <v>2020</v>
      </c>
      <c r="G7" s="751">
        <v>2030</v>
      </c>
      <c r="H7" s="751">
        <v>2050</v>
      </c>
      <c r="I7" s="751"/>
      <c r="J7" s="750">
        <f>F7</f>
        <v>2020</v>
      </c>
      <c r="K7" s="750">
        <f>G7</f>
        <v>2030</v>
      </c>
      <c r="L7" s="750">
        <f>H7</f>
        <v>2050</v>
      </c>
      <c r="M7" s="750">
        <f>F7</f>
        <v>2020</v>
      </c>
      <c r="N7" s="750">
        <f>G7</f>
        <v>2030</v>
      </c>
      <c r="O7" s="750">
        <f>H7</f>
        <v>2050</v>
      </c>
      <c r="P7" s="750">
        <f>F7</f>
        <v>2020</v>
      </c>
      <c r="Q7" s="750">
        <f>G7</f>
        <v>2030</v>
      </c>
      <c r="R7" s="750">
        <f>H7</f>
        <v>2050</v>
      </c>
      <c r="S7" s="750">
        <f>F7</f>
        <v>2020</v>
      </c>
      <c r="T7" s="750">
        <f>G7</f>
        <v>2030</v>
      </c>
      <c r="U7" s="750">
        <f>H7</f>
        <v>2050</v>
      </c>
      <c r="V7" s="2"/>
      <c r="W7" s="454" t="s">
        <v>464</v>
      </c>
    </row>
    <row r="8" spans="1:23" s="32" customFormat="1" ht="24.95" customHeight="1" thickBot="1">
      <c r="A8" s="17"/>
      <c r="B8" s="18" t="s">
        <v>154</v>
      </c>
      <c r="C8" s="59" t="s">
        <v>96</v>
      </c>
      <c r="D8" s="17" t="s">
        <v>97</v>
      </c>
      <c r="E8" s="37" t="s">
        <v>90</v>
      </c>
      <c r="F8" s="752"/>
      <c r="G8" s="753" t="s">
        <v>178</v>
      </c>
      <c r="H8" s="754"/>
      <c r="I8" s="74"/>
      <c r="J8" s="755"/>
      <c r="K8" s="756" t="s">
        <v>6</v>
      </c>
      <c r="L8" s="757"/>
      <c r="M8" s="758"/>
      <c r="N8" s="759" t="s">
        <v>846</v>
      </c>
      <c r="O8" s="760"/>
      <c r="P8" s="761"/>
      <c r="Q8" s="762" t="s">
        <v>847</v>
      </c>
      <c r="R8" s="763"/>
      <c r="S8" s="764"/>
      <c r="T8" s="765" t="s">
        <v>7</v>
      </c>
      <c r="U8" s="766"/>
      <c r="V8" s="767"/>
      <c r="W8" s="456" t="s">
        <v>95</v>
      </c>
    </row>
    <row r="9" spans="1:23" s="16" customFormat="1" ht="24.95" customHeight="1" thickTop="1">
      <c r="A9" s="14"/>
      <c r="B9" s="13" t="s">
        <v>85</v>
      </c>
      <c r="C9" s="60" t="s">
        <v>103</v>
      </c>
      <c r="D9" s="14"/>
      <c r="E9" s="38"/>
      <c r="F9" s="768"/>
      <c r="G9" s="769"/>
      <c r="H9" s="770"/>
      <c r="I9" s="14"/>
      <c r="J9" s="771"/>
      <c r="K9" s="769"/>
      <c r="L9" s="770"/>
      <c r="M9" s="772"/>
      <c r="N9" s="769"/>
      <c r="O9" s="770"/>
      <c r="P9" s="772"/>
      <c r="Q9" s="769"/>
      <c r="R9" s="770"/>
      <c r="S9" s="772"/>
      <c r="T9" s="769"/>
      <c r="U9" s="770"/>
      <c r="V9" s="770"/>
      <c r="W9" s="457"/>
    </row>
    <row r="10" spans="1:23" ht="24.95" customHeight="1">
      <c r="B10" s="3" t="s">
        <v>80</v>
      </c>
      <c r="D10" s="3" t="s">
        <v>915</v>
      </c>
      <c r="E10" s="36" t="s">
        <v>112</v>
      </c>
      <c r="F10" s="773">
        <v>1</v>
      </c>
      <c r="G10" s="774">
        <f>+'Resumen Ejes de Reduccion'!F3+1</f>
        <v>1.18</v>
      </c>
      <c r="H10" s="1219">
        <f>+'Resumen Ejes de Reduccion'!G3+1</f>
        <v>1.55</v>
      </c>
      <c r="I10" s="775"/>
      <c r="J10" s="776"/>
      <c r="K10" s="776"/>
      <c r="L10" s="776"/>
      <c r="M10" s="776"/>
      <c r="N10" s="776"/>
      <c r="O10" s="776"/>
      <c r="P10" s="776"/>
      <c r="Q10" s="776"/>
      <c r="R10" s="776"/>
      <c r="S10" s="776"/>
      <c r="T10" s="776"/>
      <c r="U10" s="776"/>
      <c r="V10" s="776"/>
      <c r="W10" s="455" t="s">
        <v>465</v>
      </c>
    </row>
    <row r="11" spans="1:23" ht="24.95" customHeight="1">
      <c r="B11" s="3" t="s">
        <v>483</v>
      </c>
      <c r="D11" s="3" t="s">
        <v>916</v>
      </c>
      <c r="E11" s="36" t="s">
        <v>232</v>
      </c>
      <c r="F11" s="777">
        <f>IF((J11+M11+S11+P11)=1,(J11+M11+S11+P11), "different from 100%, please correct line 0.2.5")</f>
        <v>0.99999999999999989</v>
      </c>
      <c r="G11" s="777">
        <f>IF((K11+N11+T11+Q11)=1,(K11+N11+T11+Q11), "different from 100%, please correct line 0.2.5")</f>
        <v>1</v>
      </c>
      <c r="H11" s="777">
        <f>IF((L11+O11+U11+R11)=1,(L11+O11+U11+R11), "different from 100%, please correct line 0.2.5")</f>
        <v>1</v>
      </c>
      <c r="I11" s="775"/>
      <c r="J11" s="778">
        <f>J17/$F$17</f>
        <v>0.35258964143426291</v>
      </c>
      <c r="K11" s="821">
        <f>+'0.2 Share of concrete'!G16</f>
        <v>0.39</v>
      </c>
      <c r="L11" s="821">
        <f>+'0.2 Share of concrete'!H16</f>
        <v>0.43</v>
      </c>
      <c r="M11" s="778">
        <f>M17/$F$17</f>
        <v>0.52788844621513942</v>
      </c>
      <c r="N11" s="821">
        <f>+'0.2 Share of concrete'!J16</f>
        <v>0.47</v>
      </c>
      <c r="O11" s="821">
        <f>+'0.2 Share of concrete'!K16</f>
        <v>0.43</v>
      </c>
      <c r="P11" s="778">
        <f>P17/$F$17</f>
        <v>6.9721115537848613E-2</v>
      </c>
      <c r="Q11" s="821">
        <f>+'0.2 Share of concrete'!M16</f>
        <v>7.0000000000000007E-2</v>
      </c>
      <c r="R11" s="821">
        <f>+'0.2 Share of concrete'!N16</f>
        <v>7.0000000000000007E-2</v>
      </c>
      <c r="S11" s="778">
        <f>S17/$F$17</f>
        <v>4.9800796812749001E-2</v>
      </c>
      <c r="T11" s="821">
        <f>+'0.2 Share of concrete'!P16</f>
        <v>7.0000000000000007E-2</v>
      </c>
      <c r="U11" s="821">
        <f>+'0.2 Share of concrete'!Q16</f>
        <v>7.0000000000000007E-2</v>
      </c>
      <c r="V11" s="776"/>
      <c r="W11" s="342" t="s">
        <v>537</v>
      </c>
    </row>
    <row r="12" spans="1:23" ht="24.95" customHeight="1">
      <c r="B12" s="7" t="s">
        <v>84</v>
      </c>
      <c r="C12" s="58" t="s">
        <v>9</v>
      </c>
      <c r="F12" s="780"/>
      <c r="G12" s="776"/>
      <c r="H12" s="902"/>
      <c r="I12" s="781"/>
      <c r="J12" s="776"/>
      <c r="K12" s="776"/>
      <c r="L12" s="776"/>
      <c r="M12" s="776"/>
      <c r="N12" s="776"/>
      <c r="O12" s="776"/>
      <c r="P12" s="776"/>
      <c r="Q12" s="776"/>
      <c r="R12" s="776"/>
      <c r="S12" s="776"/>
      <c r="T12" s="776"/>
      <c r="U12" s="776"/>
      <c r="V12" s="776"/>
      <c r="W12" s="455"/>
    </row>
    <row r="13" spans="1:23" ht="24.95" customHeight="1">
      <c r="B13" s="5" t="s">
        <v>104</v>
      </c>
      <c r="D13" s="3" t="s">
        <v>917</v>
      </c>
      <c r="E13" s="36" t="s">
        <v>112</v>
      </c>
      <c r="F13" s="777">
        <f>(J17*F10/F10*J11/J11*J15/J15*J13/J13+M17*F10/F10*M11/M11*M15/M15*M13/M13+P17*F10/F10*P11/P11*P15/P15*P13/P13+S17*F10/F10*S11/S11*S15/S15*S13/S13)/(F17*F10/F10*F15/F15)</f>
        <v>1</v>
      </c>
      <c r="G13" s="778">
        <f>(J17*G10/F10*K11/J11*K15/J15*K13/J13+M17*G10/F10*N11/M11*N15/M15*N13/M13+P17*G10/F10*Q11/P11*Q15/P15*Q13/P13+S17*G10/F10*T11/S11*T15/S15*T13/S13)/(F17*G10/F10*G15/F15)</f>
        <v>0.95585317856785357</v>
      </c>
      <c r="H13" s="910">
        <f>(J17*H10/F10*L11/J11*L15/J15*L13/J13+M17*H10/F10*O11/M11*O15/M15*O13/M13+P17*H10/F10*R11/P11*R15/P15*R13/P13+S17*H10/F10*U11/S11*U15/S15*U13/S13)/(F17*H10/F10*H15/F15)</f>
        <v>0.91781396590399245</v>
      </c>
      <c r="I13" s="1437">
        <f>+F13-H13</f>
        <v>8.2186034096007554E-2</v>
      </c>
      <c r="J13" s="782">
        <v>1</v>
      </c>
      <c r="K13" s="779">
        <f>'4.1 Design &amp; Construction'!K44</f>
        <v>0.94111874999999989</v>
      </c>
      <c r="L13" s="779">
        <f>'4.1 Design &amp; Construction'!W44</f>
        <v>0.9216899999999999</v>
      </c>
      <c r="M13" s="782">
        <v>1</v>
      </c>
      <c r="N13" s="779">
        <f>'4.1 Design &amp; Construction'!N44</f>
        <v>0.96524999999999994</v>
      </c>
      <c r="O13" s="779">
        <f>'4.1 Design &amp; Construction'!Z44</f>
        <v>0.91051799999999994</v>
      </c>
      <c r="P13" s="782">
        <v>1</v>
      </c>
      <c r="Q13" s="779">
        <f>'4.1 Design &amp; Construction'!Q44</f>
        <v>0.96524999999999994</v>
      </c>
      <c r="R13" s="779">
        <f>'4.1 Design &amp; Construction'!AC44</f>
        <v>0.92169000000000001</v>
      </c>
      <c r="S13" s="782">
        <v>1</v>
      </c>
      <c r="T13" s="779">
        <f>'4.1 Design &amp; Construction'!T44</f>
        <v>0.96524999999999994</v>
      </c>
      <c r="U13" s="779">
        <f>'4.1 Design &amp; Construction'!AF44</f>
        <v>0.93099999999999994</v>
      </c>
      <c r="V13" s="776"/>
      <c r="W13" s="454" t="s">
        <v>466</v>
      </c>
    </row>
    <row r="14" spans="1:23" ht="24.95" customHeight="1">
      <c r="B14" s="7" t="s">
        <v>83</v>
      </c>
      <c r="C14" s="58" t="s">
        <v>10</v>
      </c>
      <c r="F14" s="783"/>
      <c r="G14" s="525"/>
      <c r="H14" s="525"/>
      <c r="I14" s="1438"/>
      <c r="J14" s="784"/>
      <c r="K14" s="784"/>
      <c r="L14" s="899"/>
      <c r="M14" s="784"/>
      <c r="N14" s="784"/>
      <c r="O14" s="784"/>
      <c r="P14" s="784"/>
      <c r="Q14" s="784"/>
      <c r="R14" s="784"/>
      <c r="S14" s="784"/>
      <c r="T14" s="784"/>
      <c r="U14" s="784"/>
      <c r="V14" s="776"/>
    </row>
    <row r="15" spans="1:23" ht="25.5" customHeight="1">
      <c r="B15" s="5" t="s">
        <v>105</v>
      </c>
      <c r="D15" s="3" t="s">
        <v>1062</v>
      </c>
      <c r="E15" s="36" t="s">
        <v>112</v>
      </c>
      <c r="F15" s="777">
        <f>(J17*F10/F10*J11/J11*J15/J15+M17*F10/F10*M11/M11*M15/M15+P17*F10/F10*P11/P11*P15/P15+S17*F10/F10*S11/S11*S15/S15)/(F17*F10/F10)</f>
        <v>1</v>
      </c>
      <c r="G15" s="778">
        <f>(J17*G10/F10*K11/J11*K15/J15+M17*G10/F10*N11/M11*N15/M15+P17*G10/F10*Q11/P11*Q15/P15+S17*G10/F10*T11/S11*T15/S15)/(F17*G10/F10)</f>
        <v>0.99902500000000016</v>
      </c>
      <c r="H15" s="988">
        <f>(J17*H10/F10*L11/J11*L15/J15+M17*H10/F10*O11/M11*O15/M15+P17*H10/F10*R11/P11*R15/P15+S17*H10/F10*U11/S11*U15/S15)/(F17*H10/F10)</f>
        <v>0.94732500000000019</v>
      </c>
      <c r="I15" s="1437">
        <f>+F15-H15</f>
        <v>5.2674999999999805E-2</v>
      </c>
      <c r="J15" s="782">
        <v>1</v>
      </c>
      <c r="K15" s="779">
        <f>'3.1 Concrete production'!G24</f>
        <v>0.99750000000000005</v>
      </c>
      <c r="L15" s="779">
        <f>'3.1 Concrete production'!H24</f>
        <v>0.97750000000000004</v>
      </c>
      <c r="M15" s="782">
        <v>1</v>
      </c>
      <c r="N15" s="779">
        <f>'3.1 Concrete production'!J24</f>
        <v>1</v>
      </c>
      <c r="O15" s="779">
        <f>'3.1 Concrete production'!K24</f>
        <v>0.9</v>
      </c>
      <c r="P15" s="782">
        <v>1</v>
      </c>
      <c r="Q15" s="779">
        <f>'3.1 Concrete production'!M24</f>
        <v>1</v>
      </c>
      <c r="R15" s="779">
        <f>'3.1 Concrete production'!N24</f>
        <v>1</v>
      </c>
      <c r="S15" s="782">
        <v>1</v>
      </c>
      <c r="T15" s="779">
        <f>'3.1 Concrete production'!P24</f>
        <v>1</v>
      </c>
      <c r="U15" s="779">
        <f>'3.1 Concrete production'!Q24</f>
        <v>1</v>
      </c>
      <c r="V15" s="776"/>
      <c r="W15" s="454" t="s">
        <v>536</v>
      </c>
    </row>
    <row r="16" spans="1:23" ht="25.5" customHeight="1">
      <c r="B16" s="7" t="s">
        <v>82</v>
      </c>
      <c r="C16" s="58" t="s">
        <v>171</v>
      </c>
      <c r="F16" s="1088" t="s">
        <v>1098</v>
      </c>
      <c r="G16" s="1087">
        <f>+F17*G10</f>
        <v>14.808999999999999</v>
      </c>
      <c r="H16" s="1087">
        <f>+F17*H10</f>
        <v>19.452500000000001</v>
      </c>
      <c r="I16" s="894"/>
      <c r="J16" s="785"/>
      <c r="K16" s="785"/>
      <c r="L16" s="785"/>
      <c r="M16" s="785"/>
      <c r="N16" s="785"/>
      <c r="O16" s="785"/>
      <c r="P16" s="785"/>
      <c r="Q16" s="785"/>
      <c r="R16" s="785"/>
      <c r="S16" s="785"/>
      <c r="T16" s="785"/>
      <c r="U16" s="785"/>
      <c r="V16" s="775"/>
    </row>
    <row r="17" spans="2:23" ht="24.95" customHeight="1">
      <c r="B17" s="5" t="s">
        <v>106</v>
      </c>
      <c r="D17" s="3" t="s">
        <v>918</v>
      </c>
      <c r="E17" s="69" t="s">
        <v>179</v>
      </c>
      <c r="F17" s="786">
        <f>J17+M17+P17++S17</f>
        <v>12.55</v>
      </c>
      <c r="G17" s="787">
        <f>K17+N17+Q17+T17</f>
        <v>14.141428372432969</v>
      </c>
      <c r="H17" s="787">
        <f>L17+O17+R17++U17</f>
        <v>16.913328511900627</v>
      </c>
      <c r="I17" s="788"/>
      <c r="J17" s="789">
        <f>J21+J18</f>
        <v>4.4249999999999998</v>
      </c>
      <c r="K17" s="787">
        <f>+J17*G10/$F$10*K13/$J$13*K15/$J$15*K11/$J$11</f>
        <v>5.4218521499329686</v>
      </c>
      <c r="L17" s="787">
        <f>+J17*H10/$F$10*L13/$J$13*L15/$J$15*L11/$J$11</f>
        <v>7.5360803662856251</v>
      </c>
      <c r="M17" s="789">
        <f>M21+M18</f>
        <v>6.625</v>
      </c>
      <c r="N17" s="787">
        <f>+M17*G10/$F$10*N13/$M$13*N15/$M$15*N11/$M$11</f>
        <v>6.7183620074999997</v>
      </c>
      <c r="O17" s="787">
        <f>+M17*H10/$F$10*O13/$M$13*O15/$M$15*O11/$M$11</f>
        <v>6.8544864898650006</v>
      </c>
      <c r="P17" s="789">
        <f>P21+P18</f>
        <v>0.87500000000000011</v>
      </c>
      <c r="Q17" s="787">
        <f>+P17*G10/$F$10*Q13/$P$13*Q15/$P$15*Q11/$P$11</f>
        <v>1.0006071074999998</v>
      </c>
      <c r="R17" s="787">
        <f>+P17*H10/$F$10*R13/$P$13*R15/$P$15*R11/$P$11</f>
        <v>1.2550422307500002</v>
      </c>
      <c r="S17" s="789">
        <f>S21+S18</f>
        <v>0.625</v>
      </c>
      <c r="T17" s="787">
        <f>+S17*G10/$F$10*T13/$S$13*T15/$S$15*T11/$S$11</f>
        <v>1.0006071075</v>
      </c>
      <c r="U17" s="787">
        <f>+S17*H10/$F$10*U13/$S$13*U15/$S$15*U11/$S$11</f>
        <v>1.2677194250000001</v>
      </c>
      <c r="V17" s="790"/>
      <c r="W17" s="454" t="s">
        <v>467</v>
      </c>
    </row>
    <row r="18" spans="2:23" ht="24.95" customHeight="1">
      <c r="B18" s="5" t="s">
        <v>146</v>
      </c>
      <c r="D18" s="3" t="s">
        <v>919</v>
      </c>
      <c r="E18" s="69" t="s">
        <v>179</v>
      </c>
      <c r="F18" s="786">
        <f>J18+M18+P18++S18</f>
        <v>0</v>
      </c>
      <c r="G18" s="787">
        <f>K18+N18+Q18++T18</f>
        <v>0</v>
      </c>
      <c r="H18" s="787">
        <f>L18+O18+R18++U18</f>
        <v>0</v>
      </c>
      <c r="I18" s="898"/>
      <c r="J18" s="1191">
        <v>0</v>
      </c>
      <c r="K18" s="1192">
        <v>0</v>
      </c>
      <c r="L18" s="1192">
        <v>0</v>
      </c>
      <c r="M18" s="1191">
        <v>0</v>
      </c>
      <c r="N18" s="1192">
        <v>0</v>
      </c>
      <c r="O18" s="1192">
        <v>0</v>
      </c>
      <c r="P18" s="1191">
        <v>0</v>
      </c>
      <c r="Q18" s="1192">
        <v>0</v>
      </c>
      <c r="R18" s="1192">
        <v>0</v>
      </c>
      <c r="S18" s="1191">
        <v>0</v>
      </c>
      <c r="T18" s="1192">
        <v>0</v>
      </c>
      <c r="U18" s="1192">
        <v>0</v>
      </c>
      <c r="V18" s="791"/>
      <c r="W18" s="454" t="s">
        <v>532</v>
      </c>
    </row>
    <row r="19" spans="2:23" ht="24.95" customHeight="1">
      <c r="B19" s="5" t="s">
        <v>167</v>
      </c>
      <c r="D19" s="3" t="s">
        <v>920</v>
      </c>
      <c r="E19" s="36" t="s">
        <v>194</v>
      </c>
      <c r="F19" s="792">
        <f>F24/F17</f>
        <v>0.66944223107569711</v>
      </c>
      <c r="G19" s="793">
        <f>G24/G17</f>
        <v>0.65286054714226427</v>
      </c>
      <c r="H19" s="793">
        <f>H24/H17</f>
        <v>0.61812071641979627</v>
      </c>
      <c r="I19" s="56"/>
      <c r="J19" s="793">
        <f>IF(J17=0,"not available",J24/J17)</f>
        <v>0.78</v>
      </c>
      <c r="K19" s="793">
        <f t="shared" ref="K19:U19" si="0">IF(K17=0,"not available",K24/K17)</f>
        <v>0.75000000000000011</v>
      </c>
      <c r="L19" s="793">
        <f t="shared" si="0"/>
        <v>0.69000000000000006</v>
      </c>
      <c r="M19" s="793">
        <f>IF(M17=0,"not available",M24/M17)</f>
        <v>0.56999999999999995</v>
      </c>
      <c r="N19" s="793">
        <f t="shared" si="0"/>
        <v>0.55000000000000004</v>
      </c>
      <c r="O19" s="793">
        <f t="shared" si="0"/>
        <v>0.52</v>
      </c>
      <c r="P19" s="793">
        <f t="shared" si="0"/>
        <v>0.77</v>
      </c>
      <c r="Q19" s="793">
        <f t="shared" si="0"/>
        <v>0.72</v>
      </c>
      <c r="R19" s="793">
        <f t="shared" si="0"/>
        <v>0.67</v>
      </c>
      <c r="S19" s="793">
        <f t="shared" si="0"/>
        <v>0.8</v>
      </c>
      <c r="T19" s="793">
        <f t="shared" si="0"/>
        <v>0.75</v>
      </c>
      <c r="U19" s="793">
        <f t="shared" si="0"/>
        <v>0.67</v>
      </c>
      <c r="V19" s="794"/>
      <c r="W19" s="454" t="s">
        <v>468</v>
      </c>
    </row>
    <row r="20" spans="2:23" ht="24.95" customHeight="1">
      <c r="B20" s="5" t="s">
        <v>170</v>
      </c>
      <c r="C20" s="64" t="s">
        <v>110</v>
      </c>
      <c r="F20" s="900"/>
      <c r="G20" s="900"/>
      <c r="H20" s="902"/>
      <c r="I20" s="895"/>
      <c r="J20" s="912">
        <f>+J21+M21+P21+S21</f>
        <v>12.55</v>
      </c>
      <c r="K20" s="901"/>
      <c r="L20" s="901"/>
      <c r="M20" s="795"/>
      <c r="N20" s="776"/>
      <c r="O20" s="776"/>
      <c r="P20" s="795"/>
      <c r="Q20" s="795"/>
      <c r="R20" s="795"/>
      <c r="S20" s="795"/>
      <c r="T20" s="795"/>
      <c r="U20" s="795"/>
      <c r="V20" s="791"/>
    </row>
    <row r="21" spans="2:23" ht="24.95" customHeight="1">
      <c r="B21" s="5" t="s">
        <v>168</v>
      </c>
      <c r="D21" s="3" t="s">
        <v>921</v>
      </c>
      <c r="E21" s="36" t="s">
        <v>156</v>
      </c>
      <c r="F21" s="796">
        <f>J21+M21+P21+S21</f>
        <v>12.55</v>
      </c>
      <c r="G21" s="732">
        <f>K21+N21+Q21+T21</f>
        <v>14.141428372432969</v>
      </c>
      <c r="H21" s="732">
        <f>L21+O21+R21+U21</f>
        <v>16.913328511900627</v>
      </c>
      <c r="I21" s="894"/>
      <c r="J21" s="733">
        <f>12.5*0.354</f>
        <v>4.4249999999999998</v>
      </c>
      <c r="K21" s="55">
        <f>(+K17-K18)</f>
        <v>5.4218521499329686</v>
      </c>
      <c r="L21" s="55">
        <f>+L17-L18</f>
        <v>7.5360803662856251</v>
      </c>
      <c r="M21" s="733">
        <f>12.5*0.53</f>
        <v>6.625</v>
      </c>
      <c r="N21" s="55">
        <f>(+N17-N18)</f>
        <v>6.7183620074999997</v>
      </c>
      <c r="O21" s="55">
        <f>+O17-O18</f>
        <v>6.8544864898650006</v>
      </c>
      <c r="P21" s="733">
        <f>12.5*0.07</f>
        <v>0.87500000000000011</v>
      </c>
      <c r="Q21" s="55">
        <f>(+Q17-Q18)</f>
        <v>1.0006071074999998</v>
      </c>
      <c r="R21" s="55">
        <f>+R17-R18</f>
        <v>1.2550422307500002</v>
      </c>
      <c r="S21" s="733">
        <f>12.5*0.05</f>
        <v>0.625</v>
      </c>
      <c r="T21" s="55">
        <f>(+T17-T18)</f>
        <v>1.0006071075</v>
      </c>
      <c r="U21" s="55">
        <f>+U17-U18</f>
        <v>1.2677194250000001</v>
      </c>
      <c r="V21" s="797"/>
      <c r="W21" s="454" t="s">
        <v>473</v>
      </c>
    </row>
    <row r="22" spans="2:23" ht="24.95" customHeight="1">
      <c r="B22" s="5" t="s">
        <v>169</v>
      </c>
      <c r="D22" s="3" t="s">
        <v>99</v>
      </c>
      <c r="E22" s="36" t="s">
        <v>91</v>
      </c>
      <c r="F22" s="792">
        <f>F24/F21</f>
        <v>0.66944223107569711</v>
      </c>
      <c r="G22" s="793">
        <f>G24/G21</f>
        <v>0.65286054714226427</v>
      </c>
      <c r="H22" s="793">
        <f>H24/H21</f>
        <v>0.61812071641979627</v>
      </c>
      <c r="I22" s="894"/>
      <c r="J22" s="820">
        <v>0.78</v>
      </c>
      <c r="K22" s="820">
        <v>0.75</v>
      </c>
      <c r="L22" s="820">
        <v>0.69</v>
      </c>
      <c r="M22" s="1190">
        <v>0.56999999999999995</v>
      </c>
      <c r="N22" s="1190">
        <v>0.55000000000000004</v>
      </c>
      <c r="O22" s="1190">
        <v>0.52</v>
      </c>
      <c r="P22" s="1190">
        <v>0.77</v>
      </c>
      <c r="Q22" s="1190">
        <v>0.72</v>
      </c>
      <c r="R22" s="1190">
        <v>0.67</v>
      </c>
      <c r="S22" s="1190">
        <v>0.8</v>
      </c>
      <c r="T22" s="1190">
        <v>0.75</v>
      </c>
      <c r="U22" s="1190">
        <v>0.67</v>
      </c>
      <c r="V22" s="794"/>
      <c r="W22" s="454" t="s">
        <v>470</v>
      </c>
    </row>
    <row r="23" spans="2:23" ht="24.95" customHeight="1">
      <c r="B23" s="7">
        <v>1</v>
      </c>
      <c r="C23" s="58" t="s">
        <v>11</v>
      </c>
      <c r="F23" s="1084" t="s">
        <v>1098</v>
      </c>
      <c r="G23" s="1085">
        <f>+F24*G10</f>
        <v>9.9137699999999978</v>
      </c>
      <c r="H23" s="1086">
        <f>+F24*H10</f>
        <v>13.022324999999999</v>
      </c>
      <c r="I23" s="904"/>
      <c r="J23" s="911"/>
      <c r="K23" s="728"/>
      <c r="L23" s="727"/>
      <c r="M23" s="794"/>
      <c r="N23" s="794"/>
      <c r="O23" s="794"/>
      <c r="P23" s="794"/>
      <c r="Q23" s="794"/>
      <c r="R23" s="794"/>
      <c r="S23" s="794"/>
      <c r="T23" s="794"/>
      <c r="U23" s="794"/>
      <c r="V23" s="794"/>
    </row>
    <row r="24" spans="2:23" ht="24.95" customHeight="1">
      <c r="B24" s="5" t="s">
        <v>81</v>
      </c>
      <c r="D24" s="896" t="s">
        <v>922</v>
      </c>
      <c r="E24" s="897" t="s">
        <v>784</v>
      </c>
      <c r="F24" s="891">
        <f>J24+M24+P24+S24</f>
        <v>8.4014999999999986</v>
      </c>
      <c r="G24" s="796">
        <f>K24+N24+Q24++T24</f>
        <v>9.2323806645997273</v>
      </c>
      <c r="H24" s="732">
        <f>L24+O24+R24++U24</f>
        <v>10.454478736819382</v>
      </c>
      <c r="I24" s="903"/>
      <c r="J24" s="54">
        <f>J21*J22</f>
        <v>3.4514999999999998</v>
      </c>
      <c r="K24" s="54">
        <f t="shared" ref="K24:U24" si="1">K21*K22</f>
        <v>4.0663891124497269</v>
      </c>
      <c r="L24" s="54">
        <f>L21*L22</f>
        <v>5.1998954527370813</v>
      </c>
      <c r="M24" s="54">
        <f t="shared" si="1"/>
        <v>3.7762499999999997</v>
      </c>
      <c r="N24" s="54">
        <f t="shared" si="1"/>
        <v>3.6950991041250001</v>
      </c>
      <c r="O24" s="54">
        <f t="shared" si="1"/>
        <v>3.5643329747298003</v>
      </c>
      <c r="P24" s="54">
        <f t="shared" si="1"/>
        <v>0.67375000000000007</v>
      </c>
      <c r="Q24" s="54">
        <f t="shared" si="1"/>
        <v>0.72043711739999983</v>
      </c>
      <c r="R24" s="54">
        <f t="shared" si="1"/>
        <v>0.84087829460250019</v>
      </c>
      <c r="S24" s="54">
        <f>S21*S22</f>
        <v>0.5</v>
      </c>
      <c r="T24" s="54">
        <f t="shared" si="1"/>
        <v>0.75045533062500003</v>
      </c>
      <c r="U24" s="54">
        <f t="shared" si="1"/>
        <v>0.84937201475000013</v>
      </c>
      <c r="V24" s="790"/>
    </row>
    <row r="25" spans="2:23" ht="21" customHeight="1">
      <c r="B25" s="5" t="s">
        <v>87</v>
      </c>
      <c r="D25" s="896" t="s">
        <v>932</v>
      </c>
      <c r="E25" s="897" t="s">
        <v>933</v>
      </c>
      <c r="F25" s="892">
        <f>'1.2 Clinker EF'!F44</f>
        <v>0.73709764999999994</v>
      </c>
      <c r="G25" s="729">
        <f>'1.2 Clinker EF'!G44</f>
        <v>0.73734940000000004</v>
      </c>
      <c r="H25" s="729">
        <f>'1.2 Clinker EF'!H44</f>
        <v>0.70245069999999998</v>
      </c>
      <c r="I25" s="3"/>
      <c r="J25" s="2"/>
      <c r="K25" s="2"/>
      <c r="L25" s="2"/>
      <c r="M25" s="2"/>
      <c r="N25" s="2"/>
      <c r="O25" s="2"/>
      <c r="P25" s="2"/>
      <c r="Q25" s="2"/>
      <c r="R25" s="2"/>
      <c r="S25" s="2"/>
      <c r="T25" s="2"/>
      <c r="U25" s="2"/>
      <c r="V25" s="2"/>
      <c r="W25" s="454" t="s">
        <v>469</v>
      </c>
    </row>
    <row r="26" spans="2:23" ht="24.95" customHeight="1">
      <c r="B26" s="5" t="s">
        <v>145</v>
      </c>
      <c r="D26" s="49" t="s">
        <v>923</v>
      </c>
      <c r="E26" s="49" t="s">
        <v>934</v>
      </c>
      <c r="F26" s="1082">
        <f>F24*F25</f>
        <v>6.1927259064749984</v>
      </c>
      <c r="G26" s="798">
        <f>G24*G25</f>
        <v>6.8074903436142105</v>
      </c>
      <c r="H26" s="908">
        <f>H24*H25</f>
        <v>7.3437559068138905</v>
      </c>
      <c r="I26" s="883"/>
      <c r="J26" s="829" t="s">
        <v>854</v>
      </c>
      <c r="K26" s="825"/>
      <c r="L26" s="825"/>
      <c r="M26" s="825"/>
      <c r="N26" s="825">
        <v>2020</v>
      </c>
      <c r="O26" s="825">
        <v>2030</v>
      </c>
      <c r="P26" s="825">
        <v>2050</v>
      </c>
      <c r="Q26" s="2"/>
      <c r="R26" s="2"/>
      <c r="S26" s="2"/>
      <c r="T26" s="2"/>
      <c r="U26" s="2"/>
      <c r="V26" s="2"/>
    </row>
    <row r="27" spans="2:23" ht="24.95" customHeight="1">
      <c r="B27" s="5" t="s">
        <v>138</v>
      </c>
      <c r="C27" s="64" t="s">
        <v>148</v>
      </c>
      <c r="E27" s="52"/>
      <c r="F27" s="890"/>
      <c r="G27" s="825"/>
      <c r="H27" s="909">
        <f>+F26-H26</f>
        <v>-1.151030000338892</v>
      </c>
      <c r="I27" s="887"/>
      <c r="J27" s="825" t="s">
        <v>824</v>
      </c>
      <c r="K27" s="825"/>
      <c r="L27" s="825"/>
      <c r="M27" s="830"/>
      <c r="N27" s="831">
        <v>0</v>
      </c>
      <c r="O27" s="831">
        <v>0</v>
      </c>
      <c r="P27" s="831">
        <v>0</v>
      </c>
      <c r="Q27" s="2"/>
      <c r="R27" s="2"/>
      <c r="S27" s="728"/>
      <c r="T27" s="728"/>
      <c r="U27" s="728"/>
      <c r="V27" s="2"/>
    </row>
    <row r="28" spans="2:23" ht="24.95" customHeight="1">
      <c r="B28" s="5" t="s">
        <v>149</v>
      </c>
      <c r="D28" s="3" t="s">
        <v>924</v>
      </c>
      <c r="E28" s="36" t="s">
        <v>155</v>
      </c>
      <c r="F28" s="730">
        <v>0</v>
      </c>
      <c r="G28" s="731">
        <v>0.01</v>
      </c>
      <c r="H28" s="731">
        <v>0.01</v>
      </c>
      <c r="I28" s="3"/>
      <c r="J28" s="825" t="s">
        <v>825</v>
      </c>
      <c r="K28" s="825"/>
      <c r="L28" s="825"/>
      <c r="M28" s="825"/>
      <c r="N28" s="747">
        <f>F17*N27</f>
        <v>0</v>
      </c>
      <c r="O28" s="828">
        <f>G17*O27</f>
        <v>0</v>
      </c>
      <c r="P28" s="828">
        <f>H17*P27</f>
        <v>0</v>
      </c>
      <c r="Q28" s="2"/>
      <c r="R28" s="2"/>
      <c r="S28" s="733">
        <v>0.22500000000000001</v>
      </c>
      <c r="T28" s="728"/>
      <c r="U28" s="728"/>
      <c r="V28" s="2"/>
      <c r="W28" s="454" t="s">
        <v>471</v>
      </c>
    </row>
    <row r="29" spans="2:23" ht="24.95" customHeight="1">
      <c r="B29" s="5" t="s">
        <v>151</v>
      </c>
      <c r="D29" s="230" t="s">
        <v>925</v>
      </c>
      <c r="E29" s="36" t="s">
        <v>159</v>
      </c>
      <c r="F29" s="800"/>
      <c r="G29" s="53">
        <v>0.4</v>
      </c>
      <c r="H29" s="53">
        <v>0.28999999999999998</v>
      </c>
      <c r="I29" s="3"/>
      <c r="J29" s="825" t="s">
        <v>844</v>
      </c>
      <c r="K29" s="825"/>
      <c r="L29" s="825"/>
      <c r="M29" s="825"/>
      <c r="N29" s="877">
        <v>0</v>
      </c>
      <c r="O29" s="877">
        <v>0</v>
      </c>
      <c r="P29" s="877">
        <v>0</v>
      </c>
      <c r="Q29" s="2"/>
      <c r="R29" s="2"/>
      <c r="S29" s="728"/>
      <c r="T29" s="728"/>
      <c r="U29" s="728"/>
      <c r="V29" s="2"/>
      <c r="W29" s="368" t="s">
        <v>480</v>
      </c>
    </row>
    <row r="30" spans="2:23" ht="24.95" customHeight="1">
      <c r="B30" s="5" t="s">
        <v>150</v>
      </c>
      <c r="D30" s="3" t="s">
        <v>926</v>
      </c>
      <c r="E30" s="36" t="s">
        <v>161</v>
      </c>
      <c r="F30" s="800"/>
      <c r="G30" s="801">
        <f>G17*G28*(G25*G19-G29)</f>
        <v>1.1509189946410234E-2</v>
      </c>
      <c r="H30" s="801">
        <f>H17*H28*(H25*H19-H29)</f>
        <v>2.4388906383627097E-2</v>
      </c>
      <c r="I30" s="3"/>
      <c r="J30" s="825" t="s">
        <v>845</v>
      </c>
      <c r="K30" s="825"/>
      <c r="L30" s="825"/>
      <c r="M30" s="825"/>
      <c r="N30" s="832">
        <f>N28*N29</f>
        <v>0</v>
      </c>
      <c r="O30" s="832">
        <f>O28*O29</f>
        <v>0</v>
      </c>
      <c r="P30" s="832">
        <f>P28*P29</f>
        <v>0</v>
      </c>
      <c r="Q30" s="2"/>
      <c r="R30" s="2"/>
      <c r="S30" s="802"/>
      <c r="T30" s="802"/>
      <c r="U30" s="802"/>
      <c r="V30" s="2"/>
      <c r="W30" s="454" t="s">
        <v>472</v>
      </c>
    </row>
    <row r="31" spans="2:23" ht="24.95" customHeight="1">
      <c r="B31" s="5" t="s">
        <v>152</v>
      </c>
      <c r="D31" s="3" t="s">
        <v>153</v>
      </c>
      <c r="E31" s="66" t="s">
        <v>239</v>
      </c>
      <c r="F31" s="798">
        <f>N31-F30</f>
        <v>6.1927259064749984</v>
      </c>
      <c r="G31" s="798">
        <f>O31-G30</f>
        <v>6.7959811536678005</v>
      </c>
      <c r="H31" s="798">
        <f>P31-H30</f>
        <v>7.3193670004302636</v>
      </c>
      <c r="I31" s="1464"/>
      <c r="J31" s="825" t="s">
        <v>840</v>
      </c>
      <c r="K31" s="825"/>
      <c r="L31" s="825"/>
      <c r="M31" s="825"/>
      <c r="N31" s="833">
        <f>F26+N30</f>
        <v>6.1927259064749984</v>
      </c>
      <c r="O31" s="833">
        <f>G26+O30</f>
        <v>6.8074903436142105</v>
      </c>
      <c r="P31" s="833">
        <f>H26+P30</f>
        <v>7.3437559068138905</v>
      </c>
      <c r="Q31" s="2"/>
      <c r="R31" s="2"/>
      <c r="S31" s="2"/>
      <c r="T31" s="2"/>
      <c r="U31" s="2"/>
      <c r="V31" s="2"/>
    </row>
    <row r="32" spans="2:23" ht="24.95" customHeight="1">
      <c r="B32" s="7" t="s">
        <v>88</v>
      </c>
      <c r="C32" s="58" t="s">
        <v>12</v>
      </c>
      <c r="F32" s="803"/>
      <c r="G32" s="808"/>
      <c r="H32" s="808"/>
      <c r="I32" s="3"/>
      <c r="J32" s="2"/>
      <c r="K32" s="2"/>
      <c r="L32" s="2"/>
      <c r="M32" s="2"/>
      <c r="N32" s="2"/>
      <c r="O32" s="2"/>
      <c r="P32" s="2"/>
      <c r="Q32" s="2"/>
      <c r="R32" s="2"/>
      <c r="S32" s="2"/>
      <c r="T32" s="2"/>
      <c r="U32" s="2"/>
      <c r="V32" s="2"/>
    </row>
    <row r="33" spans="1:23" ht="24.95" customHeight="1">
      <c r="B33" s="5" t="s">
        <v>108</v>
      </c>
      <c r="D33" s="4" t="s">
        <v>839</v>
      </c>
      <c r="E33" s="36" t="s">
        <v>160</v>
      </c>
      <c r="F33" s="805">
        <v>0.28999999999999998</v>
      </c>
      <c r="G33" s="803"/>
      <c r="H33" s="803"/>
      <c r="I33" s="3"/>
      <c r="J33" s="826" t="s">
        <v>855</v>
      </c>
      <c r="K33" s="825"/>
      <c r="L33" s="825"/>
      <c r="M33" s="825"/>
      <c r="N33" s="827">
        <v>2020</v>
      </c>
      <c r="O33" s="825">
        <v>2030</v>
      </c>
      <c r="P33" s="825">
        <v>2050</v>
      </c>
      <c r="Q33" s="2"/>
      <c r="R33" s="2"/>
      <c r="S33" s="2"/>
      <c r="T33" s="2"/>
      <c r="U33" s="2"/>
      <c r="V33" s="2"/>
      <c r="W33" s="454" t="s">
        <v>478</v>
      </c>
    </row>
    <row r="34" spans="1:23" ht="24.95" customHeight="1">
      <c r="B34" s="5" t="s">
        <v>157</v>
      </c>
      <c r="D34" s="3" t="s">
        <v>245</v>
      </c>
      <c r="E34" s="36" t="s">
        <v>161</v>
      </c>
      <c r="F34" s="806">
        <f>F24*'1.2 Clinker EF'!F11*$F$33</f>
        <v>1.2791283749999998</v>
      </c>
      <c r="G34" s="806">
        <f>G24*'1.2 Clinker EF'!G11*$F$33</f>
        <v>1.4056299561853085</v>
      </c>
      <c r="H34" s="806">
        <f>H24*'1.2 Clinker EF'!H11*$F$33</f>
        <v>1.591694387680751</v>
      </c>
      <c r="I34" s="3"/>
      <c r="J34" s="1497" t="s">
        <v>959</v>
      </c>
      <c r="K34" s="1498"/>
      <c r="L34" s="1498"/>
      <c r="M34" s="1499"/>
      <c r="N34" s="878">
        <v>272</v>
      </c>
      <c r="O34" s="879">
        <v>200</v>
      </c>
      <c r="P34" s="877">
        <v>14.1</v>
      </c>
      <c r="Q34" s="2">
        <f>+N34*0.001</f>
        <v>0.27200000000000002</v>
      </c>
      <c r="R34" s="2">
        <f>+Q34*1000</f>
        <v>272</v>
      </c>
      <c r="S34" s="2"/>
      <c r="T34" s="2"/>
      <c r="U34" s="2"/>
      <c r="V34" s="2"/>
    </row>
    <row r="35" spans="1:23" ht="24.95" customHeight="1">
      <c r="B35" s="5" t="s">
        <v>190</v>
      </c>
      <c r="D35" s="49" t="s">
        <v>180</v>
      </c>
      <c r="E35" s="66" t="s">
        <v>239</v>
      </c>
      <c r="F35" s="798">
        <f>F31-F34</f>
        <v>4.9135975314749984</v>
      </c>
      <c r="G35" s="798">
        <f>G31-G34</f>
        <v>5.3903511974824916</v>
      </c>
      <c r="H35" s="798">
        <f>H31-H34</f>
        <v>5.7276726127495126</v>
      </c>
      <c r="I35" s="799"/>
      <c r="J35" s="827" t="s">
        <v>960</v>
      </c>
      <c r="K35" s="917"/>
      <c r="L35" s="917"/>
      <c r="M35" s="918"/>
      <c r="N35" s="851">
        <f>'1.2 Clinker EF'!F46</f>
        <v>120</v>
      </c>
      <c r="O35" s="851">
        <f>'1.2 Clinker EF'!G46</f>
        <v>115</v>
      </c>
      <c r="P35" s="989">
        <f>'1.2 Clinker EF'!H46</f>
        <v>87</v>
      </c>
      <c r="Q35" s="2"/>
      <c r="R35" s="2"/>
      <c r="S35" s="2"/>
      <c r="T35" s="2"/>
      <c r="U35" s="2"/>
      <c r="V35" s="2"/>
    </row>
    <row r="36" spans="1:23" ht="24.95" customHeight="1">
      <c r="B36" s="7" t="s">
        <v>89</v>
      </c>
      <c r="C36" s="58" t="s">
        <v>13</v>
      </c>
      <c r="F36" s="807"/>
      <c r="G36" s="808">
        <f>+F35*0.25</f>
        <v>1.2283993828687496</v>
      </c>
      <c r="H36" s="808">
        <f>+F35-G36</f>
        <v>3.6851981486062488</v>
      </c>
      <c r="I36" s="3"/>
      <c r="J36" s="827" t="s">
        <v>961</v>
      </c>
      <c r="K36" s="917"/>
      <c r="L36" s="917"/>
      <c r="M36" s="918"/>
      <c r="N36" s="905">
        <f>N35*F21/1000</f>
        <v>1.506</v>
      </c>
      <c r="O36" s="905">
        <f>O35*G21/1000</f>
        <v>1.6262642628297914</v>
      </c>
      <c r="P36" s="905">
        <f>P35*H21/1000</f>
        <v>1.4714595805353545</v>
      </c>
      <c r="Q36" s="2"/>
      <c r="R36" s="2"/>
      <c r="S36" s="2"/>
      <c r="T36" s="2"/>
      <c r="U36" s="2"/>
      <c r="V36" s="2"/>
    </row>
    <row r="37" spans="1:23" ht="24.95" customHeight="1">
      <c r="B37" s="5" t="s">
        <v>107</v>
      </c>
      <c r="D37" s="3" t="s">
        <v>927</v>
      </c>
      <c r="E37" s="36" t="s">
        <v>161</v>
      </c>
      <c r="F37" s="733">
        <v>0</v>
      </c>
      <c r="G37" s="733">
        <v>0</v>
      </c>
      <c r="H37" s="732">
        <f>+H35</f>
        <v>5.7276726127495126</v>
      </c>
      <c r="I37" s="3"/>
      <c r="J37" s="827" t="s">
        <v>962</v>
      </c>
      <c r="K37" s="917"/>
      <c r="L37" s="917"/>
      <c r="M37" s="918"/>
      <c r="N37" s="824">
        <v>0</v>
      </c>
      <c r="O37" s="824">
        <v>0</v>
      </c>
      <c r="P37" s="824">
        <v>200</v>
      </c>
      <c r="Q37" s="2" t="s">
        <v>958</v>
      </c>
      <c r="R37" s="2"/>
      <c r="S37" s="2"/>
      <c r="T37" s="2"/>
      <c r="U37" s="2"/>
      <c r="V37" s="2"/>
      <c r="W37" s="454" t="s">
        <v>515</v>
      </c>
    </row>
    <row r="38" spans="1:23" ht="24.95" customHeight="1">
      <c r="B38" s="5" t="s">
        <v>158</v>
      </c>
      <c r="D38" s="94" t="s">
        <v>928</v>
      </c>
      <c r="E38" s="36" t="s">
        <v>238</v>
      </c>
      <c r="F38" s="809">
        <f>F24*(F37/0.9)/F31</f>
        <v>0</v>
      </c>
      <c r="G38" s="809">
        <f>G24*(G37/0.9)/G31</f>
        <v>0</v>
      </c>
      <c r="H38" s="809">
        <f>H24*(H37/0.9)/H31</f>
        <v>9.0900136792236736</v>
      </c>
      <c r="I38" s="3"/>
      <c r="J38" s="827" t="s">
        <v>963</v>
      </c>
      <c r="K38" s="917"/>
      <c r="L38" s="917"/>
      <c r="M38" s="918"/>
      <c r="N38" s="835">
        <f>N37*F24/1000</f>
        <v>0</v>
      </c>
      <c r="O38" s="835">
        <f>O37*G38/1000</f>
        <v>0</v>
      </c>
      <c r="P38" s="835">
        <f>P37*H24/1000</f>
        <v>2.0908957473638767</v>
      </c>
      <c r="Q38" s="716"/>
      <c r="R38" s="2"/>
      <c r="S38" s="2"/>
      <c r="T38" s="2"/>
      <c r="U38" s="2"/>
      <c r="V38" s="2"/>
      <c r="W38" s="454" t="s">
        <v>479</v>
      </c>
    </row>
    <row r="39" spans="1:23" ht="24.95" customHeight="1">
      <c r="B39" s="5" t="s">
        <v>189</v>
      </c>
      <c r="D39" s="49" t="s">
        <v>929</v>
      </c>
      <c r="E39" s="66" t="s">
        <v>239</v>
      </c>
      <c r="F39" s="810">
        <f>F35-F37</f>
        <v>4.9135975314749984</v>
      </c>
      <c r="G39" s="810">
        <f>G35-G37</f>
        <v>5.3903511974824916</v>
      </c>
      <c r="H39" s="810">
        <f>H35-H37</f>
        <v>0</v>
      </c>
      <c r="I39" s="934"/>
      <c r="J39" s="827" t="s">
        <v>964</v>
      </c>
      <c r="K39" s="917"/>
      <c r="L39" s="917"/>
      <c r="M39" s="918"/>
      <c r="N39" s="824">
        <v>3</v>
      </c>
      <c r="O39" s="824">
        <v>3</v>
      </c>
      <c r="P39" s="824">
        <v>5</v>
      </c>
      <c r="Q39" s="2"/>
      <c r="R39" s="2"/>
      <c r="S39" s="2"/>
      <c r="T39" s="2"/>
      <c r="U39" s="2"/>
      <c r="V39" s="2"/>
    </row>
    <row r="40" spans="1:23" s="32" customFormat="1" ht="19.5" customHeight="1" thickBot="1">
      <c r="A40" s="17"/>
      <c r="B40" s="18"/>
      <c r="C40" s="59"/>
      <c r="D40" s="74"/>
      <c r="E40" s="75"/>
      <c r="F40" s="811"/>
      <c r="G40" s="811"/>
      <c r="H40" s="811"/>
      <c r="I40" s="811"/>
      <c r="J40" s="889" t="s">
        <v>965</v>
      </c>
      <c r="K40" s="919"/>
      <c r="L40" s="919"/>
      <c r="M40" s="920"/>
      <c r="N40" s="915">
        <f>N54*N39</f>
        <v>3.9715936254980079E-2</v>
      </c>
      <c r="O40" s="982">
        <f>O54*O39</f>
        <v>5.1092905711681048E-2</v>
      </c>
      <c r="P40" s="915">
        <f>P54*P39</f>
        <v>0.13143240526165456</v>
      </c>
      <c r="W40" s="458"/>
    </row>
    <row r="41" spans="1:23" s="16" customFormat="1" ht="24.95" customHeight="1" thickTop="1">
      <c r="B41" s="13" t="s">
        <v>92</v>
      </c>
      <c r="C41" s="60" t="s">
        <v>172</v>
      </c>
      <c r="D41" s="14"/>
      <c r="E41" s="72"/>
      <c r="F41" s="73"/>
      <c r="I41" s="14"/>
      <c r="J41" s="921" t="s">
        <v>966</v>
      </c>
      <c r="K41" s="922"/>
      <c r="L41" s="922"/>
      <c r="M41" s="923"/>
      <c r="N41" s="906">
        <f>N38+N36+N40</f>
        <v>1.5457159362549802</v>
      </c>
      <c r="O41" s="835">
        <f>O38+O36+O40</f>
        <v>1.6773571685414725</v>
      </c>
      <c r="P41" s="835">
        <f>P38+P36+P40</f>
        <v>3.6937877331608862</v>
      </c>
      <c r="W41" s="457"/>
    </row>
    <row r="42" spans="1:23" ht="24.95" customHeight="1" thickBot="1">
      <c r="B42" s="5" t="s">
        <v>176</v>
      </c>
      <c r="C42" s="58" t="s">
        <v>181</v>
      </c>
      <c r="D42" s="58" t="s">
        <v>526</v>
      </c>
      <c r="E42" s="71" t="s">
        <v>272</v>
      </c>
      <c r="F42" s="812">
        <f>F26+N30-F30-F34-F37</f>
        <v>4.9135975314749984</v>
      </c>
      <c r="G42" s="812">
        <f>G26+O30-G30-G34-G37</f>
        <v>5.3903511974824916</v>
      </c>
      <c r="H42" s="812">
        <f>H26+P30-H30-H34-H37</f>
        <v>0</v>
      </c>
      <c r="I42" s="799"/>
      <c r="J42" s="924" t="s">
        <v>931</v>
      </c>
      <c r="K42" s="925"/>
      <c r="L42" s="925"/>
      <c r="M42" s="926"/>
      <c r="N42" s="932">
        <f>N41*N34/1000</f>
        <v>0.42043473466135456</v>
      </c>
      <c r="O42" s="907">
        <f>O41*O34/1000</f>
        <v>0.33547143370829452</v>
      </c>
      <c r="P42" s="1457">
        <f>P41*P34/1000</f>
        <v>5.2082407037568494E-2</v>
      </c>
      <c r="Q42" s="2"/>
      <c r="R42" s="2"/>
      <c r="S42" s="2"/>
      <c r="T42" s="2"/>
      <c r="U42" s="2"/>
      <c r="V42" s="2"/>
    </row>
    <row r="43" spans="1:23" ht="24.95" customHeight="1" thickTop="1">
      <c r="B43" s="5" t="s">
        <v>182</v>
      </c>
      <c r="C43" s="58" t="s">
        <v>177</v>
      </c>
      <c r="D43" s="58" t="s">
        <v>526</v>
      </c>
      <c r="E43" s="66"/>
      <c r="F43" s="2"/>
      <c r="G43" s="2"/>
      <c r="H43" s="2"/>
      <c r="I43" s="2"/>
      <c r="J43" s="2"/>
      <c r="K43" s="2"/>
      <c r="L43" s="2"/>
      <c r="M43" s="2"/>
      <c r="N43" s="16"/>
      <c r="O43" s="2"/>
      <c r="P43" s="2"/>
      <c r="Q43" s="2"/>
      <c r="R43" s="2"/>
      <c r="S43" s="2"/>
      <c r="T43" s="2"/>
      <c r="U43" s="2"/>
      <c r="V43" s="2"/>
    </row>
    <row r="44" spans="1:23" ht="24.95" customHeight="1">
      <c r="B44" s="5" t="s">
        <v>183</v>
      </c>
      <c r="C44" s="1"/>
      <c r="D44" s="3" t="s">
        <v>11</v>
      </c>
      <c r="E44" s="36" t="s">
        <v>163</v>
      </c>
      <c r="F44" s="801">
        <f>F42/F24</f>
        <v>0.58484764999999994</v>
      </c>
      <c r="G44" s="801">
        <f>G42/G24</f>
        <v>0.58385278871256241</v>
      </c>
      <c r="H44" s="801">
        <f>H42/H24</f>
        <v>0</v>
      </c>
      <c r="I44" s="3"/>
      <c r="J44" s="826" t="s">
        <v>967</v>
      </c>
      <c r="K44" s="825"/>
      <c r="L44" s="825"/>
      <c r="M44" s="825"/>
      <c r="N44" s="825">
        <v>2020</v>
      </c>
      <c r="O44" s="825">
        <v>2030</v>
      </c>
      <c r="P44" s="825">
        <v>2050</v>
      </c>
      <c r="Q44" s="2"/>
      <c r="R44" s="2"/>
      <c r="S44" s="2"/>
      <c r="T44" s="2"/>
      <c r="U44" s="2"/>
      <c r="V44" s="2"/>
    </row>
    <row r="45" spans="1:23" ht="24.95" customHeight="1">
      <c r="B45" s="5" t="s">
        <v>184</v>
      </c>
      <c r="C45" s="1"/>
      <c r="D45" s="39" t="s">
        <v>110</v>
      </c>
      <c r="E45" s="36" t="s">
        <v>162</v>
      </c>
      <c r="F45" s="801">
        <f>F42/F21</f>
        <v>0.39152171565537836</v>
      </c>
      <c r="G45" s="801">
        <f>G42/G21</f>
        <v>0.38117445108942033</v>
      </c>
      <c r="H45" s="801">
        <f>H42/H21</f>
        <v>0</v>
      </c>
      <c r="I45" s="3"/>
      <c r="J45" s="826" t="s">
        <v>968</v>
      </c>
      <c r="K45" s="825"/>
      <c r="L45" s="825"/>
      <c r="M45" s="825"/>
      <c r="N45" s="825"/>
      <c r="O45" s="825"/>
      <c r="P45" s="825"/>
      <c r="Q45" s="2"/>
      <c r="R45" s="2"/>
      <c r="S45" s="2"/>
      <c r="T45" s="2"/>
      <c r="U45" s="2"/>
      <c r="V45" s="2"/>
    </row>
    <row r="46" spans="1:23" ht="24.95" customHeight="1">
      <c r="B46" s="5" t="s">
        <v>185</v>
      </c>
      <c r="C46" s="1"/>
      <c r="D46" s="39" t="s">
        <v>525</v>
      </c>
      <c r="E46" s="36" t="s">
        <v>175</v>
      </c>
      <c r="F46" s="801">
        <f>F42/F17</f>
        <v>0.39152171565537836</v>
      </c>
      <c r="G46" s="801">
        <f>G42/G17</f>
        <v>0.38117445108942033</v>
      </c>
      <c r="H46" s="801">
        <f>H42/H17</f>
        <v>0</v>
      </c>
      <c r="I46" s="3"/>
      <c r="J46" s="825" t="s">
        <v>969</v>
      </c>
      <c r="K46" s="825"/>
      <c r="L46" s="825"/>
      <c r="M46" s="825"/>
      <c r="N46" s="828">
        <f>F21/N49</f>
        <v>381.45896656534956</v>
      </c>
      <c r="O46" s="828">
        <f>G21/O49</f>
        <v>377.10475659821253</v>
      </c>
      <c r="P46" s="828">
        <f>H21/P49</f>
        <v>334.91739627525993</v>
      </c>
      <c r="Q46" s="716"/>
      <c r="R46" s="980"/>
      <c r="S46" s="813"/>
      <c r="T46" s="813"/>
      <c r="U46" s="2"/>
      <c r="V46" s="2"/>
    </row>
    <row r="47" spans="1:23" ht="24.95" customHeight="1">
      <c r="B47" s="5" t="s">
        <v>186</v>
      </c>
      <c r="C47" s="58" t="s">
        <v>187</v>
      </c>
      <c r="D47" s="67"/>
      <c r="E47" s="66"/>
      <c r="F47" s="2"/>
      <c r="G47" s="2"/>
      <c r="H47" s="2"/>
      <c r="I47" s="2"/>
      <c r="J47" s="825" t="s">
        <v>970</v>
      </c>
      <c r="K47" s="825"/>
      <c r="L47" s="825"/>
      <c r="M47" s="825"/>
      <c r="N47" s="828">
        <f>F18/N49</f>
        <v>0</v>
      </c>
      <c r="O47" s="828">
        <f>G18/O49</f>
        <v>0</v>
      </c>
      <c r="P47" s="828">
        <f>H18/P49</f>
        <v>0</v>
      </c>
      <c r="Q47" s="723"/>
      <c r="R47" s="813"/>
      <c r="S47" s="813"/>
      <c r="T47" s="813"/>
      <c r="U47" s="2"/>
      <c r="V47" s="2"/>
    </row>
    <row r="48" spans="1:23" ht="24.95" customHeight="1">
      <c r="B48" s="5" t="s">
        <v>192</v>
      </c>
      <c r="D48" s="3" t="s">
        <v>193</v>
      </c>
      <c r="E48" s="36" t="s">
        <v>161</v>
      </c>
      <c r="F48" s="1009">
        <f>'1.2 Clinker EF'!F21*'1.2 Clinker EF'!$J21*'1.2 Clinker EF'!F32/1000/1000*F24</f>
        <v>6.9060329999999989E-2</v>
      </c>
      <c r="G48" s="1009">
        <f>'1.2 Clinker EF'!G21*'1.2 Clinker EF'!$J21*'1.2 Clinker EF'!G32/1000/1000*G24</f>
        <v>0.12925332930439618</v>
      </c>
      <c r="H48" s="814">
        <f>'1.2 Clinker EF'!H21*'1.2 Clinker EF'!$J21*'1.2 Clinker EF'!H32/1000/1000*H24</f>
        <v>0.22079859092162535</v>
      </c>
      <c r="I48" s="3"/>
      <c r="J48" s="825" t="s">
        <v>971</v>
      </c>
      <c r="K48" s="825"/>
      <c r="L48" s="825"/>
      <c r="M48" s="825"/>
      <c r="N48" s="828">
        <f>N46+N47</f>
        <v>381.45896656534956</v>
      </c>
      <c r="O48" s="828">
        <f>O46+O47</f>
        <v>377.10475659821253</v>
      </c>
      <c r="P48" s="828">
        <f>P46+P47</f>
        <v>334.91739627525993</v>
      </c>
      <c r="Q48" s="927"/>
      <c r="R48" s="928"/>
      <c r="S48" s="929"/>
      <c r="T48" s="815"/>
      <c r="U48" s="2"/>
      <c r="V48" s="2"/>
    </row>
    <row r="49" spans="1:23" ht="24.95" customHeight="1">
      <c r="B49" s="5" t="s">
        <v>188</v>
      </c>
      <c r="D49" s="39" t="s">
        <v>247</v>
      </c>
      <c r="E49" s="36" t="s">
        <v>161</v>
      </c>
      <c r="F49" s="816">
        <f>F37*('1.2 Clinker EF'!F39/'1.2 Clinker EF'!F44)</f>
        <v>0</v>
      </c>
      <c r="G49" s="816">
        <f>G37*('1.2 Clinker EF'!G39/'1.2 Clinker EF'!G44)</f>
        <v>0</v>
      </c>
      <c r="H49" s="816">
        <f>H37*('1.2 Clinker EF'!H39/'1.2 Clinker EF'!H44)</f>
        <v>0.26907681381872628</v>
      </c>
      <c r="I49" s="2"/>
      <c r="J49" s="834" t="s">
        <v>1067</v>
      </c>
      <c r="K49" s="834"/>
      <c r="L49" s="834"/>
      <c r="M49" s="834"/>
      <c r="N49" s="1347">
        <v>3.2899999999999999E-2</v>
      </c>
      <c r="O49" s="1347">
        <v>3.7499999999999999E-2</v>
      </c>
      <c r="P49" s="1347">
        <v>5.0500000000000003E-2</v>
      </c>
      <c r="U49" s="2"/>
      <c r="V49" s="2"/>
    </row>
    <row r="50" spans="1:23" ht="24.95" customHeight="1">
      <c r="B50" s="5" t="s">
        <v>191</v>
      </c>
      <c r="D50" s="3" t="s">
        <v>174</v>
      </c>
      <c r="E50" s="36" t="s">
        <v>161</v>
      </c>
      <c r="F50" s="817">
        <v>0</v>
      </c>
      <c r="G50" s="817">
        <v>0</v>
      </c>
      <c r="H50" s="817">
        <v>0</v>
      </c>
      <c r="I50" s="3"/>
      <c r="J50" s="825" t="s">
        <v>972</v>
      </c>
      <c r="K50" s="825"/>
      <c r="L50" s="825"/>
      <c r="M50" s="825"/>
      <c r="N50" s="916">
        <f>J17/N48</f>
        <v>1.160019920318725E-2</v>
      </c>
      <c r="O50" s="916">
        <f>K17/O48</f>
        <v>1.437757560748484E-2</v>
      </c>
      <c r="P50" s="916">
        <f>L17/P48</f>
        <v>2.2501310621953825E-2</v>
      </c>
      <c r="Q50" s="723"/>
      <c r="R50" s="815"/>
      <c r="S50" s="815"/>
      <c r="T50" s="815"/>
      <c r="U50" s="2"/>
      <c r="V50" s="2"/>
      <c r="W50" s="454" t="s">
        <v>516</v>
      </c>
    </row>
    <row r="51" spans="1:23" ht="24.95" customHeight="1">
      <c r="A51" s="62"/>
      <c r="B51" s="63"/>
      <c r="D51" s="3" t="s">
        <v>173</v>
      </c>
      <c r="F51" s="803"/>
      <c r="G51" s="808"/>
      <c r="H51" s="808"/>
      <c r="I51" s="3"/>
      <c r="J51" s="825" t="s">
        <v>973</v>
      </c>
      <c r="K51" s="825"/>
      <c r="L51" s="825"/>
      <c r="M51" s="825"/>
      <c r="N51" s="916">
        <f>M17/N48</f>
        <v>1.7367529880478086E-2</v>
      </c>
      <c r="O51" s="916">
        <f>N17/O48</f>
        <v>1.7815638466364137E-2</v>
      </c>
      <c r="P51" s="916">
        <f>O17/P48</f>
        <v>2.0466200221595763E-2</v>
      </c>
      <c r="Q51" s="723"/>
      <c r="R51" s="815"/>
      <c r="S51" s="815"/>
      <c r="T51" s="815"/>
      <c r="U51" s="2"/>
      <c r="V51" s="2"/>
    </row>
    <row r="52" spans="1:23" ht="24.95" customHeight="1">
      <c r="F52" s="803"/>
      <c r="G52" s="808"/>
      <c r="H52" s="804"/>
      <c r="I52" s="3"/>
      <c r="J52" s="825" t="s">
        <v>841</v>
      </c>
      <c r="K52" s="825"/>
      <c r="L52" s="825"/>
      <c r="M52" s="825"/>
      <c r="N52" s="916">
        <f>P17/N48</f>
        <v>2.2938247011952194E-3</v>
      </c>
      <c r="O52" s="916">
        <f>Q17/O48</f>
        <v>2.6533929630755092E-3</v>
      </c>
      <c r="P52" s="916">
        <f>R17/P48</f>
        <v>3.7473187260733194E-3</v>
      </c>
      <c r="Q52" s="723"/>
      <c r="R52" s="818"/>
      <c r="S52" s="818"/>
      <c r="T52" s="818"/>
      <c r="U52" s="2"/>
      <c r="V52" s="2"/>
    </row>
    <row r="53" spans="1:23">
      <c r="D53" s="3" t="s">
        <v>794</v>
      </c>
      <c r="F53" s="819"/>
      <c r="G53" s="525"/>
      <c r="H53" s="525"/>
      <c r="I53" s="3"/>
      <c r="J53" s="825" t="s">
        <v>842</v>
      </c>
      <c r="K53" s="825"/>
      <c r="L53" s="825"/>
      <c r="M53" s="825"/>
      <c r="N53" s="916">
        <f>S17/N48</f>
        <v>1.6384462151394423E-3</v>
      </c>
      <c r="O53" s="916">
        <f>T17/O48</f>
        <v>2.6533929630755096E-3</v>
      </c>
      <c r="P53" s="916">
        <f>U17/P48</f>
        <v>3.7851704303770903E-3</v>
      </c>
      <c r="Q53" s="723"/>
      <c r="R53" s="2"/>
      <c r="S53" s="2"/>
      <c r="T53" s="2"/>
      <c r="U53" s="2"/>
      <c r="V53" s="2"/>
    </row>
    <row r="54" spans="1:23">
      <c r="F54" s="819"/>
      <c r="G54" s="525"/>
      <c r="H54" s="525"/>
      <c r="I54" s="3"/>
      <c r="J54" s="825" t="s">
        <v>843</v>
      </c>
      <c r="K54" s="825"/>
      <c r="L54" s="825"/>
      <c r="M54" s="825"/>
      <c r="N54" s="1007">
        <f>N50+N53</f>
        <v>1.3238645418326693E-2</v>
      </c>
      <c r="O54" s="1006">
        <f>O50+O53</f>
        <v>1.7030968570560349E-2</v>
      </c>
      <c r="P54" s="1006">
        <f>P50+P53</f>
        <v>2.6286481052330914E-2</v>
      </c>
      <c r="Q54" s="723"/>
      <c r="R54" s="2"/>
      <c r="S54" s="2"/>
      <c r="T54" s="2"/>
      <c r="U54" s="2"/>
      <c r="V54" s="2"/>
    </row>
    <row r="56" spans="1:23">
      <c r="G56" s="12">
        <v>11.5</v>
      </c>
      <c r="H56" s="12" t="s">
        <v>1099</v>
      </c>
      <c r="J56" s="1111">
        <v>0.6</v>
      </c>
      <c r="K56" s="6">
        <f>+K62*J56</f>
        <v>7.26</v>
      </c>
      <c r="L56" s="6" t="s">
        <v>1101</v>
      </c>
      <c r="O56" s="931"/>
      <c r="P56" s="931"/>
    </row>
    <row r="57" spans="1:23">
      <c r="G57" s="12">
        <f>+G56/1000</f>
        <v>1.15E-2</v>
      </c>
      <c r="H57" s="12" t="s">
        <v>1100</v>
      </c>
      <c r="J57" s="1111">
        <v>0.25</v>
      </c>
      <c r="K57" s="108">
        <f>+K62*J57</f>
        <v>3.0249999999999999</v>
      </c>
      <c r="L57" s="108" t="s">
        <v>914</v>
      </c>
      <c r="M57" s="108"/>
      <c r="N57" s="930"/>
      <c r="O57" s="725"/>
    </row>
    <row r="58" spans="1:23">
      <c r="J58" s="1111">
        <v>0.1</v>
      </c>
      <c r="K58" s="108">
        <f>+K62*J58</f>
        <v>1.21</v>
      </c>
      <c r="L58" s="108" t="s">
        <v>1102</v>
      </c>
      <c r="M58" s="108"/>
      <c r="N58" s="725"/>
      <c r="O58" s="725"/>
    </row>
    <row r="59" spans="1:23">
      <c r="J59" s="1111">
        <v>0.05</v>
      </c>
      <c r="K59" s="108">
        <f>+K62*J59</f>
        <v>0.60499999999999998</v>
      </c>
      <c r="L59" s="108" t="s">
        <v>1103</v>
      </c>
      <c r="M59" s="108"/>
      <c r="N59" s="948"/>
      <c r="O59" s="948"/>
      <c r="P59" s="948"/>
    </row>
    <row r="60" spans="1:23">
      <c r="J60" s="930">
        <f>+SUM(J56:J59)</f>
        <v>1</v>
      </c>
      <c r="K60" s="1112">
        <f>+SUM(K56:K59)</f>
        <v>12.100000000000001</v>
      </c>
      <c r="L60" s="724"/>
      <c r="M60" s="724"/>
      <c r="N60" s="725"/>
      <c r="O60" s="725"/>
    </row>
    <row r="62" spans="1:23">
      <c r="J62" s="1111">
        <v>0.25</v>
      </c>
      <c r="K62" s="108">
        <v>12.1</v>
      </c>
      <c r="L62" s="6">
        <f>+K62*4</f>
        <v>48.4</v>
      </c>
    </row>
    <row r="63" spans="1:23">
      <c r="J63" s="1111">
        <v>1</v>
      </c>
      <c r="K63" s="6">
        <f>+J63*K62/J62</f>
        <v>48.4</v>
      </c>
    </row>
  </sheetData>
  <mergeCells count="2">
    <mergeCell ref="V1:V6"/>
    <mergeCell ref="J34:M34"/>
  </mergeCells>
  <conditionalFormatting sqref="F11:H11">
    <cfRule type="cellIs" dxfId="4" priority="1" operator="notEqual">
      <formula>1</formula>
    </cfRule>
  </conditionalFormatting>
  <hyperlinks>
    <hyperlink ref="F5" r:id="rId1" xr:uid="{35779F2D-5434-4923-B753-59ED3A4A72CF}"/>
  </hyperlinks>
  <pageMargins left="0.25" right="0.25" top="0.75" bottom="0.75" header="0.3" footer="0.3"/>
  <pageSetup paperSize="9" scale="35"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pageSetUpPr fitToPage="1"/>
  </sheetPr>
  <dimension ref="A1:AG44"/>
  <sheetViews>
    <sheetView topLeftCell="O6" zoomScale="80" zoomScaleNormal="80" workbookViewId="0">
      <selection activeCell="AF25" sqref="AF25"/>
    </sheetView>
  </sheetViews>
  <sheetFormatPr baseColWidth="10" defaultColWidth="11" defaultRowHeight="15.75" outlineLevelRow="1"/>
  <cols>
    <col min="1" max="1" width="2.375" style="3" customWidth="1"/>
    <col min="2" max="2" width="5.625" style="5" customWidth="1"/>
    <col min="3" max="3" width="15.625" style="58" customWidth="1"/>
    <col min="4" max="4" width="67.625" style="3" customWidth="1"/>
    <col min="5" max="5" width="15.625" style="36" customWidth="1"/>
    <col min="6" max="6" width="10.625" style="33" customWidth="1"/>
    <col min="7" max="14" width="10.625" style="12" customWidth="1"/>
    <col min="15" max="15" width="5.625" style="8" customWidth="1"/>
    <col min="16" max="23" width="11" style="6" customWidth="1"/>
    <col min="24" max="24" width="5.625" style="2" customWidth="1"/>
    <col min="25" max="16384" width="11" style="2"/>
  </cols>
  <sheetData>
    <row r="1" spans="1:33" ht="15" customHeight="1">
      <c r="A1" s="95"/>
      <c r="B1" s="96"/>
      <c r="C1" s="97"/>
      <c r="D1" s="98"/>
      <c r="E1" s="93" t="s">
        <v>237</v>
      </c>
      <c r="F1" s="92"/>
      <c r="G1" s="91"/>
      <c r="H1" s="91"/>
      <c r="I1" s="91"/>
      <c r="J1" s="91"/>
      <c r="K1" s="91"/>
      <c r="L1" s="91"/>
      <c r="M1" s="91"/>
      <c r="N1" s="91"/>
      <c r="P1" s="93" t="s">
        <v>271</v>
      </c>
      <c r="X1" s="6"/>
    </row>
    <row r="2" spans="1:33" ht="15" customHeight="1" outlineLevel="1">
      <c r="A2" s="99"/>
      <c r="B2" s="100"/>
      <c r="C2" s="101"/>
      <c r="D2" s="102"/>
      <c r="E2" s="36" t="s">
        <v>100</v>
      </c>
      <c r="F2" s="615" t="str">
        <f>'Whole life model'!F2</f>
        <v>ARGENTINA</v>
      </c>
      <c r="G2" s="242"/>
      <c r="H2" s="243"/>
      <c r="I2" s="243"/>
      <c r="J2" s="243"/>
      <c r="K2" s="243"/>
      <c r="L2" s="243"/>
      <c r="M2" s="243"/>
      <c r="N2" s="243"/>
      <c r="X2" s="6"/>
    </row>
    <row r="3" spans="1:33" ht="15" customHeight="1" outlineLevel="1">
      <c r="A3" s="99"/>
      <c r="B3" s="103"/>
      <c r="C3" s="101"/>
      <c r="D3" s="102"/>
      <c r="E3" s="36" t="s">
        <v>235</v>
      </c>
      <c r="F3" s="615" t="str">
        <f>'Whole life model'!F3</f>
        <v>AFCP</v>
      </c>
      <c r="G3" s="242"/>
      <c r="H3" s="243"/>
      <c r="I3" s="243"/>
      <c r="J3" s="243"/>
      <c r="K3" s="243"/>
      <c r="L3" s="243"/>
      <c r="M3" s="243"/>
      <c r="N3" s="243"/>
      <c r="X3" s="6"/>
    </row>
    <row r="4" spans="1:33" ht="15" customHeight="1" outlineLevel="1">
      <c r="A4" s="99"/>
      <c r="B4" s="103"/>
      <c r="C4" s="101"/>
      <c r="D4" s="102"/>
      <c r="E4" s="452" t="s">
        <v>461</v>
      </c>
      <c r="F4" s="615" t="str">
        <f>'Whole life model'!F4</f>
        <v>FICEM and AFCP</v>
      </c>
      <c r="G4" s="242"/>
      <c r="H4" s="243"/>
      <c r="I4" s="243"/>
      <c r="J4" s="243"/>
      <c r="K4" s="243"/>
      <c r="L4" s="243"/>
      <c r="M4" s="243"/>
      <c r="N4" s="243"/>
      <c r="X4" s="6"/>
    </row>
    <row r="5" spans="1:33" ht="15" customHeight="1" outlineLevel="1">
      <c r="A5" s="99"/>
      <c r="B5" s="103"/>
      <c r="C5" s="101"/>
      <c r="D5" s="102"/>
      <c r="E5" s="36" t="s">
        <v>102</v>
      </c>
      <c r="F5" s="615" t="str">
        <f>'Whole life model'!F5</f>
        <v>maria.lefevre@afcp.org.ar</v>
      </c>
      <c r="G5" s="242"/>
      <c r="H5" s="243"/>
      <c r="I5" s="243"/>
      <c r="J5" s="243"/>
      <c r="K5" s="243"/>
      <c r="L5" s="243"/>
      <c r="M5" s="243"/>
      <c r="N5" s="243"/>
      <c r="X5" s="6"/>
    </row>
    <row r="6" spans="1:33" ht="15" customHeight="1" outlineLevel="1">
      <c r="A6" s="99"/>
      <c r="B6" s="103"/>
      <c r="C6" s="101"/>
      <c r="D6" s="102"/>
      <c r="E6" s="36" t="s">
        <v>101</v>
      </c>
      <c r="F6" s="615" t="str">
        <f>'Whole life model'!F6</f>
        <v>Phone</v>
      </c>
      <c r="G6" s="242"/>
      <c r="H6" s="243"/>
      <c r="I6" s="243"/>
      <c r="J6" s="243"/>
      <c r="K6" s="243"/>
      <c r="L6" s="243"/>
      <c r="M6" s="243"/>
      <c r="N6" s="243"/>
      <c r="X6" s="6"/>
    </row>
    <row r="7" spans="1:33" ht="24.95" customHeight="1" outlineLevel="1">
      <c r="A7" s="104"/>
      <c r="B7" s="125"/>
      <c r="C7" s="145"/>
      <c r="D7" s="125"/>
      <c r="E7" s="36" t="s">
        <v>98</v>
      </c>
      <c r="F7" s="34">
        <f>'Whole life model'!F7</f>
        <v>2020</v>
      </c>
      <c r="G7" s="34">
        <f>'Whole life model'!G7</f>
        <v>2030</v>
      </c>
      <c r="H7" s="34">
        <f>'Whole life model'!H7</f>
        <v>2050</v>
      </c>
      <c r="I7" s="9">
        <f>'Whole life model'!F7</f>
        <v>2020</v>
      </c>
      <c r="J7" s="9">
        <f>'Whole life model'!G7</f>
        <v>2030</v>
      </c>
      <c r="K7" s="9">
        <f>'Whole life model'!H7</f>
        <v>2050</v>
      </c>
      <c r="L7" s="9">
        <f>'Whole life model'!F7</f>
        <v>2020</v>
      </c>
      <c r="M7" s="9">
        <f>'Whole life model'!G7</f>
        <v>2030</v>
      </c>
      <c r="N7" s="9">
        <f>'Whole life model'!H7</f>
        <v>2050</v>
      </c>
      <c r="X7" s="47"/>
    </row>
    <row r="8" spans="1:33" s="32" customFormat="1" ht="24.95" customHeight="1" thickBot="1">
      <c r="A8" s="17"/>
      <c r="B8" s="18"/>
      <c r="C8" s="59"/>
      <c r="D8" s="17"/>
      <c r="E8" s="37"/>
      <c r="F8" s="35"/>
      <c r="G8" s="120" t="s">
        <v>248</v>
      </c>
      <c r="H8" s="19"/>
      <c r="I8" s="35"/>
      <c r="J8" s="715" t="s">
        <v>827</v>
      </c>
      <c r="K8" s="19"/>
      <c r="L8" s="35"/>
      <c r="M8" s="715" t="s">
        <v>828</v>
      </c>
      <c r="N8" s="35"/>
      <c r="O8" s="20"/>
      <c r="P8" s="121" t="s">
        <v>861</v>
      </c>
      <c r="Q8" s="115"/>
      <c r="R8" s="115"/>
      <c r="S8" s="115"/>
      <c r="T8" s="115"/>
      <c r="U8" s="115"/>
      <c r="V8" s="76"/>
      <c r="W8" s="76"/>
      <c r="Y8" s="121" t="s">
        <v>862</v>
      </c>
    </row>
    <row r="9" spans="1:33" ht="24.95" customHeight="1" outlineLevel="1" thickTop="1">
      <c r="B9" s="7" t="s">
        <v>109</v>
      </c>
      <c r="C9" s="58" t="s">
        <v>164</v>
      </c>
      <c r="D9" s="3" t="s">
        <v>126</v>
      </c>
      <c r="P9" s="118"/>
      <c r="Q9" s="119" t="s">
        <v>829</v>
      </c>
      <c r="R9" s="119" t="s">
        <v>830</v>
      </c>
      <c r="S9" s="122" t="s">
        <v>144</v>
      </c>
      <c r="T9" s="123" t="s">
        <v>141</v>
      </c>
      <c r="U9" s="124" t="s">
        <v>143</v>
      </c>
      <c r="V9" s="34"/>
      <c r="W9" s="9"/>
      <c r="Y9" s="118"/>
      <c r="Z9" s="119" t="s">
        <v>829</v>
      </c>
      <c r="AA9" s="119" t="s">
        <v>830</v>
      </c>
      <c r="AB9" s="122" t="s">
        <v>144</v>
      </c>
      <c r="AC9" s="123" t="s">
        <v>141</v>
      </c>
      <c r="AD9" s="124" t="s">
        <v>143</v>
      </c>
      <c r="AE9" s="34"/>
      <c r="AF9" s="9"/>
    </row>
    <row r="10" spans="1:33" ht="24.95" customHeight="1" outlineLevel="1">
      <c r="B10" s="5" t="s">
        <v>136</v>
      </c>
      <c r="D10" s="3" t="s">
        <v>858</v>
      </c>
      <c r="E10" s="36" t="s">
        <v>161</v>
      </c>
      <c r="F10" s="70">
        <f>I10+L10</f>
        <v>6.6131606411363526</v>
      </c>
      <c r="G10" s="70">
        <f t="shared" ref="G10:H19" si="0">J10+M10</f>
        <v>6.6131606411363526</v>
      </c>
      <c r="H10" s="70">
        <f t="shared" si="0"/>
        <v>6.6131606411363526</v>
      </c>
      <c r="I10" s="70">
        <f>'Whole life model'!$F$26</f>
        <v>6.1927259064749984</v>
      </c>
      <c r="J10" s="70">
        <f>'Whole life model'!$F$26</f>
        <v>6.1927259064749984</v>
      </c>
      <c r="K10" s="882">
        <f>'Whole life model'!$F$26</f>
        <v>6.1927259064749984</v>
      </c>
      <c r="L10" s="70">
        <f>'Whole life model'!$N$42</f>
        <v>0.42043473466135456</v>
      </c>
      <c r="M10" s="70">
        <f>'Whole life model'!$N$42</f>
        <v>0.42043473466135456</v>
      </c>
      <c r="N10" s="70">
        <f>'Whole life model'!$N$42</f>
        <v>0.42043473466135456</v>
      </c>
      <c r="P10" s="846">
        <f>'Whole life model'!F7</f>
        <v>2020</v>
      </c>
      <c r="Q10" s="116">
        <f>J10</f>
        <v>6.1927259064749984</v>
      </c>
      <c r="R10" s="116">
        <f>M10</f>
        <v>0.42043473466135456</v>
      </c>
      <c r="S10" s="108"/>
      <c r="T10" s="108"/>
      <c r="U10" s="111"/>
      <c r="V10" s="109">
        <f t="shared" ref="V10:V20" si="1">G10</f>
        <v>6.6131606411363526</v>
      </c>
      <c r="W10" s="110"/>
      <c r="Y10" s="846">
        <f>'Whole life model'!F7</f>
        <v>2020</v>
      </c>
      <c r="Z10" s="116">
        <f>K10</f>
        <v>6.1927259064749984</v>
      </c>
      <c r="AA10" s="116">
        <f>N10</f>
        <v>0.42043473466135456</v>
      </c>
      <c r="AB10" s="108"/>
      <c r="AC10" s="108"/>
      <c r="AD10" s="111"/>
      <c r="AE10" s="109">
        <f t="shared" ref="AE10:AE20" si="2">H10</f>
        <v>6.6131606411363526</v>
      </c>
      <c r="AF10" s="110"/>
    </row>
    <row r="11" spans="1:33" ht="24.95" customHeight="1" outlineLevel="1">
      <c r="B11" s="5" t="s">
        <v>123</v>
      </c>
      <c r="D11" s="3" t="s">
        <v>859</v>
      </c>
      <c r="E11" s="36" t="s">
        <v>161</v>
      </c>
      <c r="F11" s="70">
        <f t="shared" ref="F11:F20" si="3">I11+L11</f>
        <v>6.6131606411363526</v>
      </c>
      <c r="G11" s="70">
        <f t="shared" si="0"/>
        <v>7.8035295565408953</v>
      </c>
      <c r="H11" s="70">
        <f t="shared" si="0"/>
        <v>10.250398993761348</v>
      </c>
      <c r="I11" s="70">
        <f>I$10*'Whole life model'!F10</f>
        <v>6.1927259064749984</v>
      </c>
      <c r="J11" s="70">
        <f>J$10*'Whole life model'!G10</f>
        <v>7.3074165696404974</v>
      </c>
      <c r="K11" s="70">
        <f>K$10*'Whole life model'!H10</f>
        <v>9.5987251550362487</v>
      </c>
      <c r="L11" s="70">
        <f>L$10*'Whole life model'!F10</f>
        <v>0.42043473466135456</v>
      </c>
      <c r="M11" s="70">
        <f>M$10*'Whole life model'!G10</f>
        <v>0.49611298690039835</v>
      </c>
      <c r="N11" s="70">
        <f>N$10*'Whole life model'!H10</f>
        <v>0.65167383872509954</v>
      </c>
      <c r="O11" s="2"/>
      <c r="P11" s="112" t="s">
        <v>831</v>
      </c>
      <c r="Q11" s="108"/>
      <c r="R11" s="108"/>
      <c r="S11" s="108">
        <f>IF(V11&gt;W11,V11-U11,"")</f>
        <v>1.1903689154045427</v>
      </c>
      <c r="T11" s="108" t="str">
        <f t="shared" ref="T11:T20" si="4">IF(V11&lt;W11,W11-U11,"")</f>
        <v/>
      </c>
      <c r="U11" s="111">
        <f t="shared" ref="U11:U19" si="5">MIN(V11:W11)</f>
        <v>6.6131606411363526</v>
      </c>
      <c r="V11" s="109">
        <f t="shared" si="1"/>
        <v>7.8035295565408953</v>
      </c>
      <c r="W11" s="110">
        <f t="shared" ref="W11:W20" si="6">V11-G23</f>
        <v>6.6131606411363526</v>
      </c>
      <c r="Y11" s="112" t="s">
        <v>831</v>
      </c>
      <c r="Z11" s="108"/>
      <c r="AA11" s="108"/>
      <c r="AB11" s="108">
        <f>IF(AE11&gt;AF11,AE11-AD11,"")</f>
        <v>3.637238352624995</v>
      </c>
      <c r="AC11" s="108" t="str">
        <f>IF(AE11&lt;AF11,AF11-AD11,"")</f>
        <v/>
      </c>
      <c r="AD11" s="111">
        <f t="shared" ref="AD11:AD20" si="7">MIN(AE11:AF11)</f>
        <v>6.6131606411363526</v>
      </c>
      <c r="AE11" s="109">
        <f>H11</f>
        <v>10.250398993761348</v>
      </c>
      <c r="AF11" s="110">
        <f t="shared" ref="AF11:AF20" si="8">AE11-H23</f>
        <v>6.6131606411363526</v>
      </c>
    </row>
    <row r="12" spans="1:33" ht="24.95" customHeight="1" outlineLevel="1">
      <c r="B12" s="5" t="s">
        <v>116</v>
      </c>
      <c r="C12" s="1"/>
      <c r="D12" s="3" t="s">
        <v>243</v>
      </c>
      <c r="E12" s="36" t="s">
        <v>161</v>
      </c>
      <c r="F12" s="70">
        <f t="shared" si="3"/>
        <v>6.6131606411363526</v>
      </c>
      <c r="G12" s="70">
        <f t="shared" si="0"/>
        <v>7.4590285306678084</v>
      </c>
      <c r="H12" s="70">
        <f t="shared" si="0"/>
        <v>9.4079593525623952</v>
      </c>
      <c r="I12" s="70">
        <f>I11*('Whole life model'!F13/'Whole life model'!$F13)</f>
        <v>6.1927259064749984</v>
      </c>
      <c r="J12" s="70">
        <f>J11*('Whole life model'!G13/'Whole life model'!$F13)</f>
        <v>6.9848173552102706</v>
      </c>
      <c r="K12" s="70">
        <f>K11*('Whole life model'!H13/'Whole life model'!$F13)</f>
        <v>8.8098440021662334</v>
      </c>
      <c r="L12" s="70">
        <f>L11*('Whole life model'!F13/'Whole life model'!$F13)</f>
        <v>0.42043473466135456</v>
      </c>
      <c r="M12" s="70">
        <f>M11*('Whole life model'!G13/'Whole life model'!$F13)</f>
        <v>0.47421117545753766</v>
      </c>
      <c r="N12" s="70">
        <f>N11*('Whole life model'!H13/'Whole life model'!$F13)</f>
        <v>0.59811535039616237</v>
      </c>
      <c r="O12" s="2"/>
      <c r="P12" s="112" t="s">
        <v>9</v>
      </c>
      <c r="Q12" s="108"/>
      <c r="R12" s="108"/>
      <c r="S12" s="108" t="str">
        <f t="shared" ref="S12:S20" si="9">IF(V12&gt;W12,V12-U12,"")</f>
        <v/>
      </c>
      <c r="T12" s="108">
        <f>IF(V12&lt;W12,W12-U12,"")</f>
        <v>0.34450102587308695</v>
      </c>
      <c r="U12" s="111">
        <f t="shared" si="5"/>
        <v>7.4590285306678084</v>
      </c>
      <c r="V12" s="109">
        <f t="shared" si="1"/>
        <v>7.4590285306678084</v>
      </c>
      <c r="W12" s="110">
        <f t="shared" si="6"/>
        <v>7.8035295565408953</v>
      </c>
      <c r="Y12" s="112" t="s">
        <v>954</v>
      </c>
      <c r="Z12" s="108"/>
      <c r="AA12" s="108"/>
      <c r="AB12" s="108" t="str">
        <f t="shared" ref="AB12:AB20" si="10">IF(AE12&gt;AF12,AE12-AD12,"")</f>
        <v/>
      </c>
      <c r="AC12" s="108">
        <f t="shared" ref="AC12:AC18" si="11">IF(AE12&lt;AF12,AF12-AD12,"")</f>
        <v>0.84243964119895232</v>
      </c>
      <c r="AD12" s="111">
        <f t="shared" si="7"/>
        <v>9.4079593525623952</v>
      </c>
      <c r="AE12" s="109">
        <f t="shared" si="2"/>
        <v>9.4079593525623952</v>
      </c>
      <c r="AF12" s="110">
        <f t="shared" si="8"/>
        <v>10.250398993761348</v>
      </c>
      <c r="AG12" s="723">
        <f>+AC12/AE$11</f>
        <v>8.2186034096007624E-2</v>
      </c>
    </row>
    <row r="13" spans="1:33" ht="24.95" customHeight="1" outlineLevel="1">
      <c r="B13" s="5" t="s">
        <v>115</v>
      </c>
      <c r="C13" s="1"/>
      <c r="D13" s="3" t="s">
        <v>166</v>
      </c>
      <c r="E13" s="36" t="s">
        <v>161</v>
      </c>
      <c r="F13" s="70">
        <f t="shared" si="3"/>
        <v>6.6131606411363526</v>
      </c>
      <c r="G13" s="70">
        <f t="shared" si="0"/>
        <v>7.4517559778504081</v>
      </c>
      <c r="H13" s="70">
        <f t="shared" si="0"/>
        <v>8.9123950936661736</v>
      </c>
      <c r="I13" s="70">
        <f>I12*('Whole life model'!F15/'Whole life model'!$F15)</f>
        <v>6.1927259064749984</v>
      </c>
      <c r="J13" s="70">
        <f>J12*('Whole life model'!G15/'Whole life model'!$F15)</f>
        <v>6.9780071582889418</v>
      </c>
      <c r="K13" s="70">
        <f>K12*('Whole life model'!H15/'Whole life model'!$F15)</f>
        <v>8.3457854693521281</v>
      </c>
      <c r="L13" s="70">
        <f>L12*('Whole life model'!F15/'Whole life model'!$F15)</f>
        <v>0.42043473466135456</v>
      </c>
      <c r="M13" s="70">
        <f>M12*('Whole life model'!G15/'Whole life model'!$F15)</f>
        <v>0.47374881956146664</v>
      </c>
      <c r="N13" s="70">
        <f>N12*('Whole life model'!H15/'Whole life model'!$F15)</f>
        <v>0.5666096243140446</v>
      </c>
      <c r="P13" s="112" t="s">
        <v>10</v>
      </c>
      <c r="Q13" s="108"/>
      <c r="R13" s="108"/>
      <c r="S13" s="108" t="str">
        <f t="shared" si="9"/>
        <v/>
      </c>
      <c r="T13" s="888">
        <f t="shared" si="4"/>
        <v>7.2725528174002463E-3</v>
      </c>
      <c r="U13" s="111">
        <f t="shared" si="5"/>
        <v>7.4517559778504081</v>
      </c>
      <c r="V13" s="109">
        <f t="shared" si="1"/>
        <v>7.4517559778504081</v>
      </c>
      <c r="W13" s="110">
        <f t="shared" si="6"/>
        <v>7.4590285306678084</v>
      </c>
      <c r="Y13" s="112" t="s">
        <v>10</v>
      </c>
      <c r="Z13" s="108"/>
      <c r="AA13" s="108"/>
      <c r="AB13" s="108" t="str">
        <f t="shared" si="10"/>
        <v/>
      </c>
      <c r="AC13" s="888">
        <f t="shared" si="11"/>
        <v>0.49556425889622169</v>
      </c>
      <c r="AD13" s="111">
        <f t="shared" si="7"/>
        <v>8.9123950936661736</v>
      </c>
      <c r="AE13" s="109">
        <f t="shared" si="2"/>
        <v>8.9123950936661736</v>
      </c>
      <c r="AF13" s="110">
        <f t="shared" si="8"/>
        <v>9.4079593525623952</v>
      </c>
      <c r="AG13" s="723">
        <f t="shared" ref="AG13:AG20" si="12">+AC13/AE$11</f>
        <v>4.8345850653992557E-2</v>
      </c>
    </row>
    <row r="14" spans="1:33" ht="24.95" customHeight="1" outlineLevel="1">
      <c r="B14" s="5" t="s">
        <v>114</v>
      </c>
      <c r="C14" s="1"/>
      <c r="D14" s="3" t="s">
        <v>240</v>
      </c>
      <c r="E14" s="36" t="s">
        <v>161</v>
      </c>
      <c r="F14" s="70">
        <f t="shared" si="3"/>
        <v>6.6131606411363526</v>
      </c>
      <c r="G14" s="70">
        <f t="shared" si="0"/>
        <v>7.2789149113433629</v>
      </c>
      <c r="H14" s="70">
        <f t="shared" si="0"/>
        <v>8.2725813331985769</v>
      </c>
      <c r="I14" s="70">
        <f>I13*('Whole life model'!F19/'Whole life model'!$F19)*('Whole life model'!N31/'Whole life model'!F26)</f>
        <v>6.1927259064749984</v>
      </c>
      <c r="J14" s="70">
        <f>J13*('Whole life model'!G19/'Whole life model'!$F19)*('Whole life model'!O31/'Whole life model'!G26)</f>
        <v>6.8051660917818966</v>
      </c>
      <c r="K14" s="70">
        <f>K13*('Whole life model'!H19/'Whole life model'!$F19)*('Whole life model'!P31/'Whole life model'!H26)</f>
        <v>7.7059717088845314</v>
      </c>
      <c r="L14" s="70">
        <f t="shared" ref="L14:N15" si="13">L13</f>
        <v>0.42043473466135456</v>
      </c>
      <c r="M14" s="70">
        <f t="shared" si="13"/>
        <v>0.47374881956146664</v>
      </c>
      <c r="N14" s="70">
        <f t="shared" si="13"/>
        <v>0.5666096243140446</v>
      </c>
      <c r="P14" s="112" t="s">
        <v>246</v>
      </c>
      <c r="Q14" s="108"/>
      <c r="R14" s="108"/>
      <c r="S14" s="108" t="str">
        <f t="shared" si="9"/>
        <v/>
      </c>
      <c r="T14" s="108">
        <f t="shared" si="4"/>
        <v>0.17284106650704523</v>
      </c>
      <c r="U14" s="111">
        <f t="shared" si="5"/>
        <v>7.2789149113433629</v>
      </c>
      <c r="V14" s="109">
        <f t="shared" si="1"/>
        <v>7.2789149113433629</v>
      </c>
      <c r="W14" s="110">
        <f t="shared" si="6"/>
        <v>7.4517559778504081</v>
      </c>
      <c r="Y14" s="112" t="s">
        <v>246</v>
      </c>
      <c r="Z14" s="108"/>
      <c r="AA14" s="108"/>
      <c r="AB14" s="108" t="str">
        <f t="shared" si="10"/>
        <v/>
      </c>
      <c r="AC14" s="108">
        <f t="shared" si="11"/>
        <v>0.63981376046759664</v>
      </c>
      <c r="AD14" s="111">
        <f t="shared" si="7"/>
        <v>8.2725813331985769</v>
      </c>
      <c r="AE14" s="109">
        <f t="shared" si="2"/>
        <v>8.2725813331985769</v>
      </c>
      <c r="AF14" s="110">
        <f t="shared" si="8"/>
        <v>8.9123950936661736</v>
      </c>
      <c r="AG14" s="723">
        <f t="shared" si="12"/>
        <v>6.2418424966384577E-2</v>
      </c>
    </row>
    <row r="15" spans="1:33" ht="24.95" customHeight="1" outlineLevel="1">
      <c r="B15" s="5" t="s">
        <v>261</v>
      </c>
      <c r="C15" s="1"/>
      <c r="D15" s="3" t="s">
        <v>241</v>
      </c>
      <c r="E15" s="36" t="s">
        <v>242</v>
      </c>
      <c r="F15" s="70">
        <f t="shared" si="3"/>
        <v>6.6131606411363526</v>
      </c>
      <c r="G15" s="70">
        <f t="shared" si="0"/>
        <v>7.2674096509296398</v>
      </c>
      <c r="H15" s="70">
        <f t="shared" si="0"/>
        <v>8.2469894936838006</v>
      </c>
      <c r="I15" s="70">
        <f>I14*('Whole life model'!F31/'Whole life model'!N31)</f>
        <v>6.1927259064749984</v>
      </c>
      <c r="J15" s="70">
        <f>J14*('Whole life model'!G31/'Whole life model'!O31)</f>
        <v>6.7936608313681734</v>
      </c>
      <c r="K15" s="70">
        <f>K14*('Whole life model'!H31/'Whole life model'!P31)</f>
        <v>7.680379869369756</v>
      </c>
      <c r="L15" s="70">
        <f t="shared" si="13"/>
        <v>0.42043473466135456</v>
      </c>
      <c r="M15" s="70">
        <f t="shared" si="13"/>
        <v>0.47374881956146664</v>
      </c>
      <c r="N15" s="70">
        <f t="shared" si="13"/>
        <v>0.5666096243140446</v>
      </c>
      <c r="O15" s="56"/>
      <c r="P15" s="112" t="s">
        <v>148</v>
      </c>
      <c r="Q15" s="108"/>
      <c r="R15" s="108"/>
      <c r="S15" s="108" t="str">
        <f t="shared" si="9"/>
        <v/>
      </c>
      <c r="T15" s="888">
        <f t="shared" si="4"/>
        <v>1.1505260413723128E-2</v>
      </c>
      <c r="U15" s="111">
        <f t="shared" si="5"/>
        <v>7.2674096509296398</v>
      </c>
      <c r="V15" s="109">
        <f t="shared" si="1"/>
        <v>7.2674096509296398</v>
      </c>
      <c r="W15" s="110">
        <f t="shared" si="6"/>
        <v>7.2789149113433629</v>
      </c>
      <c r="Y15" s="112" t="s">
        <v>148</v>
      </c>
      <c r="Z15" s="108"/>
      <c r="AA15" s="108"/>
      <c r="AB15" s="108" t="str">
        <f t="shared" si="10"/>
        <v/>
      </c>
      <c r="AC15" s="108">
        <f t="shared" si="11"/>
        <v>2.5591839514776282E-2</v>
      </c>
      <c r="AD15" s="111">
        <f t="shared" si="7"/>
        <v>8.2469894936838006</v>
      </c>
      <c r="AE15" s="109">
        <f t="shared" si="2"/>
        <v>8.2469894936838006</v>
      </c>
      <c r="AF15" s="110">
        <f t="shared" si="8"/>
        <v>8.2725813331985769</v>
      </c>
      <c r="AG15" s="723">
        <f t="shared" si="12"/>
        <v>2.4966676448743238E-3</v>
      </c>
    </row>
    <row r="16" spans="1:33" ht="24.95" customHeight="1" outlineLevel="1">
      <c r="D16" s="3" t="s">
        <v>832</v>
      </c>
      <c r="E16" s="36" t="s">
        <v>833</v>
      </c>
      <c r="F16" s="70">
        <f t="shared" si="3"/>
        <v>6.6131606411363526</v>
      </c>
      <c r="G16" s="70">
        <f t="shared" si="0"/>
        <v>7.1291322650764677</v>
      </c>
      <c r="H16" s="70">
        <f t="shared" si="0"/>
        <v>7.7324622764073245</v>
      </c>
      <c r="I16" s="70">
        <f>I15</f>
        <v>6.1927259064749984</v>
      </c>
      <c r="J16" s="70">
        <f>J15</f>
        <v>6.7936608313681734</v>
      </c>
      <c r="K16" s="70">
        <f>K15</f>
        <v>7.680379869369756</v>
      </c>
      <c r="L16" s="70">
        <f>'Whole life model'!N42</f>
        <v>0.42043473466135456</v>
      </c>
      <c r="M16" s="70">
        <f>'Whole life model'!O42</f>
        <v>0.33547143370829452</v>
      </c>
      <c r="N16" s="70">
        <f>'Whole life model'!P42</f>
        <v>5.2082407037568494E-2</v>
      </c>
      <c r="O16" s="2"/>
      <c r="P16" s="112" t="s">
        <v>834</v>
      </c>
      <c r="Q16" s="108"/>
      <c r="R16" s="108"/>
      <c r="S16" s="108" t="str">
        <f t="shared" si="9"/>
        <v/>
      </c>
      <c r="T16" s="108">
        <f t="shared" si="4"/>
        <v>0.13827738585317206</v>
      </c>
      <c r="U16" s="111">
        <f>MIN(V16:W16)</f>
        <v>7.1291322650764677</v>
      </c>
      <c r="V16" s="109">
        <f>G16</f>
        <v>7.1291322650764677</v>
      </c>
      <c r="W16" s="110">
        <f t="shared" si="6"/>
        <v>7.2674096509296398</v>
      </c>
      <c r="Y16" s="112" t="s">
        <v>834</v>
      </c>
      <c r="Z16" s="108"/>
      <c r="AA16" s="108"/>
      <c r="AB16" s="108" t="str">
        <f t="shared" si="10"/>
        <v/>
      </c>
      <c r="AC16" s="108">
        <f>IF(AE16&lt;AF16,AF16-AD16,"")</f>
        <v>0.5145272172764761</v>
      </c>
      <c r="AD16" s="111">
        <f>MIN(AE16:AF16)</f>
        <v>7.7324622764073245</v>
      </c>
      <c r="AE16" s="109">
        <f>H16</f>
        <v>7.7324622764073245</v>
      </c>
      <c r="AF16" s="110">
        <f t="shared" si="8"/>
        <v>8.2469894936838006</v>
      </c>
      <c r="AG16" s="723">
        <f t="shared" si="12"/>
        <v>5.019582336157162E-2</v>
      </c>
    </row>
    <row r="17" spans="2:33" ht="24.95" customHeight="1" outlineLevel="1">
      <c r="B17" s="5" t="s">
        <v>113</v>
      </c>
      <c r="C17" s="1"/>
      <c r="D17" s="3" t="s">
        <v>165</v>
      </c>
      <c r="E17" s="36" t="s">
        <v>161</v>
      </c>
      <c r="F17" s="70">
        <f t="shared" si="3"/>
        <v>6.6131606411363526</v>
      </c>
      <c r="G17" s="70">
        <f t="shared" si="0"/>
        <v>7.1314525873760948</v>
      </c>
      <c r="H17" s="70">
        <f t="shared" si="0"/>
        <v>7.3714494074678294</v>
      </c>
      <c r="I17" s="70">
        <f>I16*('Whole life model'!F25/'Whole life model'!$F25)</f>
        <v>6.1927259064749984</v>
      </c>
      <c r="J17" s="70">
        <f>J16*('Whole life model'!G25/'Whole life model'!$F25)</f>
        <v>6.7959811536678005</v>
      </c>
      <c r="K17" s="70">
        <f>K16*('Whole life model'!H25/'Whole life model'!$F25)</f>
        <v>7.3193670004302609</v>
      </c>
      <c r="L17" s="70">
        <f t="shared" ref="L17:N20" si="14">L16</f>
        <v>0.42043473466135456</v>
      </c>
      <c r="M17" s="70">
        <f t="shared" si="14"/>
        <v>0.33547143370829452</v>
      </c>
      <c r="N17" s="70">
        <f t="shared" si="14"/>
        <v>5.2082407037568494E-2</v>
      </c>
      <c r="P17" s="112" t="s">
        <v>11</v>
      </c>
      <c r="Q17" s="108"/>
      <c r="R17" s="108"/>
      <c r="S17" s="108">
        <f>IF(V17&gt;W17,V17-U17,"")</f>
        <v>2.3203222996270867E-3</v>
      </c>
      <c r="T17" s="108" t="str">
        <f t="shared" si="4"/>
        <v/>
      </c>
      <c r="U17" s="111">
        <f t="shared" si="5"/>
        <v>7.1291322650764677</v>
      </c>
      <c r="V17" s="109">
        <f t="shared" si="1"/>
        <v>7.1314525873760948</v>
      </c>
      <c r="W17" s="110">
        <f t="shared" si="6"/>
        <v>7.1291322650764677</v>
      </c>
      <c r="Y17" s="112" t="s">
        <v>11</v>
      </c>
      <c r="Z17" s="108"/>
      <c r="AA17" s="108"/>
      <c r="AB17" s="108" t="str">
        <f t="shared" si="10"/>
        <v/>
      </c>
      <c r="AC17" s="108">
        <f t="shared" si="11"/>
        <v>0.36101286893949514</v>
      </c>
      <c r="AD17" s="111">
        <f>MIN(AE17:AF17)</f>
        <v>7.3714494074678294</v>
      </c>
      <c r="AE17" s="109">
        <f t="shared" si="2"/>
        <v>7.3714494074678294</v>
      </c>
      <c r="AF17" s="110">
        <f t="shared" si="8"/>
        <v>7.7324622764073245</v>
      </c>
      <c r="AG17" s="723">
        <f t="shared" si="12"/>
        <v>3.5219396743406448E-2</v>
      </c>
    </row>
    <row r="18" spans="2:33" ht="24.95" customHeight="1" outlineLevel="1">
      <c r="B18" s="5" t="s">
        <v>117</v>
      </c>
      <c r="C18" s="1"/>
      <c r="D18" s="3" t="s">
        <v>244</v>
      </c>
      <c r="E18" s="36" t="s">
        <v>161</v>
      </c>
      <c r="F18" s="70">
        <f t="shared" si="3"/>
        <v>5.3340322661363526</v>
      </c>
      <c r="G18" s="70">
        <f t="shared" si="0"/>
        <v>5.7258226311907858</v>
      </c>
      <c r="H18" s="70">
        <f t="shared" si="0"/>
        <v>5.7797550197870784</v>
      </c>
      <c r="I18" s="70">
        <f>I17-'Whole life model'!F34</f>
        <v>4.9135975314749984</v>
      </c>
      <c r="J18" s="70">
        <f>J17-'Whole life model'!G34</f>
        <v>5.3903511974824916</v>
      </c>
      <c r="K18" s="70">
        <f>K17-'Whole life model'!H34</f>
        <v>5.7276726127495099</v>
      </c>
      <c r="L18" s="70">
        <f t="shared" si="14"/>
        <v>0.42043473466135456</v>
      </c>
      <c r="M18" s="70">
        <f t="shared" si="14"/>
        <v>0.33547143370829452</v>
      </c>
      <c r="N18" s="70">
        <f t="shared" si="14"/>
        <v>5.2082407037568494E-2</v>
      </c>
      <c r="P18" s="112" t="s">
        <v>12</v>
      </c>
      <c r="Q18" s="108"/>
      <c r="R18" s="108"/>
      <c r="S18" s="108" t="str">
        <f t="shared" si="9"/>
        <v/>
      </c>
      <c r="T18" s="108">
        <f t="shared" si="4"/>
        <v>1.4056299561853089</v>
      </c>
      <c r="U18" s="111">
        <f t="shared" si="5"/>
        <v>5.7258226311907858</v>
      </c>
      <c r="V18" s="109">
        <f t="shared" si="1"/>
        <v>5.7258226311907858</v>
      </c>
      <c r="W18" s="110">
        <f t="shared" si="6"/>
        <v>7.1314525873760948</v>
      </c>
      <c r="Y18" s="112" t="s">
        <v>12</v>
      </c>
      <c r="Z18" s="108"/>
      <c r="AA18" s="108"/>
      <c r="AB18" s="108" t="str">
        <f t="shared" si="10"/>
        <v/>
      </c>
      <c r="AC18" s="108">
        <f t="shared" si="11"/>
        <v>1.591694387680751</v>
      </c>
      <c r="AD18" s="111">
        <f>MIN(AE18:AF18)</f>
        <v>5.7797550197870784</v>
      </c>
      <c r="AE18" s="109">
        <f t="shared" si="2"/>
        <v>5.7797550197870784</v>
      </c>
      <c r="AF18" s="110">
        <f t="shared" si="8"/>
        <v>7.3714494074678294</v>
      </c>
      <c r="AG18" s="723">
        <f t="shared" si="12"/>
        <v>0.15528121282395901</v>
      </c>
    </row>
    <row r="19" spans="2:33" ht="24.95" customHeight="1" outlineLevel="1">
      <c r="C19" s="1"/>
      <c r="D19" s="3" t="s">
        <v>835</v>
      </c>
      <c r="E19" s="36" t="s">
        <v>161</v>
      </c>
      <c r="F19" s="70">
        <f t="shared" si="3"/>
        <v>5.2649719361363525</v>
      </c>
      <c r="G19" s="70">
        <f t="shared" si="0"/>
        <v>5.5965693018863893</v>
      </c>
      <c r="H19" s="70">
        <f t="shared" si="0"/>
        <v>5.5589564288654527</v>
      </c>
      <c r="I19" s="70">
        <f>I18-'Whole life model'!F48</f>
        <v>4.8445372014749983</v>
      </c>
      <c r="J19" s="70">
        <f>J18-'Whole life model'!G48</f>
        <v>5.2610978681780951</v>
      </c>
      <c r="K19" s="70">
        <f>K18-'Whole life model'!H48</f>
        <v>5.5068740218278842</v>
      </c>
      <c r="L19" s="70">
        <f t="shared" si="14"/>
        <v>0.42043473466135456</v>
      </c>
      <c r="M19" s="70">
        <f t="shared" si="14"/>
        <v>0.33547143370829452</v>
      </c>
      <c r="N19" s="70">
        <f t="shared" si="14"/>
        <v>5.2082407037568494E-2</v>
      </c>
      <c r="P19" s="112" t="s">
        <v>836</v>
      </c>
      <c r="Q19" s="108"/>
      <c r="R19" s="108"/>
      <c r="S19" s="108" t="str">
        <f t="shared" si="9"/>
        <v/>
      </c>
      <c r="T19" s="108">
        <f t="shared" si="4"/>
        <v>0.12925332930439648</v>
      </c>
      <c r="U19" s="111">
        <f t="shared" si="5"/>
        <v>5.5965693018863893</v>
      </c>
      <c r="V19" s="109">
        <f t="shared" si="1"/>
        <v>5.5965693018863893</v>
      </c>
      <c r="W19" s="110">
        <f t="shared" si="6"/>
        <v>5.7258226311907858</v>
      </c>
      <c r="Y19" s="112" t="s">
        <v>836</v>
      </c>
      <c r="Z19" s="108"/>
      <c r="AA19" s="108"/>
      <c r="AB19" s="108" t="str">
        <f t="shared" si="10"/>
        <v/>
      </c>
      <c r="AC19" s="108">
        <f>IF(AE19&lt;AF19,AF19-AD19,"")</f>
        <v>0.22079859092162568</v>
      </c>
      <c r="AD19" s="111">
        <f t="shared" si="7"/>
        <v>5.5589564288654527</v>
      </c>
      <c r="AE19" s="109">
        <f t="shared" si="2"/>
        <v>5.5589564288654527</v>
      </c>
      <c r="AF19" s="110">
        <f t="shared" si="8"/>
        <v>5.7797550197870784</v>
      </c>
      <c r="AG19" s="723">
        <f t="shared" si="12"/>
        <v>2.1540487453806365E-2</v>
      </c>
    </row>
    <row r="20" spans="2:33" ht="24.95" customHeight="1" outlineLevel="1">
      <c r="B20" s="5" t="s">
        <v>125</v>
      </c>
      <c r="C20" s="1"/>
      <c r="D20" s="3" t="s">
        <v>269</v>
      </c>
      <c r="E20" s="36" t="s">
        <v>161</v>
      </c>
      <c r="F20" s="70">
        <f t="shared" si="3"/>
        <v>5.2649719361363525</v>
      </c>
      <c r="G20" s="70">
        <f>J20+M20</f>
        <v>5.5965693018863893</v>
      </c>
      <c r="H20" s="70">
        <f>K20+N20</f>
        <v>5.2082407037565497E-2</v>
      </c>
      <c r="I20" s="70">
        <f>I19-'Whole life model'!F37</f>
        <v>4.8445372014749983</v>
      </c>
      <c r="J20" s="70">
        <f>J19-'Whole life model'!G37</f>
        <v>5.2610978681780951</v>
      </c>
      <c r="K20" s="70">
        <f>K19-'Whole life model'!H37+'Whole life model'!H48</f>
        <v>-2.9976021664879227E-15</v>
      </c>
      <c r="L20" s="70">
        <f t="shared" si="14"/>
        <v>0.42043473466135456</v>
      </c>
      <c r="M20" s="70">
        <f t="shared" si="14"/>
        <v>0.33547143370829452</v>
      </c>
      <c r="N20" s="70">
        <f t="shared" si="14"/>
        <v>5.2082407037568494E-2</v>
      </c>
      <c r="P20" s="112" t="s">
        <v>142</v>
      </c>
      <c r="Q20" s="108"/>
      <c r="R20" s="108"/>
      <c r="S20" s="108" t="str">
        <f t="shared" si="9"/>
        <v/>
      </c>
      <c r="T20" s="108" t="str">
        <f t="shared" si="4"/>
        <v/>
      </c>
      <c r="U20" s="111">
        <f>MIN(V20:W20)</f>
        <v>5.5965693018863893</v>
      </c>
      <c r="V20" s="109">
        <f t="shared" si="1"/>
        <v>5.5965693018863893</v>
      </c>
      <c r="W20" s="110">
        <f t="shared" si="6"/>
        <v>5.5965693018863893</v>
      </c>
      <c r="Y20" s="112" t="s">
        <v>930</v>
      </c>
      <c r="Z20" s="108"/>
      <c r="AA20" s="108"/>
      <c r="AB20" s="108" t="str">
        <f t="shared" si="10"/>
        <v/>
      </c>
      <c r="AC20" s="108">
        <f>IF(AE20&lt;AF20,AF20-AD20,"")</f>
        <v>5.5068740218278869</v>
      </c>
      <c r="AD20" s="111">
        <f t="shared" si="7"/>
        <v>5.2082407037565497E-2</v>
      </c>
      <c r="AE20" s="109">
        <f t="shared" si="2"/>
        <v>5.2082407037565497E-2</v>
      </c>
      <c r="AF20" s="110">
        <f t="shared" si="8"/>
        <v>5.5589564288654527</v>
      </c>
      <c r="AG20" s="723">
        <f t="shared" si="12"/>
        <v>0.53723508959792787</v>
      </c>
    </row>
    <row r="21" spans="2:33" ht="24.95" customHeight="1" outlineLevel="1" thickBot="1">
      <c r="C21" s="1"/>
      <c r="F21" s="68"/>
      <c r="G21" s="68"/>
      <c r="H21" s="68"/>
      <c r="I21" s="68"/>
      <c r="J21" s="68"/>
      <c r="K21" s="874"/>
      <c r="L21" s="68"/>
      <c r="M21" s="68"/>
      <c r="N21" s="68"/>
      <c r="O21" s="6"/>
      <c r="P21" s="847">
        <f>'Whole life model'!G7</f>
        <v>2030</v>
      </c>
      <c r="Q21" s="117">
        <f>J20</f>
        <v>5.2610978681780951</v>
      </c>
      <c r="R21" s="117">
        <f>M20</f>
        <v>0.33547143370829452</v>
      </c>
      <c r="S21" s="113"/>
      <c r="T21" s="113"/>
      <c r="U21" s="114"/>
      <c r="V21" s="109"/>
      <c r="W21" s="110"/>
      <c r="Y21" s="847">
        <f>'Whole life model'!H7</f>
        <v>2050</v>
      </c>
      <c r="Z21" s="872">
        <f>K20</f>
        <v>-2.9976021664879227E-15</v>
      </c>
      <c r="AA21" s="873">
        <f>N20</f>
        <v>5.2082407037568494E-2</v>
      </c>
      <c r="AB21" s="113"/>
      <c r="AC21" s="113"/>
      <c r="AD21" s="114"/>
      <c r="AE21" s="109"/>
      <c r="AF21" s="110"/>
    </row>
    <row r="22" spans="2:33" ht="24.95" customHeight="1" outlineLevel="1">
      <c r="B22" s="7" t="s">
        <v>111</v>
      </c>
      <c r="C22" s="58" t="s">
        <v>270</v>
      </c>
      <c r="F22" s="722"/>
      <c r="G22" s="8"/>
      <c r="H22" s="8"/>
      <c r="I22" s="8"/>
      <c r="J22" s="8"/>
      <c r="K22" s="8"/>
      <c r="L22" s="8"/>
      <c r="M22" s="8"/>
      <c r="N22" s="8"/>
      <c r="P22" s="2"/>
      <c r="Q22" s="2"/>
      <c r="R22" s="2"/>
      <c r="S22" s="2"/>
      <c r="T22" s="2"/>
      <c r="U22" s="2"/>
      <c r="V22" s="2"/>
      <c r="W22" s="2"/>
    </row>
    <row r="23" spans="2:33" ht="24.95" customHeight="1" outlineLevel="1">
      <c r="B23" s="5" t="s">
        <v>127</v>
      </c>
      <c r="D23" s="3" t="s">
        <v>860</v>
      </c>
      <c r="E23" s="36" t="s">
        <v>161</v>
      </c>
      <c r="F23" s="57">
        <f t="shared" ref="F23:H32" si="15">F11-F10</f>
        <v>0</v>
      </c>
      <c r="G23" s="57">
        <f t="shared" si="15"/>
        <v>1.1903689154045427</v>
      </c>
      <c r="H23" s="57">
        <f t="shared" si="15"/>
        <v>3.637238352624995</v>
      </c>
      <c r="I23" s="57"/>
      <c r="J23" s="57"/>
      <c r="K23" s="57"/>
      <c r="L23" s="57"/>
      <c r="M23" s="57"/>
      <c r="N23" s="57"/>
      <c r="P23" s="2"/>
      <c r="Q23" s="726"/>
      <c r="R23" s="2"/>
      <c r="S23" s="2"/>
      <c r="T23" s="727"/>
      <c r="U23" s="716"/>
      <c r="V23" s="2"/>
      <c r="W23" s="2"/>
      <c r="Z23" s="723"/>
    </row>
    <row r="24" spans="2:33" ht="24.95" customHeight="1" outlineLevel="1">
      <c r="B24" s="5" t="s">
        <v>121</v>
      </c>
      <c r="D24" s="3" t="s">
        <v>266</v>
      </c>
      <c r="E24" s="36" t="s">
        <v>161</v>
      </c>
      <c r="F24" s="57">
        <f t="shared" si="15"/>
        <v>0</v>
      </c>
      <c r="G24" s="57">
        <f t="shared" si="15"/>
        <v>-0.34450102587308695</v>
      </c>
      <c r="H24" s="57">
        <f t="shared" si="15"/>
        <v>-0.84243964119895232</v>
      </c>
      <c r="I24" s="57"/>
      <c r="J24" s="57"/>
      <c r="K24" s="57"/>
      <c r="L24" s="57"/>
      <c r="M24" s="57"/>
      <c r="N24" s="57"/>
      <c r="P24" s="2"/>
      <c r="Q24" s="727"/>
      <c r="R24" s="2"/>
      <c r="S24" s="2"/>
      <c r="T24" s="2"/>
      <c r="U24" s="716"/>
      <c r="V24" s="2"/>
      <c r="W24" s="2"/>
      <c r="Z24" s="723"/>
    </row>
    <row r="25" spans="2:33" ht="24.95" customHeight="1" outlineLevel="1">
      <c r="B25" s="5" t="s">
        <v>120</v>
      </c>
      <c r="D25" s="3" t="s">
        <v>265</v>
      </c>
      <c r="E25" s="36" t="s">
        <v>161</v>
      </c>
      <c r="F25" s="57">
        <f t="shared" si="15"/>
        <v>0</v>
      </c>
      <c r="G25" s="57">
        <f t="shared" si="15"/>
        <v>-7.2725528174002463E-3</v>
      </c>
      <c r="H25" s="57">
        <f t="shared" si="15"/>
        <v>-0.49556425889622169</v>
      </c>
      <c r="I25" s="57"/>
      <c r="J25" s="57"/>
      <c r="K25" s="57"/>
      <c r="L25" s="57"/>
      <c r="M25" s="57"/>
      <c r="N25" s="57"/>
      <c r="P25" s="2"/>
      <c r="Q25" s="2"/>
      <c r="R25" s="2"/>
      <c r="S25" s="2"/>
      <c r="T25" s="2"/>
      <c r="U25" s="2"/>
      <c r="V25" s="2"/>
      <c r="W25" s="2"/>
    </row>
    <row r="26" spans="2:33" ht="24.95" customHeight="1" outlineLevel="1">
      <c r="B26" s="5" t="s">
        <v>119</v>
      </c>
      <c r="D26" s="3" t="s">
        <v>264</v>
      </c>
      <c r="E26" s="36" t="s">
        <v>161</v>
      </c>
      <c r="F26" s="57">
        <f t="shared" si="15"/>
        <v>0</v>
      </c>
      <c r="G26" s="57">
        <f t="shared" si="15"/>
        <v>-0.17284106650704523</v>
      </c>
      <c r="H26" s="57">
        <f t="shared" si="15"/>
        <v>-0.63981376046759664</v>
      </c>
      <c r="I26" s="57"/>
      <c r="J26" s="57"/>
      <c r="K26" s="57"/>
      <c r="L26" s="57"/>
      <c r="M26" s="57"/>
      <c r="N26" s="57"/>
      <c r="P26" s="2"/>
      <c r="Q26" s="2"/>
      <c r="R26" s="2"/>
      <c r="S26" s="2"/>
      <c r="T26" s="2"/>
      <c r="U26" s="2"/>
      <c r="V26" s="2"/>
      <c r="W26" s="2"/>
      <c r="AB26" s="723"/>
    </row>
    <row r="27" spans="2:33" ht="24.95" customHeight="1" outlineLevel="1">
      <c r="B27" s="5" t="s">
        <v>260</v>
      </c>
      <c r="D27" s="3" t="s">
        <v>263</v>
      </c>
      <c r="E27" s="36" t="s">
        <v>242</v>
      </c>
      <c r="F27" s="57">
        <f t="shared" si="15"/>
        <v>0</v>
      </c>
      <c r="G27" s="57">
        <f t="shared" si="15"/>
        <v>-1.1505260413723128E-2</v>
      </c>
      <c r="H27" s="57">
        <f t="shared" si="15"/>
        <v>-2.5591839514776282E-2</v>
      </c>
      <c r="I27" s="57"/>
      <c r="J27" s="57"/>
      <c r="K27" s="57"/>
      <c r="L27" s="57"/>
      <c r="M27" s="57"/>
      <c r="N27" s="57"/>
      <c r="P27" s="2"/>
      <c r="Q27" s="728"/>
      <c r="R27" s="2"/>
      <c r="S27" s="2"/>
      <c r="T27" s="2"/>
      <c r="U27" s="2"/>
      <c r="V27" s="2"/>
      <c r="W27" s="2"/>
    </row>
    <row r="28" spans="2:33" ht="24.95" customHeight="1" outlineLevel="1">
      <c r="D28" s="3" t="s">
        <v>837</v>
      </c>
      <c r="E28" s="36" t="s">
        <v>161</v>
      </c>
      <c r="F28" s="57">
        <f t="shared" si="15"/>
        <v>0</v>
      </c>
      <c r="G28" s="57">
        <f t="shared" si="15"/>
        <v>-0.13827738585317206</v>
      </c>
      <c r="H28" s="57">
        <f t="shared" si="15"/>
        <v>-0.5145272172764761</v>
      </c>
      <c r="I28" s="57"/>
      <c r="J28" s="57"/>
      <c r="K28" s="57"/>
      <c r="L28" s="57"/>
      <c r="M28" s="57"/>
      <c r="N28" s="57"/>
      <c r="P28" s="2"/>
      <c r="Q28" s="2"/>
      <c r="R28" s="2"/>
      <c r="S28" s="2"/>
      <c r="T28" s="2"/>
      <c r="U28" s="716"/>
      <c r="V28" s="2"/>
      <c r="W28" s="2"/>
    </row>
    <row r="29" spans="2:33" ht="24.95" customHeight="1" outlineLevel="1">
      <c r="B29" s="5" t="s">
        <v>118</v>
      </c>
      <c r="D29" s="3" t="s">
        <v>262</v>
      </c>
      <c r="E29" s="36" t="s">
        <v>161</v>
      </c>
      <c r="F29" s="57">
        <f t="shared" si="15"/>
        <v>0</v>
      </c>
      <c r="G29" s="57">
        <f t="shared" si="15"/>
        <v>2.3203222996270867E-3</v>
      </c>
      <c r="H29" s="57">
        <f t="shared" si="15"/>
        <v>-0.36101286893949514</v>
      </c>
      <c r="I29" s="57"/>
      <c r="J29" s="57"/>
      <c r="K29" s="57"/>
      <c r="L29" s="57"/>
      <c r="M29" s="57"/>
      <c r="N29" s="57"/>
      <c r="P29" s="2"/>
      <c r="Q29" s="2"/>
      <c r="R29" s="2"/>
      <c r="S29" s="2"/>
      <c r="T29" s="2"/>
      <c r="U29" s="2"/>
      <c r="V29" s="2"/>
      <c r="W29" s="2"/>
    </row>
    <row r="30" spans="2:33" ht="24.95" customHeight="1" outlineLevel="1">
      <c r="B30" s="5" t="s">
        <v>122</v>
      </c>
      <c r="D30" s="3" t="s">
        <v>267</v>
      </c>
      <c r="E30" s="36" t="s">
        <v>161</v>
      </c>
      <c r="F30" s="57">
        <f t="shared" si="15"/>
        <v>-1.279128375</v>
      </c>
      <c r="G30" s="57">
        <f t="shared" si="15"/>
        <v>-1.4056299561853089</v>
      </c>
      <c r="H30" s="57">
        <f t="shared" si="15"/>
        <v>-1.591694387680751</v>
      </c>
      <c r="I30" s="57"/>
      <c r="J30" s="57"/>
      <c r="K30" s="57"/>
      <c r="L30" s="57"/>
      <c r="M30" s="57"/>
      <c r="N30" s="57"/>
      <c r="P30" s="2"/>
      <c r="Q30" s="2"/>
      <c r="R30" s="2"/>
      <c r="S30" s="2"/>
      <c r="T30" s="2"/>
      <c r="U30" s="2"/>
      <c r="V30" s="2"/>
      <c r="W30" s="2"/>
    </row>
    <row r="31" spans="2:33" ht="24.95" customHeight="1" outlineLevel="1">
      <c r="D31" s="3" t="s">
        <v>838</v>
      </c>
      <c r="E31" s="36" t="s">
        <v>161</v>
      </c>
      <c r="F31" s="57">
        <f t="shared" si="15"/>
        <v>-6.9060330000000114E-2</v>
      </c>
      <c r="G31" s="57">
        <f t="shared" si="15"/>
        <v>-0.12925332930439648</v>
      </c>
      <c r="H31" s="57">
        <f t="shared" si="15"/>
        <v>-0.22079859092162568</v>
      </c>
      <c r="I31" s="57"/>
      <c r="J31" s="57"/>
      <c r="K31" s="57"/>
      <c r="L31" s="57"/>
      <c r="M31" s="57"/>
      <c r="N31" s="57"/>
      <c r="P31" s="2"/>
      <c r="Q31" s="2"/>
      <c r="R31" s="2"/>
      <c r="S31" s="2"/>
      <c r="T31" s="2"/>
      <c r="U31" s="2"/>
      <c r="V31" s="2"/>
      <c r="W31" s="2"/>
    </row>
    <row r="32" spans="2:33" ht="24.95" customHeight="1" outlineLevel="1">
      <c r="B32" s="5" t="s">
        <v>128</v>
      </c>
      <c r="D32" s="3" t="s">
        <v>268</v>
      </c>
      <c r="E32" s="36" t="s">
        <v>161</v>
      </c>
      <c r="F32" s="57">
        <f t="shared" si="15"/>
        <v>0</v>
      </c>
      <c r="G32" s="57">
        <f t="shared" si="15"/>
        <v>0</v>
      </c>
      <c r="H32" s="57">
        <f t="shared" si="15"/>
        <v>-5.5068740218278869</v>
      </c>
      <c r="I32" s="57"/>
      <c r="J32" s="57"/>
      <c r="K32" s="57"/>
      <c r="L32" s="57"/>
      <c r="M32" s="57"/>
      <c r="N32" s="57"/>
      <c r="P32" s="2"/>
      <c r="Q32" s="2"/>
      <c r="R32" s="2"/>
      <c r="S32" s="2"/>
      <c r="T32" s="2"/>
      <c r="U32" s="2"/>
      <c r="V32" s="2"/>
      <c r="W32" s="2"/>
    </row>
    <row r="33" spans="2:29" ht="24.95" customHeight="1" outlineLevel="1" thickBot="1">
      <c r="F33" s="68"/>
      <c r="G33" s="68"/>
      <c r="H33" s="68"/>
      <c r="I33" s="68"/>
      <c r="J33" s="68"/>
      <c r="K33" s="68"/>
      <c r="L33" s="68"/>
      <c r="M33" s="68"/>
      <c r="N33" s="68"/>
      <c r="O33" s="41"/>
      <c r="P33" s="431"/>
      <c r="Q33" s="431"/>
      <c r="R33" s="431"/>
      <c r="S33" s="431"/>
      <c r="T33" s="2"/>
      <c r="U33" s="2"/>
      <c r="V33" s="2"/>
      <c r="W33" s="2"/>
    </row>
    <row r="34" spans="2:29" ht="24.95" customHeight="1" outlineLevel="1">
      <c r="B34" s="7" t="s">
        <v>139</v>
      </c>
      <c r="C34" s="58" t="s">
        <v>249</v>
      </c>
      <c r="F34" s="42"/>
      <c r="G34" s="8"/>
      <c r="H34" s="8"/>
      <c r="I34" s="267"/>
      <c r="J34" s="267"/>
      <c r="K34" s="267"/>
      <c r="L34" s="267"/>
      <c r="M34" s="267"/>
      <c r="N34" s="267"/>
      <c r="O34" s="267"/>
      <c r="P34" s="606"/>
      <c r="Q34" s="607"/>
      <c r="R34" s="717"/>
      <c r="S34" s="608"/>
      <c r="T34" s="605"/>
      <c r="U34" s="46"/>
    </row>
    <row r="35" spans="2:29" ht="24.95" customHeight="1" outlineLevel="1">
      <c r="B35" s="5" t="s">
        <v>135</v>
      </c>
      <c r="D35" s="3" t="s">
        <v>251</v>
      </c>
      <c r="E35" s="36" t="s">
        <v>124</v>
      </c>
      <c r="F35" s="43">
        <f>F11/F10</f>
        <v>1</v>
      </c>
      <c r="G35" s="44">
        <f>G11/G10</f>
        <v>1.18</v>
      </c>
      <c r="H35" s="44">
        <f>H11/H10</f>
        <v>1.55</v>
      </c>
      <c r="I35" s="718"/>
      <c r="J35" s="718"/>
      <c r="K35" s="718"/>
      <c r="L35" s="718"/>
      <c r="M35" s="718"/>
      <c r="N35" s="718"/>
      <c r="O35" s="267"/>
      <c r="P35" s="609"/>
      <c r="Q35" s="610"/>
      <c r="R35" s="719"/>
      <c r="S35" s="611"/>
      <c r="T35" s="51"/>
    </row>
    <row r="36" spans="2:29" ht="24.95" customHeight="1" outlineLevel="1">
      <c r="B36" s="5" t="s">
        <v>129</v>
      </c>
      <c r="D36" s="3" t="s">
        <v>252</v>
      </c>
      <c r="E36" s="36" t="s">
        <v>124</v>
      </c>
      <c r="F36" s="43">
        <f>F17/F11</f>
        <v>1</v>
      </c>
      <c r="G36" s="44">
        <f>G17/G11</f>
        <v>0.91387525807453784</v>
      </c>
      <c r="H36" s="44">
        <f>H17/H11</f>
        <v>0.7191378025337628</v>
      </c>
      <c r="I36" s="718"/>
      <c r="J36" s="718"/>
      <c r="K36" s="718"/>
      <c r="L36" s="718"/>
      <c r="M36" s="718"/>
      <c r="N36" s="718"/>
      <c r="O36" s="267"/>
      <c r="P36" s="609"/>
      <c r="Q36" s="610"/>
      <c r="R36" s="719"/>
      <c r="S36" s="611"/>
      <c r="T36" s="51"/>
    </row>
    <row r="37" spans="2:29" ht="24.95" customHeight="1" outlineLevel="1">
      <c r="B37" s="5" t="s">
        <v>259</v>
      </c>
      <c r="D37" s="3" t="s">
        <v>250</v>
      </c>
      <c r="E37" s="36" t="s">
        <v>124</v>
      </c>
      <c r="F37" s="43">
        <f>F15/F17</f>
        <v>1</v>
      </c>
      <c r="G37" s="43">
        <f>G15/G17</f>
        <v>1.0190644278830672</v>
      </c>
      <c r="H37" s="43">
        <f>H15/H17</f>
        <v>1.1187744821702206</v>
      </c>
      <c r="I37" s="720"/>
      <c r="J37" s="720"/>
      <c r="K37" s="720"/>
      <c r="L37" s="720"/>
      <c r="M37" s="720"/>
      <c r="N37" s="720"/>
      <c r="O37" s="267"/>
      <c r="P37" s="609"/>
      <c r="Q37" s="610"/>
      <c r="R37" s="719"/>
      <c r="S37" s="611"/>
      <c r="T37" s="51"/>
    </row>
    <row r="38" spans="2:29" ht="24.95" customHeight="1" outlineLevel="1">
      <c r="B38" s="5" t="s">
        <v>130</v>
      </c>
      <c r="D38" s="3" t="s">
        <v>257</v>
      </c>
      <c r="E38" s="36" t="s">
        <v>124</v>
      </c>
      <c r="F38" s="43">
        <f>F14/F15</f>
        <v>1</v>
      </c>
      <c r="G38" s="43">
        <f>G14/G15</f>
        <v>1.001583130849415</v>
      </c>
      <c r="H38" s="43">
        <f>H14/H15</f>
        <v>1.0031031735319145</v>
      </c>
      <c r="I38" s="720"/>
      <c r="J38" s="720"/>
      <c r="K38" s="720"/>
      <c r="L38" s="720"/>
      <c r="M38" s="720"/>
      <c r="N38" s="720"/>
      <c r="O38" s="267"/>
      <c r="P38" s="609"/>
      <c r="Q38" s="610"/>
      <c r="R38" s="719"/>
      <c r="S38" s="611"/>
      <c r="T38" s="51"/>
      <c r="AB38" s="713"/>
      <c r="AC38" s="714"/>
    </row>
    <row r="39" spans="2:29" ht="24.95" customHeight="1" outlineLevel="1">
      <c r="B39" s="5" t="s">
        <v>131</v>
      </c>
      <c r="D39" s="3" t="s">
        <v>253</v>
      </c>
      <c r="E39" s="36" t="s">
        <v>124</v>
      </c>
      <c r="F39" s="43">
        <f>F13/F14</f>
        <v>1</v>
      </c>
      <c r="G39" s="44">
        <f>G13/G14</f>
        <v>1.0237454440135978</v>
      </c>
      <c r="H39" s="44">
        <f>H13/H14</f>
        <v>1.0773414892761428</v>
      </c>
      <c r="I39" s="718"/>
      <c r="J39" s="718"/>
      <c r="K39" s="718"/>
      <c r="L39" s="718"/>
      <c r="M39" s="718"/>
      <c r="N39" s="718"/>
      <c r="O39" s="267"/>
      <c r="P39" s="609"/>
      <c r="Q39" s="610"/>
      <c r="R39" s="719"/>
      <c r="S39" s="611"/>
      <c r="T39" s="51"/>
    </row>
    <row r="40" spans="2:29" ht="24.95" customHeight="1" outlineLevel="1">
      <c r="B40" s="5" t="s">
        <v>132</v>
      </c>
      <c r="D40" s="3" t="s">
        <v>254</v>
      </c>
      <c r="E40" s="36" t="s">
        <v>124</v>
      </c>
      <c r="F40" s="43">
        <f>F12/F13</f>
        <v>1</v>
      </c>
      <c r="G40" s="44">
        <f>G12/G13</f>
        <v>1.0009759515527639</v>
      </c>
      <c r="H40" s="44">
        <f>H12/H13</f>
        <v>1.0556039374026862</v>
      </c>
      <c r="I40" s="718"/>
      <c r="J40" s="718"/>
      <c r="K40" s="718"/>
      <c r="L40" s="718"/>
      <c r="M40" s="718"/>
      <c r="N40" s="718"/>
      <c r="O40" s="267"/>
      <c r="P40" s="609"/>
      <c r="Q40" s="610"/>
      <c r="R40" s="719"/>
      <c r="S40" s="611"/>
      <c r="T40" s="51"/>
    </row>
    <row r="41" spans="2:29" ht="24.95" customHeight="1" outlineLevel="1">
      <c r="B41" s="5" t="s">
        <v>133</v>
      </c>
      <c r="D41" s="3" t="s">
        <v>255</v>
      </c>
      <c r="E41" s="36" t="s">
        <v>124</v>
      </c>
      <c r="F41" s="43">
        <f>F18/F12</f>
        <v>0.80657836027098162</v>
      </c>
      <c r="G41" s="44">
        <f>G18/G12</f>
        <v>0.76763651025720792</v>
      </c>
      <c r="H41" s="44">
        <f>H18/H12</f>
        <v>0.61434736303498994</v>
      </c>
      <c r="I41" s="718"/>
      <c r="J41" s="718"/>
      <c r="K41" s="718"/>
      <c r="L41" s="718"/>
      <c r="M41" s="718"/>
      <c r="N41" s="718"/>
      <c r="O41" s="267"/>
      <c r="P41" s="609"/>
      <c r="Q41" s="610"/>
      <c r="R41" s="719"/>
      <c r="S41" s="611"/>
      <c r="T41" s="51"/>
    </row>
    <row r="42" spans="2:29" ht="24.95" customHeight="1" outlineLevel="1" thickBot="1">
      <c r="B42" s="5" t="s">
        <v>134</v>
      </c>
      <c r="D42" s="3" t="s">
        <v>256</v>
      </c>
      <c r="E42" s="36" t="s">
        <v>124</v>
      </c>
      <c r="F42" s="43">
        <f>F20/F18</f>
        <v>0.9870528848431539</v>
      </c>
      <c r="G42" s="44">
        <f>G20/G18</f>
        <v>0.97742624289472346</v>
      </c>
      <c r="H42" s="44">
        <f>H20/H18</f>
        <v>9.0111789962136098E-3</v>
      </c>
      <c r="I42" s="718"/>
      <c r="J42" s="718"/>
      <c r="K42" s="718"/>
      <c r="L42" s="718"/>
      <c r="M42" s="718"/>
      <c r="N42" s="718"/>
      <c r="O42" s="267"/>
      <c r="P42" s="612"/>
      <c r="Q42" s="613"/>
      <c r="R42" s="721"/>
      <c r="S42" s="614"/>
      <c r="T42" s="51"/>
    </row>
    <row r="43" spans="2:29">
      <c r="P43" s="46"/>
      <c r="Q43" s="46"/>
      <c r="R43" s="46"/>
      <c r="S43" s="46"/>
    </row>
    <row r="44" spans="2:29">
      <c r="D44" s="624" t="s">
        <v>794</v>
      </c>
    </row>
  </sheetData>
  <conditionalFormatting sqref="S11:S20">
    <cfRule type="notContainsBlanks" dxfId="3" priority="7">
      <formula>LEN(TRIM(S11))&gt;0</formula>
    </cfRule>
  </conditionalFormatting>
  <conditionalFormatting sqref="T11:T20">
    <cfRule type="notContainsBlanks" dxfId="2" priority="3">
      <formula>LEN(TRIM(T11))&gt;0</formula>
    </cfRule>
  </conditionalFormatting>
  <conditionalFormatting sqref="AB11:AB20">
    <cfRule type="notContainsBlanks" dxfId="1" priority="1">
      <formula>LEN(TRIM(AB11))&gt;0</formula>
    </cfRule>
  </conditionalFormatting>
  <conditionalFormatting sqref="AC11:AC20">
    <cfRule type="notContainsBlanks" dxfId="0" priority="2">
      <formula>LEN(TRIM(AC11))&gt;0</formula>
    </cfRule>
  </conditionalFormatting>
  <pageMargins left="0.25" right="0.25" top="0.75" bottom="0.75" header="0.3" footer="0.3"/>
  <pageSetup paperSize="9" scale="3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AE35"/>
  <sheetViews>
    <sheetView zoomScale="70" zoomScaleNormal="70" workbookViewId="0">
      <pane xSplit="5" ySplit="8" topLeftCell="F9" activePane="bottomRight" state="frozen"/>
      <selection pane="topRight" activeCell="F1" sqref="F1"/>
      <selection pane="bottomLeft" activeCell="A9" sqref="A9"/>
      <selection pane="bottomRight" activeCell="H16" sqref="H16"/>
    </sheetView>
  </sheetViews>
  <sheetFormatPr baseColWidth="10" defaultColWidth="9" defaultRowHeight="14.25" outlineLevelRow="1"/>
  <cols>
    <col min="1" max="1" width="2.625" style="196" customWidth="1"/>
    <col min="2" max="2" width="5.625" style="196" customWidth="1"/>
    <col min="3" max="3" width="15.625" style="196" customWidth="1"/>
    <col min="4" max="4" width="45.625" style="196" customWidth="1"/>
    <col min="5" max="5" width="15.625" style="228" customWidth="1"/>
    <col min="6" max="6" width="12.125" style="227" customWidth="1"/>
    <col min="7" max="17" width="12.125" style="77" customWidth="1"/>
    <col min="18" max="18" width="10.625" style="77" customWidth="1"/>
    <col min="19" max="19" width="5.625" style="77" customWidth="1"/>
    <col min="20" max="20" width="32.125" style="356" customWidth="1"/>
    <col min="21" max="21" width="10.625" style="356" customWidth="1"/>
    <col min="22" max="27" width="9" style="356"/>
    <col min="28" max="16384" width="9" style="77"/>
  </cols>
  <sheetData>
    <row r="1" spans="1:31" s="2" customFormat="1" ht="15" customHeight="1" outlineLevel="1">
      <c r="A1" s="201"/>
      <c r="B1" s="202"/>
      <c r="C1" s="203"/>
      <c r="D1" s="204"/>
      <c r="E1" s="214" t="s">
        <v>237</v>
      </c>
      <c r="F1" s="442"/>
      <c r="G1" s="6"/>
      <c r="H1" s="6"/>
      <c r="I1" s="6"/>
      <c r="J1" s="6"/>
      <c r="K1" s="6"/>
      <c r="L1" s="93" t="s">
        <v>93</v>
      </c>
      <c r="M1" s="6"/>
      <c r="N1" s="6"/>
      <c r="O1" s="6"/>
      <c r="P1" s="6"/>
      <c r="Q1" s="6"/>
      <c r="R1" s="1500" t="s">
        <v>140</v>
      </c>
      <c r="T1" s="325" t="s">
        <v>447</v>
      </c>
      <c r="U1" s="325" t="s">
        <v>390</v>
      </c>
      <c r="V1" s="326"/>
      <c r="W1" s="326"/>
      <c r="X1" s="326"/>
      <c r="Y1" s="326"/>
      <c r="Z1" s="326"/>
      <c r="AA1" s="326"/>
      <c r="AE1" s="6" t="s">
        <v>414</v>
      </c>
    </row>
    <row r="2" spans="1:31" s="2" customFormat="1" ht="15" customHeight="1" outlineLevel="1">
      <c r="A2" s="205"/>
      <c r="B2" s="100"/>
      <c r="C2" s="206"/>
      <c r="D2" s="207"/>
      <c r="E2" s="208" t="s">
        <v>100</v>
      </c>
      <c r="F2" s="615" t="str">
        <f>'Whole life model'!F2</f>
        <v>ARGENTINA</v>
      </c>
      <c r="G2" s="242"/>
      <c r="H2" s="243"/>
      <c r="I2" s="6"/>
      <c r="J2" s="6"/>
      <c r="K2" s="6"/>
      <c r="L2" s="80" t="s">
        <v>86</v>
      </c>
      <c r="M2" s="80"/>
      <c r="N2" s="89" t="s">
        <v>137</v>
      </c>
      <c r="O2" s="90"/>
      <c r="P2" s="6"/>
      <c r="Q2" s="6"/>
      <c r="R2" s="1500"/>
      <c r="T2" s="326"/>
      <c r="U2" s="326"/>
      <c r="V2" s="326"/>
      <c r="W2" s="326"/>
      <c r="X2" s="326"/>
      <c r="Y2" s="326"/>
      <c r="Z2" s="326"/>
      <c r="AA2" s="326"/>
      <c r="AE2" s="6" t="s">
        <v>415</v>
      </c>
    </row>
    <row r="3" spans="1:31" s="2" customFormat="1" ht="15" customHeight="1" outlineLevel="1">
      <c r="A3" s="205"/>
      <c r="B3" s="209"/>
      <c r="C3" s="206"/>
      <c r="D3" s="207"/>
      <c r="E3" s="208" t="s">
        <v>235</v>
      </c>
      <c r="F3" s="615" t="str">
        <f>'Whole life model'!F3</f>
        <v>AFCP</v>
      </c>
      <c r="G3" s="242"/>
      <c r="H3" s="243"/>
      <c r="I3" s="6"/>
      <c r="J3" s="6"/>
      <c r="K3" s="6"/>
      <c r="L3" s="81" t="s">
        <v>1</v>
      </c>
      <c r="M3" s="82"/>
      <c r="N3" s="85" t="s">
        <v>486</v>
      </c>
      <c r="O3" s="86"/>
      <c r="P3" s="6"/>
      <c r="Q3" s="6"/>
      <c r="R3" s="1500"/>
      <c r="T3" s="326"/>
      <c r="U3" s="326"/>
      <c r="V3" s="326"/>
      <c r="W3" s="326"/>
      <c r="X3" s="326"/>
      <c r="Y3" s="326"/>
      <c r="Z3" s="326"/>
      <c r="AA3" s="326"/>
      <c r="AE3" s="6" t="s">
        <v>416</v>
      </c>
    </row>
    <row r="4" spans="1:31" s="2" customFormat="1" ht="15" customHeight="1" outlineLevel="1">
      <c r="A4" s="205"/>
      <c r="B4" s="209"/>
      <c r="C4" s="206"/>
      <c r="D4" s="207"/>
      <c r="E4" s="452" t="s">
        <v>461</v>
      </c>
      <c r="F4" s="242" t="str">
        <f>'Whole life model'!F4</f>
        <v>FICEM and AFCP</v>
      </c>
      <c r="G4" s="242"/>
      <c r="H4" s="243"/>
      <c r="I4" s="6"/>
      <c r="J4" s="6"/>
      <c r="K4" s="6"/>
      <c r="L4" s="83" t="s">
        <v>2</v>
      </c>
      <c r="M4" s="84"/>
      <c r="N4" s="87" t="s">
        <v>0</v>
      </c>
      <c r="O4" s="88"/>
      <c r="P4" s="6"/>
      <c r="Q4" s="6"/>
      <c r="R4" s="1500"/>
      <c r="T4" s="322"/>
      <c r="U4" s="326"/>
      <c r="V4" s="326"/>
      <c r="W4" s="326"/>
      <c r="X4" s="326"/>
      <c r="Y4" s="326"/>
      <c r="Z4" s="326"/>
      <c r="AA4" s="326"/>
      <c r="AE4" s="6" t="s">
        <v>417</v>
      </c>
    </row>
    <row r="5" spans="1:31" s="2" customFormat="1" ht="15" customHeight="1" outlineLevel="1">
      <c r="A5" s="205"/>
      <c r="B5" s="209"/>
      <c r="C5" s="206"/>
      <c r="D5" s="207"/>
      <c r="E5" s="208" t="s">
        <v>102</v>
      </c>
      <c r="F5" s="242" t="str">
        <f>'Whole life model'!F5</f>
        <v>maria.lefevre@afcp.org.ar</v>
      </c>
      <c r="G5" s="242"/>
      <c r="H5" s="243"/>
      <c r="I5" s="6"/>
      <c r="J5" s="6"/>
      <c r="K5" s="6"/>
      <c r="L5" s="324" t="s">
        <v>391</v>
      </c>
      <c r="M5" s="6"/>
      <c r="N5" s="6"/>
      <c r="O5" s="6"/>
      <c r="P5" s="6"/>
      <c r="Q5" s="6"/>
      <c r="R5" s="1500"/>
      <c r="T5" s="322"/>
      <c r="U5" s="326"/>
      <c r="V5" s="326"/>
      <c r="W5" s="326"/>
      <c r="X5" s="326"/>
      <c r="Y5" s="326"/>
      <c r="Z5" s="326"/>
      <c r="AA5" s="326"/>
      <c r="AE5" s="6" t="s">
        <v>423</v>
      </c>
    </row>
    <row r="6" spans="1:31" s="2" customFormat="1" ht="15" customHeight="1" outlineLevel="1">
      <c r="A6" s="205"/>
      <c r="B6" s="209"/>
      <c r="C6" s="206"/>
      <c r="D6" s="207"/>
      <c r="E6" s="208" t="s">
        <v>101</v>
      </c>
      <c r="F6" s="242" t="str">
        <f>'Whole life model'!F6</f>
        <v>Phone</v>
      </c>
      <c r="G6" s="242"/>
      <c r="H6" s="243"/>
      <c r="I6" s="6"/>
      <c r="J6" s="6"/>
      <c r="M6" s="6"/>
      <c r="N6" s="6"/>
      <c r="O6" s="6"/>
      <c r="P6" s="6"/>
      <c r="Q6" s="6"/>
      <c r="R6" s="1500"/>
      <c r="T6" s="326"/>
      <c r="U6" s="326"/>
      <c r="V6" s="326"/>
      <c r="W6" s="326"/>
      <c r="X6" s="326"/>
      <c r="Y6" s="326"/>
      <c r="Z6" s="326"/>
      <c r="AA6" s="326"/>
    </row>
    <row r="7" spans="1:31" s="2" customFormat="1" ht="24.95" customHeight="1">
      <c r="A7" s="210"/>
      <c r="B7" s="125" t="str">
        <f>'Whole life model'!B7</f>
        <v xml:space="preserve">GCCA Roadmap Template </v>
      </c>
      <c r="C7" s="145"/>
      <c r="D7" s="125" t="str">
        <f>'Whole life model'!D7</f>
        <v>Version 202, 19.07.2022, ECRA</v>
      </c>
      <c r="E7" s="208" t="s">
        <v>98</v>
      </c>
      <c r="F7" s="34">
        <f>'Whole life model'!F7</f>
        <v>2020</v>
      </c>
      <c r="G7" s="34">
        <f>'Whole life model'!G7</f>
        <v>2030</v>
      </c>
      <c r="H7" s="34">
        <f>'Whole life model'!H7</f>
        <v>2050</v>
      </c>
      <c r="I7" s="9">
        <f>'Whole life model'!F7</f>
        <v>2020</v>
      </c>
      <c r="J7" s="9">
        <f>'Whole life model'!G7</f>
        <v>2030</v>
      </c>
      <c r="K7" s="9">
        <f>'Whole life model'!H7</f>
        <v>2050</v>
      </c>
      <c r="L7" s="9">
        <f>'Whole life model'!F7</f>
        <v>2020</v>
      </c>
      <c r="M7" s="9">
        <f>'Whole life model'!G7</f>
        <v>2030</v>
      </c>
      <c r="N7" s="9">
        <f>'Whole life model'!H7</f>
        <v>2050</v>
      </c>
      <c r="O7" s="9">
        <f>'Whole life model'!F7</f>
        <v>2020</v>
      </c>
      <c r="P7" s="9">
        <f>'Whole life model'!G7</f>
        <v>2030</v>
      </c>
      <c r="Q7" s="9">
        <f>'Whole life model'!H7</f>
        <v>2050</v>
      </c>
      <c r="R7" s="6"/>
      <c r="T7" s="326"/>
      <c r="U7" s="326"/>
      <c r="V7" s="326"/>
      <c r="W7" s="326"/>
      <c r="X7" s="326"/>
      <c r="Y7" s="326"/>
      <c r="Z7" s="326"/>
      <c r="AA7" s="326"/>
    </row>
    <row r="8" spans="1:31" s="32" customFormat="1" ht="24.95" customHeight="1" thickBot="1">
      <c r="A8" s="211"/>
      <c r="B8" s="212" t="s">
        <v>154</v>
      </c>
      <c r="C8" s="213" t="s">
        <v>340</v>
      </c>
      <c r="D8" s="211" t="s">
        <v>97</v>
      </c>
      <c r="E8" s="292" t="s">
        <v>448</v>
      </c>
      <c r="F8" s="23"/>
      <c r="G8" s="222" t="s">
        <v>6</v>
      </c>
      <c r="H8" s="222"/>
      <c r="I8" s="223"/>
      <c r="J8" s="223" t="s">
        <v>846</v>
      </c>
      <c r="K8" s="223"/>
      <c r="L8" s="224"/>
      <c r="M8" s="225" t="s">
        <v>847</v>
      </c>
      <c r="N8" s="224"/>
      <c r="O8" s="226"/>
      <c r="P8" s="226" t="s">
        <v>7</v>
      </c>
      <c r="Q8" s="226"/>
      <c r="R8" s="516"/>
      <c r="S8" s="431"/>
      <c r="T8" s="517"/>
      <c r="U8" s="433"/>
      <c r="V8" s="433"/>
      <c r="W8" s="433"/>
      <c r="X8" s="433"/>
      <c r="Y8" s="433"/>
      <c r="Z8" s="433"/>
      <c r="AA8" s="433"/>
      <c r="AB8" s="431"/>
      <c r="AC8" s="431"/>
      <c r="AD8" s="431"/>
    </row>
    <row r="9" spans="1:31" s="461" customFormat="1" ht="24.95" customHeight="1" thickTop="1">
      <c r="A9" s="459"/>
      <c r="B9" s="519" t="s">
        <v>483</v>
      </c>
      <c r="C9" s="432" t="s">
        <v>1058</v>
      </c>
      <c r="D9" s="459"/>
      <c r="E9" s="460"/>
      <c r="F9" s="596" t="str">
        <f>IF(($F$16+$I$16+$L$16+$O$16)=1,"", "difference from 100% for total concrete production today")</f>
        <v/>
      </c>
      <c r="G9" s="597" t="str">
        <f>IF(($G$16+$J$16+$M$16+$P$16)=1,"", "difference from 100% for total concrete production 2030")</f>
        <v/>
      </c>
      <c r="H9" s="597" t="str">
        <f>IF(($H$16+$K$16+$N$16+$Q$16)=1,"", "difference from 100% for total concrete production 2050")</f>
        <v/>
      </c>
      <c r="I9" s="597" t="str">
        <f>IF(($F$16+$I$16+$L$16+$O$16)=1,"", "difference from 100% for total concrete production today")</f>
        <v/>
      </c>
      <c r="J9" s="597" t="str">
        <f>IF(($G$16+$J$16+$M$16+$P$16)=1,"", "difference from 100% for total concrete production 2030")</f>
        <v/>
      </c>
      <c r="K9" s="597" t="str">
        <f>IF(($H$16+$K$16+$N$16+$Q$16)=1,"", "difference from 100% for total concrete production 2050")</f>
        <v/>
      </c>
      <c r="L9" s="597" t="str">
        <f>IF(($F$16+$I$16+$L$16+$O$16)=1,"", "difference from 100% for total concrete production today")</f>
        <v/>
      </c>
      <c r="M9" s="597" t="str">
        <f>IF(($G$16+$J$16+$M$16+$P$16)=1,"", "difference from 100% for total concrete production 2030")</f>
        <v/>
      </c>
      <c r="N9" s="597" t="str">
        <f>IF(($H$16+$K$16+$N$16+$Q$16)=1,"", "difference from 100% for total concrete production 2050")</f>
        <v/>
      </c>
      <c r="O9" s="597" t="str">
        <f>IF(($F$16+$I$16+$L$16+$O$16)=1,"", "difference from 100% for total concrete production today")</f>
        <v/>
      </c>
      <c r="P9" s="597" t="str">
        <f>IF(($G$16+$J$16+$M$16+$P$16)=1,"", "difference from 100% for total concrete production 2030")</f>
        <v/>
      </c>
      <c r="Q9" s="598" t="str">
        <f>IF(($H$16+$K$16+$N$16+$Q$16)=1,"", "difference from 100% for total concrete production 2050")</f>
        <v/>
      </c>
      <c r="R9" s="516"/>
      <c r="S9" s="431"/>
      <c r="T9" s="517"/>
      <c r="U9" s="433"/>
      <c r="V9" s="433"/>
      <c r="W9" s="433"/>
      <c r="X9" s="433"/>
      <c r="Y9" s="433"/>
      <c r="Z9" s="433"/>
      <c r="AA9" s="433"/>
      <c r="AB9" s="431"/>
      <c r="AC9" s="431"/>
      <c r="AD9" s="431"/>
    </row>
    <row r="10" spans="1:31" s="461" customFormat="1" ht="24.95" customHeight="1">
      <c r="A10" s="4"/>
      <c r="B10" s="545"/>
      <c r="C10" s="426" t="s">
        <v>444</v>
      </c>
      <c r="D10" s="326"/>
      <c r="E10" s="298" t="s">
        <v>373</v>
      </c>
      <c r="F10" s="574"/>
      <c r="G10" s="575"/>
      <c r="H10" s="575"/>
      <c r="I10" s="575"/>
      <c r="J10" s="575"/>
      <c r="K10" s="575"/>
      <c r="L10" s="575"/>
      <c r="M10" s="575"/>
      <c r="N10" s="575"/>
      <c r="O10" s="575"/>
      <c r="P10" s="575"/>
      <c r="Q10" s="576"/>
      <c r="R10" s="518"/>
      <c r="S10" s="2"/>
      <c r="T10" s="342"/>
      <c r="U10" s="326"/>
      <c r="V10" s="326"/>
      <c r="W10" s="326"/>
      <c r="X10" s="326"/>
      <c r="Y10" s="326"/>
      <c r="Z10" s="326"/>
      <c r="AA10" s="326"/>
      <c r="AB10" s="2"/>
      <c r="AC10" s="2"/>
      <c r="AD10" s="2"/>
    </row>
    <row r="11" spans="1:31" s="461" customFormat="1" ht="24.95" customHeight="1">
      <c r="A11" s="4"/>
      <c r="B11" s="2" t="s">
        <v>484</v>
      </c>
      <c r="C11" s="234" t="s">
        <v>908</v>
      </c>
      <c r="D11" s="235" t="s">
        <v>909</v>
      </c>
      <c r="E11" s="321" t="s">
        <v>414</v>
      </c>
      <c r="F11" s="574"/>
      <c r="G11" s="575"/>
      <c r="H11" s="575"/>
      <c r="I11" s="575"/>
      <c r="J11" s="575"/>
      <c r="K11" s="575"/>
      <c r="L11" s="575"/>
      <c r="M11" s="575"/>
      <c r="N11" s="575"/>
      <c r="O11" s="575"/>
      <c r="P11" s="575"/>
      <c r="Q11" s="576"/>
      <c r="R11" s="518"/>
      <c r="S11" s="2"/>
      <c r="T11" s="326" t="s">
        <v>492</v>
      </c>
      <c r="U11" s="326"/>
      <c r="V11" s="326"/>
      <c r="W11" s="326"/>
      <c r="X11" s="326"/>
      <c r="Y11" s="326"/>
      <c r="Z11" s="326"/>
      <c r="AA11" s="326"/>
      <c r="AB11" s="2"/>
      <c r="AC11" s="2"/>
      <c r="AD11" s="2"/>
    </row>
    <row r="12" spans="1:31" s="461" customFormat="1" ht="24.95" customHeight="1">
      <c r="A12" s="4"/>
      <c r="B12" s="2" t="s">
        <v>487</v>
      </c>
      <c r="C12" s="234" t="s">
        <v>195</v>
      </c>
      <c r="D12" s="235" t="s">
        <v>196</v>
      </c>
      <c r="E12" s="321" t="s">
        <v>423</v>
      </c>
      <c r="F12" s="574"/>
      <c r="G12" s="575"/>
      <c r="H12" s="575"/>
      <c r="I12" s="575"/>
      <c r="J12" s="575"/>
      <c r="K12" s="580" t="s">
        <v>518</v>
      </c>
      <c r="L12" s="575"/>
      <c r="M12" s="575"/>
      <c r="N12" s="575"/>
      <c r="O12" s="575"/>
      <c r="P12" s="575"/>
      <c r="Q12" s="576"/>
      <c r="R12" s="518"/>
      <c r="S12" s="2"/>
      <c r="T12" s="326" t="s">
        <v>485</v>
      </c>
      <c r="U12" s="326"/>
      <c r="V12" s="326"/>
      <c r="W12" s="326"/>
      <c r="X12" s="326"/>
      <c r="Y12" s="326"/>
      <c r="Z12" s="326"/>
      <c r="AA12" s="326"/>
      <c r="AB12" s="2"/>
      <c r="AC12" s="2"/>
      <c r="AD12" s="2"/>
    </row>
    <row r="13" spans="1:31" s="461" customFormat="1" ht="24.95" customHeight="1">
      <c r="A13" s="4"/>
      <c r="B13" s="2" t="s">
        <v>488</v>
      </c>
      <c r="C13" s="234" t="s">
        <v>195</v>
      </c>
      <c r="D13" s="235" t="s">
        <v>196</v>
      </c>
      <c r="E13" s="321" t="s">
        <v>423</v>
      </c>
      <c r="F13" s="574"/>
      <c r="G13" s="575"/>
      <c r="H13" s="575"/>
      <c r="I13" s="575"/>
      <c r="J13" s="575"/>
      <c r="K13" s="575"/>
      <c r="L13" s="575"/>
      <c r="M13" s="575"/>
      <c r="N13" s="575"/>
      <c r="O13" s="575"/>
      <c r="P13" s="575"/>
      <c r="Q13" s="576"/>
      <c r="R13" s="518"/>
      <c r="S13" s="2"/>
      <c r="T13" s="326" t="s">
        <v>485</v>
      </c>
      <c r="U13" s="326"/>
      <c r="V13" s="326"/>
      <c r="W13" s="326"/>
      <c r="X13" s="326"/>
      <c r="Y13" s="326"/>
      <c r="Z13" s="326"/>
      <c r="AA13" s="326"/>
      <c r="AB13" s="2"/>
      <c r="AC13" s="2"/>
      <c r="AD13" s="2"/>
    </row>
    <row r="14" spans="1:31" s="461" customFormat="1" ht="24.95" customHeight="1">
      <c r="A14" s="4"/>
      <c r="B14" s="2" t="s">
        <v>489</v>
      </c>
      <c r="C14" s="234" t="s">
        <v>195</v>
      </c>
      <c r="D14" s="235" t="s">
        <v>196</v>
      </c>
      <c r="E14" s="321" t="s">
        <v>423</v>
      </c>
      <c r="F14" s="574"/>
      <c r="G14" s="575"/>
      <c r="H14" s="575"/>
      <c r="I14" s="575"/>
      <c r="J14" s="575"/>
      <c r="K14" s="575"/>
      <c r="L14" s="575"/>
      <c r="M14" s="575"/>
      <c r="N14" s="575"/>
      <c r="O14" s="575"/>
      <c r="P14" s="575"/>
      <c r="Q14" s="576"/>
      <c r="R14" s="518"/>
      <c r="S14" s="2"/>
      <c r="T14" s="326" t="s">
        <v>485</v>
      </c>
      <c r="U14" s="326"/>
      <c r="V14" s="326"/>
      <c r="W14" s="326"/>
      <c r="X14" s="326"/>
      <c r="Y14" s="326"/>
      <c r="Z14" s="326"/>
      <c r="AA14" s="326"/>
      <c r="AB14" s="2"/>
      <c r="AC14" s="2"/>
      <c r="AD14" s="2"/>
    </row>
    <row r="15" spans="1:31" s="461" customFormat="1" ht="24.95" customHeight="1">
      <c r="A15" s="4"/>
      <c r="B15" s="2"/>
      <c r="C15" s="322" t="s">
        <v>513</v>
      </c>
      <c r="D15" s="543"/>
      <c r="E15" s="546"/>
      <c r="F15" s="577"/>
      <c r="G15" s="578"/>
      <c r="H15" s="578"/>
      <c r="I15" s="578"/>
      <c r="J15" s="578"/>
      <c r="K15" s="578"/>
      <c r="L15" s="578"/>
      <c r="M15" s="578"/>
      <c r="N15" s="578"/>
      <c r="O15" s="578"/>
      <c r="P15" s="578"/>
      <c r="Q15" s="579"/>
      <c r="R15" s="518"/>
      <c r="S15" s="2"/>
      <c r="T15" s="326"/>
      <c r="U15" s="326"/>
      <c r="V15" s="326"/>
      <c r="W15" s="326"/>
      <c r="X15" s="326"/>
      <c r="Y15" s="326"/>
      <c r="Z15" s="326"/>
      <c r="AA15" s="326"/>
      <c r="AB15" s="2"/>
      <c r="AC15" s="2"/>
      <c r="AD15" s="2"/>
    </row>
    <row r="16" spans="1:31" s="461" customFormat="1" ht="24.95" customHeight="1">
      <c r="A16" s="4"/>
      <c r="B16" s="259" t="s">
        <v>490</v>
      </c>
      <c r="C16" s="259" t="s">
        <v>1059</v>
      </c>
      <c r="D16" s="432"/>
      <c r="E16" s="447" t="s">
        <v>232</v>
      </c>
      <c r="F16" s="539">
        <f>'Whole life model'!J11</f>
        <v>0.35258964143426291</v>
      </c>
      <c r="G16" s="540">
        <v>0.39</v>
      </c>
      <c r="H16" s="540">
        <v>0.43</v>
      </c>
      <c r="I16" s="539">
        <f>'Whole life model'!M11</f>
        <v>0.52788844621513942</v>
      </c>
      <c r="J16" s="540">
        <v>0.47</v>
      </c>
      <c r="K16" s="540">
        <v>0.43</v>
      </c>
      <c r="L16" s="539">
        <f>'Whole life model'!P11</f>
        <v>6.9721115537848613E-2</v>
      </c>
      <c r="M16" s="540">
        <v>7.0000000000000007E-2</v>
      </c>
      <c r="N16" s="540">
        <v>7.0000000000000007E-2</v>
      </c>
      <c r="O16" s="539">
        <f>'Whole life model'!S11</f>
        <v>4.9800796812749001E-2</v>
      </c>
      <c r="P16" s="541">
        <v>7.0000000000000007E-2</v>
      </c>
      <c r="Q16" s="541">
        <v>7.0000000000000007E-2</v>
      </c>
      <c r="R16" s="518"/>
      <c r="S16" s="2"/>
      <c r="T16" s="326" t="s">
        <v>493</v>
      </c>
      <c r="U16" s="326"/>
      <c r="V16" s="326"/>
      <c r="W16" s="326"/>
      <c r="X16" s="326"/>
      <c r="Y16" s="326"/>
      <c r="Z16" s="326"/>
      <c r="AA16" s="326"/>
      <c r="AB16" s="2"/>
      <c r="AC16" s="2"/>
      <c r="AD16" s="2"/>
    </row>
    <row r="17" spans="1:30" s="461" customFormat="1" ht="24.95" customHeight="1">
      <c r="A17" s="543"/>
      <c r="B17" s="259" t="s">
        <v>848</v>
      </c>
      <c r="C17" s="284" t="s">
        <v>1060</v>
      </c>
      <c r="D17" s="432"/>
      <c r="E17" s="447" t="s">
        <v>232</v>
      </c>
      <c r="F17" s="547"/>
      <c r="G17" s="850">
        <f>G16-F16</f>
        <v>3.7410358565737101E-2</v>
      </c>
      <c r="H17" s="850">
        <f>H16-F16</f>
        <v>7.7410358565737081E-2</v>
      </c>
      <c r="I17" s="547"/>
      <c r="J17" s="850">
        <f>J16-I16</f>
        <v>-5.7888446215139444E-2</v>
      </c>
      <c r="K17" s="850">
        <f>K16-I16</f>
        <v>-9.7888446215139424E-2</v>
      </c>
      <c r="L17" s="849"/>
      <c r="M17" s="850">
        <f>M16-L16</f>
        <v>2.7888446215139362E-4</v>
      </c>
      <c r="N17" s="850">
        <f>N16-L16</f>
        <v>2.7888446215139362E-4</v>
      </c>
      <c r="O17" s="547"/>
      <c r="P17" s="850">
        <f>P16-O16</f>
        <v>2.0199203187251005E-2</v>
      </c>
      <c r="Q17" s="850">
        <f>Q16-O16</f>
        <v>2.0199203187251005E-2</v>
      </c>
      <c r="R17" s="516"/>
      <c r="S17" s="431"/>
      <c r="T17" s="433"/>
      <c r="U17" s="433"/>
      <c r="V17" s="433"/>
      <c r="W17" s="433"/>
      <c r="X17" s="433"/>
      <c r="Y17" s="433"/>
      <c r="Z17" s="433"/>
      <c r="AA17" s="433"/>
      <c r="AB17" s="431"/>
      <c r="AC17" s="431"/>
      <c r="AD17" s="431"/>
    </row>
    <row r="18" spans="1:30" s="461" customFormat="1" ht="24.95" customHeight="1">
      <c r="A18" s="543"/>
      <c r="B18" s="259" t="s">
        <v>863</v>
      </c>
      <c r="C18" s="836" t="s">
        <v>1061</v>
      </c>
      <c r="D18" s="432"/>
      <c r="E18" s="447" t="s">
        <v>232</v>
      </c>
      <c r="F18" s="547"/>
      <c r="G18" s="541">
        <v>0.05</v>
      </c>
      <c r="H18" s="541">
        <v>0.15</v>
      </c>
      <c r="I18" s="544"/>
      <c r="J18" s="842">
        <f>J16-I16</f>
        <v>-5.7888446215139444E-2</v>
      </c>
      <c r="K18" s="842">
        <f>K16-I16</f>
        <v>-9.7888446215139424E-2</v>
      </c>
      <c r="L18" s="544"/>
      <c r="M18" s="541">
        <v>0</v>
      </c>
      <c r="N18" s="541">
        <v>0</v>
      </c>
      <c r="O18" s="544"/>
      <c r="P18" s="541">
        <v>0</v>
      </c>
      <c r="Q18" s="541">
        <v>0</v>
      </c>
      <c r="R18" s="843">
        <f>P18+M18+G18</f>
        <v>0.05</v>
      </c>
      <c r="S18" s="844">
        <f>Q18+N18+H18</f>
        <v>0.15</v>
      </c>
      <c r="T18" s="433"/>
      <c r="U18" s="433"/>
      <c r="V18" s="433"/>
      <c r="W18" s="433"/>
      <c r="X18" s="433"/>
      <c r="Y18" s="433"/>
      <c r="Z18" s="433"/>
      <c r="AA18" s="433"/>
      <c r="AB18" s="431"/>
      <c r="AC18" s="431"/>
      <c r="AD18" s="431"/>
    </row>
    <row r="19" spans="1:30" s="199" customFormat="1">
      <c r="E19" s="217"/>
      <c r="F19" s="445"/>
      <c r="G19" s="218"/>
      <c r="H19" s="218"/>
      <c r="I19" s="218"/>
      <c r="J19" s="218"/>
      <c r="K19" s="218"/>
      <c r="L19" s="218"/>
      <c r="M19" s="218"/>
      <c r="N19" s="218"/>
      <c r="Q19" s="848"/>
      <c r="T19" s="354"/>
      <c r="U19" s="354"/>
      <c r="V19" s="354"/>
      <c r="W19" s="354"/>
      <c r="X19" s="354"/>
      <c r="Y19" s="354"/>
      <c r="Z19" s="354"/>
      <c r="AA19" s="354"/>
    </row>
    <row r="20" spans="1:30" s="199" customFormat="1">
      <c r="E20" s="217"/>
      <c r="F20" s="215"/>
      <c r="T20" s="354"/>
      <c r="U20" s="354"/>
      <c r="V20" s="354"/>
      <c r="W20" s="354"/>
      <c r="X20" s="354"/>
      <c r="Y20" s="354"/>
      <c r="Z20" s="354"/>
      <c r="AA20" s="354"/>
    </row>
    <row r="21" spans="1:30" s="199" customFormat="1">
      <c r="E21" s="217"/>
      <c r="F21" s="215"/>
      <c r="T21" s="354"/>
      <c r="U21" s="354"/>
      <c r="V21" s="354"/>
      <c r="W21" s="354"/>
      <c r="X21" s="354"/>
      <c r="Y21" s="354"/>
      <c r="Z21" s="354"/>
      <c r="AA21" s="354"/>
    </row>
    <row r="22" spans="1:30" s="199" customFormat="1">
      <c r="A22" s="198"/>
      <c r="B22" s="198"/>
      <c r="C22" s="198"/>
      <c r="D22" s="198"/>
      <c r="E22" s="216"/>
      <c r="F22" s="215"/>
      <c r="T22" s="354"/>
      <c r="U22" s="354"/>
      <c r="V22" s="354"/>
      <c r="W22" s="354"/>
      <c r="X22" s="354"/>
      <c r="Y22" s="354"/>
      <c r="Z22" s="354"/>
      <c r="AA22" s="354"/>
    </row>
    <row r="25" spans="1:30">
      <c r="F25" s="446"/>
      <c r="G25" s="219"/>
      <c r="H25" s="219"/>
      <c r="I25" s="219"/>
      <c r="J25" s="219"/>
      <c r="K25" s="219"/>
      <c r="L25" s="219"/>
      <c r="M25" s="219"/>
      <c r="N25" s="219"/>
    </row>
    <row r="26" spans="1:30">
      <c r="F26" s="446"/>
      <c r="G26" s="219"/>
      <c r="H26" s="219"/>
      <c r="I26" s="219"/>
      <c r="J26" s="219"/>
      <c r="K26" s="219"/>
      <c r="L26" s="219"/>
      <c r="M26" s="219"/>
      <c r="N26" s="219"/>
    </row>
    <row r="27" spans="1:30">
      <c r="F27" s="446"/>
      <c r="G27" s="219"/>
      <c r="H27" s="219"/>
      <c r="I27" s="219"/>
      <c r="J27" s="219"/>
      <c r="K27" s="219"/>
      <c r="L27" s="219"/>
      <c r="M27" s="219"/>
      <c r="N27" s="219"/>
    </row>
    <row r="28" spans="1:30">
      <c r="F28" s="446"/>
      <c r="G28" s="219"/>
      <c r="H28" s="219"/>
      <c r="I28" s="219"/>
      <c r="J28" s="219"/>
      <c r="K28" s="219"/>
      <c r="L28" s="219"/>
      <c r="M28" s="219"/>
      <c r="N28" s="219"/>
    </row>
    <row r="29" spans="1:30">
      <c r="F29" s="446"/>
      <c r="G29" s="219"/>
      <c r="H29" s="219"/>
      <c r="I29" s="219"/>
      <c r="J29" s="219"/>
      <c r="K29" s="219"/>
      <c r="L29" s="219"/>
      <c r="M29" s="219"/>
      <c r="N29" s="219"/>
    </row>
    <row r="30" spans="1:30">
      <c r="F30" s="446"/>
      <c r="G30" s="219"/>
      <c r="H30" s="219"/>
      <c r="I30" s="219"/>
      <c r="J30" s="219"/>
      <c r="K30" s="219"/>
      <c r="L30" s="219"/>
      <c r="M30" s="219"/>
      <c r="N30" s="219"/>
    </row>
    <row r="31" spans="1:30">
      <c r="F31" s="446"/>
      <c r="G31" s="219"/>
      <c r="H31" s="219"/>
      <c r="I31" s="219"/>
      <c r="J31" s="219"/>
      <c r="K31" s="219"/>
      <c r="L31" s="219"/>
      <c r="M31" s="219"/>
      <c r="N31" s="219"/>
    </row>
    <row r="32" spans="1:30">
      <c r="F32" s="446"/>
      <c r="G32" s="219"/>
      <c r="H32" s="219"/>
      <c r="I32" s="219"/>
      <c r="J32" s="219"/>
      <c r="K32" s="219"/>
      <c r="L32" s="219"/>
      <c r="M32" s="219"/>
      <c r="N32" s="219"/>
    </row>
    <row r="33" spans="6:14">
      <c r="F33" s="446"/>
      <c r="G33" s="219"/>
      <c r="H33" s="219"/>
      <c r="I33" s="219"/>
      <c r="J33" s="219"/>
      <c r="K33" s="219"/>
      <c r="L33" s="219"/>
      <c r="M33" s="219"/>
      <c r="N33" s="219"/>
    </row>
    <row r="34" spans="6:14">
      <c r="F34" s="446"/>
      <c r="G34" s="219"/>
      <c r="H34" s="219"/>
      <c r="I34" s="219"/>
      <c r="J34" s="219"/>
      <c r="K34" s="219"/>
      <c r="L34" s="219"/>
      <c r="M34" s="219"/>
      <c r="N34" s="219"/>
    </row>
    <row r="35" spans="6:14">
      <c r="F35" s="446"/>
      <c r="G35" s="219"/>
      <c r="H35" s="219"/>
      <c r="I35" s="219"/>
      <c r="J35" s="219"/>
      <c r="K35" s="219"/>
      <c r="L35" s="219"/>
      <c r="M35" s="219"/>
      <c r="N35" s="219"/>
    </row>
  </sheetData>
  <mergeCells count="1">
    <mergeCell ref="R1:R6"/>
  </mergeCells>
  <dataValidations count="1">
    <dataValidation type="list" allowBlank="1" showInputMessage="1" showErrorMessage="1" sqref="E11:E15" xr:uid="{00000000-0002-0000-0300-000000000000}">
      <formula1>$AE$1:$AE$5</formula1>
    </dataValidation>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T79"/>
  <sheetViews>
    <sheetView zoomScale="70" zoomScaleNormal="70" workbookViewId="0">
      <pane xSplit="5" ySplit="11" topLeftCell="H12" activePane="bottomRight" state="frozen"/>
      <selection pane="topRight" activeCell="F1" sqref="F1"/>
      <selection pane="bottomLeft" activeCell="A12" sqref="A12"/>
      <selection pane="bottomRight" activeCell="W47" sqref="W47"/>
    </sheetView>
  </sheetViews>
  <sheetFormatPr baseColWidth="10" defaultColWidth="9" defaultRowHeight="14.25" outlineLevelRow="1"/>
  <cols>
    <col min="1" max="1" width="2.625" style="199" customWidth="1"/>
    <col min="2" max="2" width="5.625" style="199" customWidth="1"/>
    <col min="3" max="3" width="15.625" style="199" customWidth="1"/>
    <col min="4" max="4" width="45.625" style="199" customWidth="1"/>
    <col min="5" max="5" width="15.625" style="217" customWidth="1"/>
    <col min="6" max="6" width="10.625" style="215" customWidth="1"/>
    <col min="7" max="8" width="10.625" style="199" customWidth="1"/>
    <col min="9" max="9" width="5.625" style="229" customWidth="1"/>
    <col min="10" max="10" width="13" style="275" customWidth="1"/>
    <col min="11" max="11" width="13" style="199" customWidth="1"/>
    <col min="12" max="12" width="13" style="229" customWidth="1"/>
    <col min="13" max="18" width="13" style="464" customWidth="1"/>
    <col min="19" max="19" width="13" style="275" customWidth="1"/>
    <col min="20" max="20" width="13" style="199" customWidth="1"/>
    <col min="21" max="21" width="13" style="229" customWidth="1"/>
    <col min="22" max="27" width="13" style="464" customWidth="1"/>
    <col min="28" max="28" width="13" style="275" customWidth="1"/>
    <col min="29" max="29" width="13" style="199" customWidth="1"/>
    <col min="30" max="30" width="13" style="229" customWidth="1"/>
    <col min="31" max="31" width="13" style="275" customWidth="1"/>
    <col min="32" max="32" width="13" style="199" customWidth="1"/>
    <col min="33" max="33" width="13" style="217" customWidth="1"/>
    <col min="34" max="34" width="5.625" style="215" customWidth="1"/>
    <col min="35" max="35" width="72" style="353" customWidth="1"/>
    <col min="36" max="37" width="45.625" style="354" customWidth="1"/>
    <col min="38" max="16384" width="9" style="199"/>
  </cols>
  <sheetData>
    <row r="1" spans="1:46" s="2" customFormat="1" ht="15" customHeight="1" outlineLevel="1" thickTop="1">
      <c r="A1" s="201"/>
      <c r="B1" s="202"/>
      <c r="C1" s="203"/>
      <c r="D1" s="204"/>
      <c r="E1" s="214" t="s">
        <v>237</v>
      </c>
      <c r="F1" s="92"/>
      <c r="G1" s="91"/>
      <c r="H1" s="91"/>
      <c r="I1" s="267"/>
      <c r="J1" s="482"/>
      <c r="K1" s="483"/>
      <c r="L1" s="483"/>
      <c r="M1" s="483"/>
      <c r="N1" s="483"/>
      <c r="O1" s="483"/>
      <c r="P1" s="483"/>
      <c r="Q1" s="483"/>
      <c r="R1" s="483"/>
      <c r="S1" s="483"/>
      <c r="T1" s="483"/>
      <c r="U1" s="495"/>
      <c r="V1" s="489"/>
      <c r="W1" s="483"/>
      <c r="X1" s="483"/>
      <c r="Y1" s="483"/>
      <c r="Z1" s="483"/>
      <c r="AA1" s="483"/>
      <c r="AB1" s="490" t="s">
        <v>93</v>
      </c>
      <c r="AC1" s="483"/>
      <c r="AD1" s="483"/>
      <c r="AE1" s="483"/>
      <c r="AF1" s="483"/>
      <c r="AG1" s="484"/>
      <c r="AH1" s="487"/>
      <c r="AI1" s="325" t="s">
        <v>447</v>
      </c>
      <c r="AJ1" s="325" t="s">
        <v>390</v>
      </c>
      <c r="AK1" s="326"/>
      <c r="AT1" s="6" t="s">
        <v>414</v>
      </c>
    </row>
    <row r="2" spans="1:46" s="2" customFormat="1" ht="15" customHeight="1" outlineLevel="1">
      <c r="A2" s="205"/>
      <c r="B2" s="251"/>
      <c r="C2" s="206"/>
      <c r="D2" s="207"/>
      <c r="E2" s="208" t="s">
        <v>100</v>
      </c>
      <c r="F2" s="615" t="str">
        <f>'Whole life model'!F2</f>
        <v>ARGENTINA</v>
      </c>
      <c r="G2" s="244"/>
      <c r="H2" s="279"/>
      <c r="I2" s="481"/>
      <c r="J2" s="270"/>
      <c r="K2" s="6"/>
      <c r="L2" s="6"/>
      <c r="M2" s="6"/>
      <c r="N2" s="6"/>
      <c r="O2" s="6"/>
      <c r="P2" s="6"/>
      <c r="Q2" s="6"/>
      <c r="R2" s="6"/>
      <c r="S2" s="6"/>
      <c r="T2" s="6"/>
      <c r="U2" s="496"/>
      <c r="V2" s="491"/>
      <c r="W2" s="6"/>
      <c r="X2" s="6"/>
      <c r="Y2" s="6"/>
      <c r="Z2" s="6"/>
      <c r="AA2" s="6"/>
      <c r="AB2" s="80" t="s">
        <v>86</v>
      </c>
      <c r="AC2" s="80"/>
      <c r="AD2" s="89" t="s">
        <v>137</v>
      </c>
      <c r="AE2" s="90"/>
      <c r="AF2" s="6"/>
      <c r="AG2" s="278"/>
      <c r="AH2" s="487"/>
      <c r="AI2" s="327"/>
      <c r="AJ2" s="326"/>
      <c r="AK2" s="326"/>
      <c r="AT2" s="6" t="s">
        <v>415</v>
      </c>
    </row>
    <row r="3" spans="1:46" s="2" customFormat="1" ht="15" customHeight="1" outlineLevel="1">
      <c r="A3" s="205"/>
      <c r="B3" s="209"/>
      <c r="C3" s="206"/>
      <c r="D3" s="207"/>
      <c r="E3" s="208" t="s">
        <v>235</v>
      </c>
      <c r="F3" s="615" t="str">
        <f>'Whole life model'!F3</f>
        <v>AFCP</v>
      </c>
      <c r="G3" s="244"/>
      <c r="H3" s="279"/>
      <c r="I3" s="481"/>
      <c r="J3" s="270"/>
      <c r="K3" s="6"/>
      <c r="L3" s="6"/>
      <c r="M3" s="6"/>
      <c r="N3" s="6"/>
      <c r="O3" s="6"/>
      <c r="P3" s="6"/>
      <c r="Q3" s="6"/>
      <c r="R3" s="6"/>
      <c r="S3" s="6"/>
      <c r="T3" s="6"/>
      <c r="U3" s="496"/>
      <c r="V3" s="491"/>
      <c r="W3" s="6"/>
      <c r="X3" s="6"/>
      <c r="Y3" s="6"/>
      <c r="Z3" s="6"/>
      <c r="AA3" s="6"/>
      <c r="AB3" s="81" t="s">
        <v>1</v>
      </c>
      <c r="AC3" s="82"/>
      <c r="AD3" s="85" t="s">
        <v>3</v>
      </c>
      <c r="AE3" s="86"/>
      <c r="AF3" s="6"/>
      <c r="AG3" s="278"/>
      <c r="AH3" s="487"/>
      <c r="AI3" s="327"/>
      <c r="AJ3" s="326"/>
      <c r="AK3" s="326"/>
      <c r="AT3" s="6" t="s">
        <v>416</v>
      </c>
    </row>
    <row r="4" spans="1:46" s="2" customFormat="1" ht="15" customHeight="1" outlineLevel="1">
      <c r="A4" s="205"/>
      <c r="B4" s="209"/>
      <c r="C4" s="206"/>
      <c r="D4" s="207"/>
      <c r="E4" s="452" t="s">
        <v>461</v>
      </c>
      <c r="F4" s="242" t="str">
        <f>'Whole life model'!F4</f>
        <v>FICEM and AFCP</v>
      </c>
      <c r="G4" s="244"/>
      <c r="H4" s="279"/>
      <c r="I4" s="481"/>
      <c r="J4" s="270"/>
      <c r="K4" s="6"/>
      <c r="L4" s="6"/>
      <c r="M4" s="6"/>
      <c r="N4" s="6"/>
      <c r="O4" s="6"/>
      <c r="P4" s="6"/>
      <c r="Q4" s="6"/>
      <c r="R4" s="6"/>
      <c r="S4" s="6"/>
      <c r="T4" s="6"/>
      <c r="U4" s="496"/>
      <c r="V4" s="491"/>
      <c r="W4" s="6"/>
      <c r="X4" s="6"/>
      <c r="Y4" s="6"/>
      <c r="Z4" s="6"/>
      <c r="AA4" s="6"/>
      <c r="AB4" s="83" t="s">
        <v>2</v>
      </c>
      <c r="AC4" s="84"/>
      <c r="AD4" s="87" t="s">
        <v>0</v>
      </c>
      <c r="AE4" s="88"/>
      <c r="AF4" s="6"/>
      <c r="AG4" s="278"/>
      <c r="AH4" s="487"/>
      <c r="AI4" s="327"/>
      <c r="AJ4" s="322"/>
      <c r="AK4" s="326"/>
      <c r="AT4" s="6" t="s">
        <v>417</v>
      </c>
    </row>
    <row r="5" spans="1:46" s="2" customFormat="1" ht="15" customHeight="1" outlineLevel="1">
      <c r="A5" s="205"/>
      <c r="B5" s="209"/>
      <c r="C5" s="206"/>
      <c r="D5" s="207"/>
      <c r="E5" s="208" t="s">
        <v>102</v>
      </c>
      <c r="F5" s="242" t="str">
        <f>'Whole life model'!F5</f>
        <v>maria.lefevre@afcp.org.ar</v>
      </c>
      <c r="G5" s="244"/>
      <c r="H5" s="279"/>
      <c r="I5" s="481"/>
      <c r="J5" s="274"/>
      <c r="U5" s="230"/>
      <c r="V5" s="274"/>
      <c r="AB5" s="324" t="s">
        <v>391</v>
      </c>
      <c r="AG5" s="52"/>
      <c r="AH5" s="487"/>
      <c r="AI5" s="327"/>
      <c r="AJ5" s="322"/>
      <c r="AK5" s="326"/>
      <c r="AT5" s="6" t="s">
        <v>423</v>
      </c>
    </row>
    <row r="6" spans="1:46" s="2" customFormat="1" ht="15" customHeight="1" outlineLevel="1">
      <c r="A6" s="205"/>
      <c r="B6" s="209"/>
      <c r="C6" s="206"/>
      <c r="D6" s="207"/>
      <c r="E6" s="208" t="s">
        <v>101</v>
      </c>
      <c r="F6" s="242" t="str">
        <f>'Whole life model'!F6</f>
        <v>Phone</v>
      </c>
      <c r="G6" s="244"/>
      <c r="H6" s="279"/>
      <c r="I6" s="481"/>
      <c r="J6" s="274"/>
      <c r="U6" s="230"/>
      <c r="V6" s="274"/>
      <c r="AG6" s="52"/>
      <c r="AH6" s="487"/>
      <c r="AI6" s="327"/>
      <c r="AJ6" s="326"/>
      <c r="AK6" s="326"/>
    </row>
    <row r="7" spans="1:46" s="2" customFormat="1" ht="24.95" customHeight="1">
      <c r="A7" s="210"/>
      <c r="B7" s="125" t="str">
        <f>'Whole life model'!B7</f>
        <v xml:space="preserve">GCCA Roadmap Template </v>
      </c>
      <c r="C7" s="145"/>
      <c r="D7" s="125" t="str">
        <f>'Whole life model'!D7</f>
        <v>Version 202, 19.07.2022, ECRA</v>
      </c>
      <c r="E7" s="208" t="s">
        <v>98</v>
      </c>
      <c r="F7" s="296"/>
      <c r="G7" s="9"/>
      <c r="H7" s="9"/>
      <c r="I7" s="439" t="s">
        <v>372</v>
      </c>
      <c r="J7" s="485"/>
      <c r="K7" s="472" t="s">
        <v>6</v>
      </c>
      <c r="L7" s="472"/>
      <c r="M7" s="473"/>
      <c r="N7" s="473" t="s">
        <v>846</v>
      </c>
      <c r="O7" s="473"/>
      <c r="P7" s="474"/>
      <c r="Q7" s="475" t="s">
        <v>847</v>
      </c>
      <c r="R7" s="474"/>
      <c r="S7" s="476"/>
      <c r="T7" s="476" t="s">
        <v>7</v>
      </c>
      <c r="U7" s="497"/>
      <c r="V7" s="485"/>
      <c r="W7" s="472" t="s">
        <v>6</v>
      </c>
      <c r="X7" s="472"/>
      <c r="Y7" s="473"/>
      <c r="Z7" s="473" t="s">
        <v>782</v>
      </c>
      <c r="AA7" s="473"/>
      <c r="AB7" s="474"/>
      <c r="AC7" s="475" t="s">
        <v>8</v>
      </c>
      <c r="AD7" s="474"/>
      <c r="AE7" s="476"/>
      <c r="AF7" s="476" t="s">
        <v>7</v>
      </c>
      <c r="AG7" s="486"/>
      <c r="AH7" s="51"/>
      <c r="AI7" s="328"/>
      <c r="AJ7" s="326"/>
      <c r="AK7" s="326"/>
    </row>
    <row r="8" spans="1:46" s="232" customFormat="1" ht="24.95" customHeight="1">
      <c r="A8" s="4"/>
      <c r="E8" s="248"/>
      <c r="F8" s="237"/>
      <c r="G8" s="12"/>
      <c r="H8" s="176"/>
      <c r="I8" s="440" t="s">
        <v>220</v>
      </c>
      <c r="J8" s="467" t="s">
        <v>49</v>
      </c>
      <c r="K8" s="466" t="s">
        <v>50</v>
      </c>
      <c r="L8" s="465" t="s">
        <v>365</v>
      </c>
      <c r="M8" s="470" t="s">
        <v>49</v>
      </c>
      <c r="N8" s="468" t="s">
        <v>50</v>
      </c>
      <c r="O8" s="469" t="s">
        <v>365</v>
      </c>
      <c r="P8" s="471" t="s">
        <v>49</v>
      </c>
      <c r="Q8" s="468" t="s">
        <v>50</v>
      </c>
      <c r="R8" s="469" t="s">
        <v>365</v>
      </c>
      <c r="S8" s="477" t="s">
        <v>49</v>
      </c>
      <c r="T8" s="261" t="s">
        <v>50</v>
      </c>
      <c r="U8" s="299" t="s">
        <v>365</v>
      </c>
      <c r="V8" s="467" t="s">
        <v>49</v>
      </c>
      <c r="W8" s="466" t="s">
        <v>50</v>
      </c>
      <c r="X8" s="465" t="s">
        <v>365</v>
      </c>
      <c r="Y8" s="470" t="s">
        <v>49</v>
      </c>
      <c r="Z8" s="468" t="s">
        <v>50</v>
      </c>
      <c r="AA8" s="469" t="s">
        <v>365</v>
      </c>
      <c r="AB8" s="471" t="s">
        <v>49</v>
      </c>
      <c r="AC8" s="468" t="s">
        <v>50</v>
      </c>
      <c r="AD8" s="469" t="s">
        <v>365</v>
      </c>
      <c r="AE8" s="477" t="s">
        <v>49</v>
      </c>
      <c r="AF8" s="261" t="s">
        <v>50</v>
      </c>
      <c r="AG8" s="300" t="s">
        <v>365</v>
      </c>
      <c r="AH8" s="277"/>
      <c r="AI8" s="329"/>
      <c r="AJ8" s="330"/>
      <c r="AK8" s="290"/>
    </row>
    <row r="9" spans="1:46" s="253" customFormat="1" ht="24.95" customHeight="1">
      <c r="A9" s="221"/>
      <c r="E9" s="295"/>
      <c r="F9" s="252"/>
      <c r="G9" s="179"/>
      <c r="H9" s="178"/>
      <c r="I9" s="316" t="s">
        <v>98</v>
      </c>
      <c r="J9" s="438">
        <f>'Whole life model'!F7</f>
        <v>2020</v>
      </c>
      <c r="K9" s="9">
        <f>'Whole life model'!F7</f>
        <v>2020</v>
      </c>
      <c r="L9" s="9">
        <f>'Whole life model'!F7</f>
        <v>2020</v>
      </c>
      <c r="M9" s="9">
        <f>'Whole life model'!F7</f>
        <v>2020</v>
      </c>
      <c r="N9" s="9">
        <f>'Whole life model'!F7</f>
        <v>2020</v>
      </c>
      <c r="O9" s="9">
        <f>'Whole life model'!F7</f>
        <v>2020</v>
      </c>
      <c r="P9" s="9">
        <f>'Whole life model'!F7</f>
        <v>2020</v>
      </c>
      <c r="Q9" s="9">
        <f>'Whole life model'!F7</f>
        <v>2020</v>
      </c>
      <c r="R9" s="9">
        <f>'Whole life model'!F7</f>
        <v>2020</v>
      </c>
      <c r="S9" s="9">
        <f>'Whole life model'!F7</f>
        <v>2020</v>
      </c>
      <c r="T9" s="9">
        <f>'Whole life model'!F7</f>
        <v>2020</v>
      </c>
      <c r="U9" s="9">
        <f>'Whole life model'!F7</f>
        <v>2020</v>
      </c>
      <c r="V9" s="492"/>
      <c r="W9" s="478"/>
      <c r="X9" s="478"/>
      <c r="Y9" s="478"/>
      <c r="Z9" s="478"/>
      <c r="AA9" s="478"/>
      <c r="AB9" s="478"/>
      <c r="AC9" s="478"/>
      <c r="AD9" s="478"/>
      <c r="AE9" s="478"/>
      <c r="AF9" s="478"/>
      <c r="AG9" s="493"/>
      <c r="AH9" s="317"/>
      <c r="AI9" s="331"/>
      <c r="AJ9" s="332"/>
      <c r="AK9" s="333"/>
    </row>
    <row r="10" spans="1:46" s="253" customFormat="1" ht="24.95" customHeight="1">
      <c r="A10" s="16"/>
      <c r="B10" s="285" t="s">
        <v>208</v>
      </c>
      <c r="C10" s="318" t="s">
        <v>386</v>
      </c>
      <c r="D10" s="46"/>
      <c r="E10" s="72"/>
      <c r="F10" s="252"/>
      <c r="I10" s="281"/>
      <c r="J10" s="271">
        <v>0.5</v>
      </c>
      <c r="K10" s="231">
        <v>0.5</v>
      </c>
      <c r="L10" s="479">
        <f>1-K10-J10</f>
        <v>0</v>
      </c>
      <c r="M10" s="231">
        <v>0.2</v>
      </c>
      <c r="N10" s="231">
        <v>0.4</v>
      </c>
      <c r="O10" s="479">
        <f>1-N10-M10</f>
        <v>0.39999999999999997</v>
      </c>
      <c r="P10" s="231">
        <v>1</v>
      </c>
      <c r="Q10" s="231">
        <v>0</v>
      </c>
      <c r="R10" s="479">
        <f>1-Q10-P10</f>
        <v>0</v>
      </c>
      <c r="S10" s="231">
        <v>0.8</v>
      </c>
      <c r="T10" s="231">
        <v>0.2</v>
      </c>
      <c r="U10" s="276">
        <f>1-T10-S10</f>
        <v>0</v>
      </c>
      <c r="V10" s="272"/>
      <c r="W10" s="232"/>
      <c r="X10" s="232"/>
      <c r="Y10" s="232"/>
      <c r="Z10" s="232"/>
      <c r="AA10" s="232"/>
      <c r="AB10" s="232"/>
      <c r="AC10" s="232"/>
      <c r="AD10" s="232"/>
      <c r="AE10" s="480"/>
      <c r="AF10" s="232"/>
      <c r="AG10" s="494"/>
      <c r="AH10" s="252"/>
      <c r="AI10" s="428" t="s">
        <v>386</v>
      </c>
      <c r="AJ10" s="334"/>
      <c r="AK10" s="333"/>
    </row>
    <row r="11" spans="1:46" s="247" customFormat="1" ht="24.95" customHeight="1" thickBot="1">
      <c r="A11" s="211"/>
      <c r="B11" s="212" t="s">
        <v>154</v>
      </c>
      <c r="C11" s="213" t="s">
        <v>340</v>
      </c>
      <c r="D11" s="211" t="s">
        <v>97</v>
      </c>
      <c r="E11" s="292" t="s">
        <v>366</v>
      </c>
      <c r="F11" s="297" t="s">
        <v>90</v>
      </c>
      <c r="I11" s="441" t="s">
        <v>374</v>
      </c>
      <c r="J11" s="286">
        <f>'Whole life model'!G7</f>
        <v>2030</v>
      </c>
      <c r="K11" s="287">
        <f>'Whole life model'!G7</f>
        <v>2030</v>
      </c>
      <c r="L11" s="287">
        <f>'Whole life model'!G7</f>
        <v>2030</v>
      </c>
      <c r="M11" s="287">
        <f>'Whole life model'!G7</f>
        <v>2030</v>
      </c>
      <c r="N11" s="287">
        <f>'Whole life model'!G7</f>
        <v>2030</v>
      </c>
      <c r="O11" s="287">
        <f>'Whole life model'!G7</f>
        <v>2030</v>
      </c>
      <c r="P11" s="287">
        <f>'Whole life model'!G7</f>
        <v>2030</v>
      </c>
      <c r="Q11" s="287">
        <f>'Whole life model'!G7</f>
        <v>2030</v>
      </c>
      <c r="R11" s="287">
        <f>'Whole life model'!G7</f>
        <v>2030</v>
      </c>
      <c r="S11" s="287">
        <f>'Whole life model'!G7</f>
        <v>2030</v>
      </c>
      <c r="T11" s="287">
        <f>'Whole life model'!G7</f>
        <v>2030</v>
      </c>
      <c r="U11" s="288">
        <f>'Whole life model'!G7</f>
        <v>2030</v>
      </c>
      <c r="V11" s="286">
        <f>'Whole life model'!H7</f>
        <v>2050</v>
      </c>
      <c r="W11" s="287">
        <f>'Whole life model'!H7</f>
        <v>2050</v>
      </c>
      <c r="X11" s="287">
        <f>'Whole life model'!H7</f>
        <v>2050</v>
      </c>
      <c r="Y11" s="287">
        <f>'Whole life model'!H7</f>
        <v>2050</v>
      </c>
      <c r="Z11" s="287">
        <f>'Whole life model'!H7</f>
        <v>2050</v>
      </c>
      <c r="AA11" s="287">
        <f>'Whole life model'!H7</f>
        <v>2050</v>
      </c>
      <c r="AB11" s="287">
        <f>'Whole life model'!H7</f>
        <v>2050</v>
      </c>
      <c r="AC11" s="287">
        <f>'Whole life model'!H7</f>
        <v>2050</v>
      </c>
      <c r="AD11" s="287">
        <f>'Whole life model'!H7</f>
        <v>2050</v>
      </c>
      <c r="AE11" s="287">
        <f>'Whole life model'!H7</f>
        <v>2050</v>
      </c>
      <c r="AF11" s="287">
        <f>'Whole life model'!H7</f>
        <v>2050</v>
      </c>
      <c r="AG11" s="289">
        <f>'Whole life model'!H7</f>
        <v>2050</v>
      </c>
      <c r="AH11" s="488"/>
      <c r="AI11" s="335"/>
      <c r="AJ11" s="450" t="s">
        <v>388</v>
      </c>
      <c r="AK11" s="451" t="s">
        <v>389</v>
      </c>
    </row>
    <row r="12" spans="1:46" s="232" customFormat="1" ht="24.95" customHeight="1" thickTop="1">
      <c r="A12" s="2"/>
      <c r="B12" s="258" t="s">
        <v>209</v>
      </c>
      <c r="C12" s="259" t="s">
        <v>368</v>
      </c>
      <c r="D12" s="2"/>
      <c r="E12" s="52"/>
      <c r="F12" s="506"/>
      <c r="G12" s="507"/>
      <c r="H12" s="507"/>
      <c r="I12" s="508"/>
      <c r="J12" s="502">
        <v>0.5</v>
      </c>
      <c r="K12" s="502">
        <v>0.5</v>
      </c>
      <c r="L12" s="503">
        <f>1-K12-J12</f>
        <v>0</v>
      </c>
      <c r="M12" s="502">
        <v>0.2</v>
      </c>
      <c r="N12" s="502">
        <v>0.4</v>
      </c>
      <c r="O12" s="503">
        <f>1-N12-M12</f>
        <v>0.39999999999999997</v>
      </c>
      <c r="P12" s="502">
        <v>1</v>
      </c>
      <c r="Q12" s="502">
        <v>0</v>
      </c>
      <c r="R12" s="503">
        <f>1-Q12-P12</f>
        <v>0</v>
      </c>
      <c r="S12" s="502">
        <v>0.8</v>
      </c>
      <c r="T12" s="502">
        <v>0.2</v>
      </c>
      <c r="U12" s="504">
        <f>1-T12-S12</f>
        <v>0</v>
      </c>
      <c r="V12" s="501">
        <v>0.5</v>
      </c>
      <c r="W12" s="501">
        <v>0.5</v>
      </c>
      <c r="X12" s="503">
        <f>1-W12-V12</f>
        <v>0</v>
      </c>
      <c r="Y12" s="502">
        <v>0.2</v>
      </c>
      <c r="Z12" s="502">
        <v>0.4</v>
      </c>
      <c r="AA12" s="503">
        <f>1-Z12-Y12</f>
        <v>0.39999999999999997</v>
      </c>
      <c r="AB12" s="502">
        <v>1</v>
      </c>
      <c r="AC12" s="502">
        <v>0</v>
      </c>
      <c r="AD12" s="503">
        <f>1-AC12-AB12</f>
        <v>0</v>
      </c>
      <c r="AE12" s="502">
        <v>0.7</v>
      </c>
      <c r="AF12" s="502">
        <v>0.3</v>
      </c>
      <c r="AG12" s="504">
        <f>1-AF12-AE12</f>
        <v>0</v>
      </c>
      <c r="AH12" s="237"/>
      <c r="AI12" s="425" t="s">
        <v>368</v>
      </c>
      <c r="AJ12" s="337"/>
      <c r="AK12" s="338"/>
    </row>
    <row r="13" spans="1:46" s="232" customFormat="1" ht="24.95" customHeight="1">
      <c r="A13" s="264"/>
      <c r="B13" s="233"/>
      <c r="C13" s="263" t="s">
        <v>369</v>
      </c>
      <c r="D13" s="265"/>
      <c r="E13" s="298" t="s">
        <v>373</v>
      </c>
      <c r="F13" s="272"/>
      <c r="G13" s="290"/>
      <c r="H13" s="290"/>
      <c r="I13" s="268"/>
      <c r="J13" s="426" t="s">
        <v>549</v>
      </c>
      <c r="K13" s="290"/>
      <c r="L13" s="290"/>
      <c r="M13" s="290"/>
      <c r="N13" s="290"/>
      <c r="O13" s="290"/>
      <c r="P13" s="290"/>
      <c r="Q13" s="290"/>
      <c r="R13" s="290"/>
      <c r="S13" s="290"/>
      <c r="T13" s="290"/>
      <c r="U13" s="505"/>
      <c r="V13" s="426" t="s">
        <v>549</v>
      </c>
      <c r="W13" s="290"/>
      <c r="X13" s="290"/>
      <c r="Y13" s="290"/>
      <c r="Z13" s="290"/>
      <c r="AA13" s="290"/>
      <c r="AB13" s="290"/>
      <c r="AC13" s="290"/>
      <c r="AD13" s="290"/>
      <c r="AE13" s="290"/>
      <c r="AF13" s="290"/>
      <c r="AG13" s="505"/>
      <c r="AH13" s="237"/>
      <c r="AI13" s="336"/>
      <c r="AJ13" s="339"/>
      <c r="AK13" s="340"/>
    </row>
    <row r="14" spans="1:46" s="232" customFormat="1" ht="24.95" customHeight="1">
      <c r="A14" s="264"/>
      <c r="B14" s="258" t="s">
        <v>210</v>
      </c>
      <c r="C14" s="259" t="s">
        <v>361</v>
      </c>
      <c r="D14" s="264"/>
      <c r="E14" s="266"/>
      <c r="F14" s="509"/>
      <c r="I14" s="262"/>
      <c r="J14" s="593"/>
      <c r="K14" s="594"/>
      <c r="L14" s="594"/>
      <c r="M14" s="594"/>
      <c r="N14" s="594"/>
      <c r="O14" s="594"/>
      <c r="P14" s="594"/>
      <c r="Q14" s="594"/>
      <c r="R14" s="594"/>
      <c r="S14" s="594"/>
      <c r="T14" s="594"/>
      <c r="U14" s="595"/>
      <c r="V14" s="593"/>
      <c r="W14" s="594"/>
      <c r="X14" s="594"/>
      <c r="Y14" s="594"/>
      <c r="Z14" s="594"/>
      <c r="AA14" s="594"/>
      <c r="AB14" s="594"/>
      <c r="AC14" s="594"/>
      <c r="AD14" s="594"/>
      <c r="AE14" s="594"/>
      <c r="AF14" s="594"/>
      <c r="AG14" s="595"/>
      <c r="AH14" s="237"/>
      <c r="AI14" s="336"/>
      <c r="AJ14" s="429" t="s">
        <v>361</v>
      </c>
      <c r="AK14" s="290"/>
    </row>
    <row r="15" spans="1:46" s="232" customFormat="1" ht="24.95" customHeight="1">
      <c r="A15" s="2"/>
      <c r="B15" s="620" t="s">
        <v>341</v>
      </c>
      <c r="C15" s="235" t="s">
        <v>873</v>
      </c>
      <c r="D15" s="235" t="s">
        <v>874</v>
      </c>
      <c r="E15" s="293" t="s">
        <v>414</v>
      </c>
      <c r="F15" s="509"/>
      <c r="I15" s="262"/>
      <c r="J15" s="584"/>
      <c r="K15" s="585"/>
      <c r="L15" s="585"/>
      <c r="M15" s="585"/>
      <c r="N15" s="585"/>
      <c r="O15" s="585"/>
      <c r="P15" s="585"/>
      <c r="Q15" s="585"/>
      <c r="R15" s="585"/>
      <c r="S15" s="585"/>
      <c r="T15" s="585"/>
      <c r="U15" s="586"/>
      <c r="V15" s="584"/>
      <c r="W15" s="585"/>
      <c r="X15" s="585"/>
      <c r="Y15" s="585"/>
      <c r="Z15" s="585"/>
      <c r="AA15" s="585"/>
      <c r="AB15" s="585"/>
      <c r="AC15" s="585"/>
      <c r="AD15" s="585"/>
      <c r="AE15" s="585"/>
      <c r="AF15" s="585"/>
      <c r="AG15" s="586"/>
      <c r="AH15" s="237"/>
      <c r="AI15" s="425" t="s">
        <v>369</v>
      </c>
      <c r="AJ15" s="341" t="s">
        <v>367</v>
      </c>
      <c r="AK15" s="342" t="s">
        <v>432</v>
      </c>
    </row>
    <row r="16" spans="1:46" s="232" customFormat="1" ht="24.95" customHeight="1">
      <c r="A16" s="2"/>
      <c r="B16" s="620" t="s">
        <v>342</v>
      </c>
      <c r="C16" s="235" t="s">
        <v>875</v>
      </c>
      <c r="D16" s="235" t="s">
        <v>876</v>
      </c>
      <c r="E16" s="293" t="s">
        <v>414</v>
      </c>
      <c r="F16" s="272"/>
      <c r="I16" s="262"/>
      <c r="J16" s="584"/>
      <c r="K16" s="585"/>
      <c r="L16" s="585"/>
      <c r="M16" s="585"/>
      <c r="N16" s="585"/>
      <c r="O16" s="580" t="s">
        <v>519</v>
      </c>
      <c r="P16" s="585"/>
      <c r="Q16" s="585"/>
      <c r="R16" s="585"/>
      <c r="S16" s="585"/>
      <c r="T16" s="585"/>
      <c r="U16" s="586"/>
      <c r="V16" s="584"/>
      <c r="W16" s="585"/>
      <c r="X16" s="585"/>
      <c r="Y16" s="391"/>
      <c r="Z16" s="585"/>
      <c r="AA16" s="580" t="s">
        <v>519</v>
      </c>
      <c r="AB16" s="585"/>
      <c r="AC16" s="585"/>
      <c r="AD16" s="585"/>
      <c r="AE16" s="585"/>
      <c r="AF16" s="585"/>
      <c r="AG16" s="586"/>
      <c r="AH16" s="237"/>
      <c r="AI16" s="425" t="s">
        <v>369</v>
      </c>
      <c r="AJ16" s="343"/>
      <c r="AK16" s="342"/>
    </row>
    <row r="17" spans="1:37" s="232" customFormat="1" ht="24.95" customHeight="1">
      <c r="A17" s="2"/>
      <c r="B17" s="620" t="s">
        <v>343</v>
      </c>
      <c r="C17" s="235" t="s">
        <v>362</v>
      </c>
      <c r="D17" s="235" t="s">
        <v>363</v>
      </c>
      <c r="E17" s="293" t="s">
        <v>423</v>
      </c>
      <c r="F17" s="272"/>
      <c r="I17" s="262"/>
      <c r="J17" s="587"/>
      <c r="K17" s="588"/>
      <c r="L17" s="588"/>
      <c r="M17" s="588"/>
      <c r="N17" s="588"/>
      <c r="O17" s="588"/>
      <c r="P17" s="588"/>
      <c r="Q17" s="588"/>
      <c r="R17" s="588"/>
      <c r="S17" s="588"/>
      <c r="T17" s="588"/>
      <c r="U17" s="589"/>
      <c r="V17" s="587"/>
      <c r="W17" s="588"/>
      <c r="X17" s="588"/>
      <c r="Y17" s="588"/>
      <c r="Z17" s="588"/>
      <c r="AA17" s="588"/>
      <c r="AB17" s="588"/>
      <c r="AC17" s="588"/>
      <c r="AD17" s="588"/>
      <c r="AE17" s="588"/>
      <c r="AF17" s="588"/>
      <c r="AG17" s="589"/>
      <c r="AH17" s="237"/>
      <c r="AI17" s="425" t="s">
        <v>369</v>
      </c>
      <c r="AJ17" s="343"/>
      <c r="AK17" s="342"/>
    </row>
    <row r="18" spans="1:37" s="255" customFormat="1" ht="24.95" customHeight="1">
      <c r="A18" s="254"/>
      <c r="B18" s="620" t="s">
        <v>344</v>
      </c>
      <c r="C18" s="2"/>
      <c r="D18" s="246" t="s">
        <v>233</v>
      </c>
      <c r="E18" s="249"/>
      <c r="F18" s="845" t="s">
        <v>857</v>
      </c>
      <c r="I18" s="269"/>
      <c r="J18" s="530">
        <v>0</v>
      </c>
      <c r="K18" s="530">
        <v>0</v>
      </c>
      <c r="L18" s="530">
        <v>0</v>
      </c>
      <c r="M18" s="530">
        <v>0</v>
      </c>
      <c r="N18" s="530">
        <v>0</v>
      </c>
      <c r="O18" s="530">
        <v>0</v>
      </c>
      <c r="P18" s="530">
        <v>0</v>
      </c>
      <c r="Q18" s="530">
        <v>0</v>
      </c>
      <c r="R18" s="530">
        <v>0</v>
      </c>
      <c r="S18" s="530">
        <v>0</v>
      </c>
      <c r="T18" s="530">
        <v>0</v>
      </c>
      <c r="U18" s="530">
        <v>0</v>
      </c>
      <c r="V18" s="530">
        <v>0</v>
      </c>
      <c r="W18" s="530">
        <v>0</v>
      </c>
      <c r="X18" s="530">
        <v>0</v>
      </c>
      <c r="Y18" s="530">
        <v>0</v>
      </c>
      <c r="Z18" s="530">
        <v>0</v>
      </c>
      <c r="AA18" s="530">
        <v>0</v>
      </c>
      <c r="AB18" s="530">
        <v>0</v>
      </c>
      <c r="AC18" s="530">
        <v>0</v>
      </c>
      <c r="AD18" s="530">
        <v>0</v>
      </c>
      <c r="AE18" s="530">
        <v>0</v>
      </c>
      <c r="AF18" s="530">
        <v>0</v>
      </c>
      <c r="AG18" s="530">
        <v>0</v>
      </c>
      <c r="AH18" s="463"/>
      <c r="AI18" s="426" t="s">
        <v>439</v>
      </c>
      <c r="AJ18" s="343"/>
      <c r="AK18" s="344"/>
    </row>
    <row r="19" spans="1:37" s="232" customFormat="1" ht="24.95" customHeight="1">
      <c r="A19" s="2"/>
      <c r="B19" s="621" t="s">
        <v>211</v>
      </c>
      <c r="C19" s="260" t="s">
        <v>360</v>
      </c>
      <c r="D19" s="246"/>
      <c r="E19" s="249"/>
      <c r="F19" s="272"/>
      <c r="I19" s="262"/>
      <c r="J19" s="581"/>
      <c r="K19" s="582"/>
      <c r="L19" s="582"/>
      <c r="M19" s="582"/>
      <c r="N19" s="582"/>
      <c r="O19" s="582"/>
      <c r="P19" s="582"/>
      <c r="Q19" s="582"/>
      <c r="R19" s="582"/>
      <c r="S19" s="582"/>
      <c r="T19" s="582"/>
      <c r="U19" s="583"/>
      <c r="V19" s="581"/>
      <c r="W19" s="582"/>
      <c r="X19" s="582"/>
      <c r="Y19" s="582"/>
      <c r="Z19" s="582"/>
      <c r="AA19" s="582"/>
      <c r="AB19" s="582"/>
      <c r="AC19" s="582"/>
      <c r="AD19" s="582"/>
      <c r="AE19" s="582"/>
      <c r="AF19" s="582"/>
      <c r="AG19" s="583"/>
      <c r="AH19" s="237"/>
      <c r="AI19" s="336"/>
      <c r="AJ19" s="430" t="s">
        <v>360</v>
      </c>
      <c r="AK19" s="344"/>
    </row>
    <row r="20" spans="1:37" s="232" customFormat="1" ht="24.95" customHeight="1">
      <c r="A20" s="2"/>
      <c r="B20" s="620" t="s">
        <v>345</v>
      </c>
      <c r="C20" s="235" t="s">
        <v>877</v>
      </c>
      <c r="D20" s="235" t="s">
        <v>878</v>
      </c>
      <c r="E20" s="293" t="s">
        <v>414</v>
      </c>
      <c r="F20" s="272"/>
      <c r="I20" s="262"/>
      <c r="J20" s="584"/>
      <c r="K20" s="585"/>
      <c r="L20" s="585"/>
      <c r="M20" s="585"/>
      <c r="N20" s="585"/>
      <c r="O20" s="585"/>
      <c r="P20" s="585"/>
      <c r="Q20" s="585"/>
      <c r="R20" s="585"/>
      <c r="S20" s="585"/>
      <c r="T20" s="585"/>
      <c r="U20" s="586"/>
      <c r="V20" s="584"/>
      <c r="W20" s="585"/>
      <c r="X20" s="585"/>
      <c r="Y20" s="585"/>
      <c r="Z20" s="585"/>
      <c r="AA20" s="585"/>
      <c r="AB20" s="585"/>
      <c r="AC20" s="585"/>
      <c r="AD20" s="585"/>
      <c r="AE20" s="585"/>
      <c r="AF20" s="585"/>
      <c r="AG20" s="586"/>
      <c r="AH20" s="237"/>
      <c r="AI20" s="425" t="s">
        <v>369</v>
      </c>
      <c r="AJ20" s="346" t="s">
        <v>52</v>
      </c>
      <c r="AK20" s="342" t="s">
        <v>53</v>
      </c>
    </row>
    <row r="21" spans="1:37" s="232" customFormat="1" ht="24.95" customHeight="1">
      <c r="A21" s="2"/>
      <c r="B21" s="620" t="s">
        <v>346</v>
      </c>
      <c r="C21" s="235" t="s">
        <v>879</v>
      </c>
      <c r="D21" s="235" t="s">
        <v>880</v>
      </c>
      <c r="E21" s="293" t="s">
        <v>414</v>
      </c>
      <c r="F21" s="272"/>
      <c r="I21" s="262"/>
      <c r="J21" s="584"/>
      <c r="K21" s="585"/>
      <c r="L21" s="585"/>
      <c r="M21" s="585"/>
      <c r="N21" s="585"/>
      <c r="O21" s="585"/>
      <c r="P21" s="585"/>
      <c r="Q21" s="585"/>
      <c r="R21" s="585"/>
      <c r="S21" s="585"/>
      <c r="T21" s="585"/>
      <c r="U21" s="586"/>
      <c r="V21" s="584"/>
      <c r="W21" s="585"/>
      <c r="X21" s="585"/>
      <c r="Y21" s="585"/>
      <c r="Z21" s="585"/>
      <c r="AA21" s="585"/>
      <c r="AB21" s="585"/>
      <c r="AC21" s="585"/>
      <c r="AD21" s="585"/>
      <c r="AE21" s="585"/>
      <c r="AF21" s="585"/>
      <c r="AG21" s="586"/>
      <c r="AH21" s="237"/>
      <c r="AI21" s="425" t="s">
        <v>369</v>
      </c>
      <c r="AJ21" s="341" t="s">
        <v>54</v>
      </c>
      <c r="AK21" s="342" t="s">
        <v>434</v>
      </c>
    </row>
    <row r="22" spans="1:37" s="232" customFormat="1" ht="24.95" customHeight="1">
      <c r="A22" s="2"/>
      <c r="B22" s="620" t="s">
        <v>347</v>
      </c>
      <c r="C22" s="235" t="s">
        <v>362</v>
      </c>
      <c r="D22" s="235" t="s">
        <v>363</v>
      </c>
      <c r="E22" s="293" t="s">
        <v>423</v>
      </c>
      <c r="F22" s="272"/>
      <c r="I22" s="262"/>
      <c r="J22" s="584"/>
      <c r="K22" s="585"/>
      <c r="L22" s="585"/>
      <c r="M22" s="585"/>
      <c r="N22" s="585"/>
      <c r="O22" s="585"/>
      <c r="P22" s="585"/>
      <c r="Q22" s="585"/>
      <c r="R22" s="585"/>
      <c r="S22" s="585"/>
      <c r="T22" s="585"/>
      <c r="U22" s="586"/>
      <c r="V22" s="584"/>
      <c r="W22" s="585"/>
      <c r="X22" s="585"/>
      <c r="Y22" s="585"/>
      <c r="Z22" s="585"/>
      <c r="AA22" s="585"/>
      <c r="AB22" s="585"/>
      <c r="AC22" s="585"/>
      <c r="AD22" s="585"/>
      <c r="AE22" s="585"/>
      <c r="AF22" s="585"/>
      <c r="AG22" s="586"/>
      <c r="AH22" s="237"/>
      <c r="AI22" s="425" t="s">
        <v>369</v>
      </c>
      <c r="AJ22" s="346" t="s">
        <v>55</v>
      </c>
      <c r="AK22" s="342" t="s">
        <v>435</v>
      </c>
    </row>
    <row r="23" spans="1:37" s="232" customFormat="1" ht="24.95" customHeight="1">
      <c r="A23" s="2"/>
      <c r="B23" s="621" t="s">
        <v>212</v>
      </c>
      <c r="C23" s="260" t="s">
        <v>443</v>
      </c>
      <c r="E23" s="248"/>
      <c r="F23" s="272"/>
      <c r="I23" s="262"/>
      <c r="J23" s="584"/>
      <c r="K23" s="585"/>
      <c r="L23" s="585"/>
      <c r="M23" s="585"/>
      <c r="N23" s="585"/>
      <c r="O23" s="585"/>
      <c r="P23" s="585"/>
      <c r="Q23" s="585"/>
      <c r="R23" s="585"/>
      <c r="S23" s="585"/>
      <c r="T23" s="585"/>
      <c r="U23" s="586"/>
      <c r="V23" s="584"/>
      <c r="W23" s="585"/>
      <c r="X23" s="585"/>
      <c r="Y23" s="585"/>
      <c r="Z23" s="585"/>
      <c r="AA23" s="585"/>
      <c r="AB23" s="585"/>
      <c r="AC23" s="585"/>
      <c r="AD23" s="585"/>
      <c r="AE23" s="585"/>
      <c r="AF23" s="585"/>
      <c r="AG23" s="586"/>
      <c r="AH23" s="237"/>
      <c r="AI23" s="425" t="s">
        <v>369</v>
      </c>
      <c r="AJ23" s="430" t="s">
        <v>443</v>
      </c>
      <c r="AK23" s="342"/>
    </row>
    <row r="24" spans="1:37" s="232" customFormat="1" ht="24.95" customHeight="1">
      <c r="A24" s="2"/>
      <c r="B24" s="620" t="s">
        <v>348</v>
      </c>
      <c r="C24" s="235" t="s">
        <v>362</v>
      </c>
      <c r="D24" s="235" t="s">
        <v>363</v>
      </c>
      <c r="E24" s="293" t="s">
        <v>423</v>
      </c>
      <c r="F24" s="272"/>
      <c r="I24" s="262"/>
      <c r="J24" s="584"/>
      <c r="K24" s="585"/>
      <c r="L24" s="585"/>
      <c r="M24" s="585"/>
      <c r="N24" s="585"/>
      <c r="O24" s="585"/>
      <c r="P24" s="585"/>
      <c r="Q24" s="585"/>
      <c r="R24" s="585"/>
      <c r="S24" s="585"/>
      <c r="T24" s="585"/>
      <c r="U24" s="586"/>
      <c r="V24" s="584"/>
      <c r="W24" s="585"/>
      <c r="X24" s="585"/>
      <c r="Y24" s="585"/>
      <c r="Z24" s="585"/>
      <c r="AA24" s="585"/>
      <c r="AB24" s="585"/>
      <c r="AC24" s="585"/>
      <c r="AD24" s="585"/>
      <c r="AE24" s="585"/>
      <c r="AF24" s="585"/>
      <c r="AG24" s="586"/>
      <c r="AH24" s="237"/>
      <c r="AI24" s="425" t="s">
        <v>369</v>
      </c>
      <c r="AJ24" s="346" t="s">
        <v>56</v>
      </c>
      <c r="AK24" s="342" t="s">
        <v>436</v>
      </c>
    </row>
    <row r="25" spans="1:37" s="232" customFormat="1" ht="24.95" customHeight="1">
      <c r="A25" s="2"/>
      <c r="B25" s="620" t="s">
        <v>349</v>
      </c>
      <c r="C25" s="235" t="s">
        <v>362</v>
      </c>
      <c r="D25" s="235" t="s">
        <v>363</v>
      </c>
      <c r="E25" s="293" t="s">
        <v>423</v>
      </c>
      <c r="F25" s="272"/>
      <c r="I25" s="262"/>
      <c r="J25" s="584"/>
      <c r="K25" s="585"/>
      <c r="L25" s="585"/>
      <c r="M25" s="585"/>
      <c r="N25" s="585"/>
      <c r="O25" s="580" t="s">
        <v>550</v>
      </c>
      <c r="P25" s="585"/>
      <c r="Q25" s="585"/>
      <c r="R25" s="585"/>
      <c r="S25" s="585"/>
      <c r="T25" s="585"/>
      <c r="U25" s="586"/>
      <c r="V25" s="584"/>
      <c r="W25" s="585"/>
      <c r="X25" s="585"/>
      <c r="Y25" s="585"/>
      <c r="Z25" s="585"/>
      <c r="AA25" s="580" t="s">
        <v>550</v>
      </c>
      <c r="AB25" s="585"/>
      <c r="AC25" s="585"/>
      <c r="AD25" s="585"/>
      <c r="AE25" s="585"/>
      <c r="AF25" s="585"/>
      <c r="AG25" s="586"/>
      <c r="AH25" s="237"/>
      <c r="AI25" s="425" t="s">
        <v>369</v>
      </c>
      <c r="AJ25" s="349"/>
      <c r="AK25" s="342"/>
    </row>
    <row r="26" spans="1:37" s="232" customFormat="1" ht="24.95" customHeight="1">
      <c r="A26" s="2"/>
      <c r="B26" s="620" t="s">
        <v>350</v>
      </c>
      <c r="C26" s="235" t="s">
        <v>362</v>
      </c>
      <c r="D26" s="235" t="s">
        <v>363</v>
      </c>
      <c r="E26" s="293" t="s">
        <v>423</v>
      </c>
      <c r="F26" s="272"/>
      <c r="I26" s="262"/>
      <c r="J26" s="584"/>
      <c r="K26" s="585"/>
      <c r="L26" s="585"/>
      <c r="M26" s="585"/>
      <c r="N26" s="585"/>
      <c r="O26" s="585"/>
      <c r="P26" s="585"/>
      <c r="Q26" s="585"/>
      <c r="R26" s="585"/>
      <c r="S26" s="585"/>
      <c r="T26" s="585"/>
      <c r="U26" s="586"/>
      <c r="V26" s="584"/>
      <c r="W26" s="585"/>
      <c r="X26" s="585"/>
      <c r="Y26" s="585"/>
      <c r="Z26" s="585"/>
      <c r="AA26" s="585"/>
      <c r="AB26" s="585"/>
      <c r="AC26" s="585"/>
      <c r="AD26" s="585"/>
      <c r="AE26" s="585"/>
      <c r="AF26" s="585"/>
      <c r="AG26" s="586"/>
      <c r="AH26" s="237"/>
      <c r="AI26" s="425" t="s">
        <v>369</v>
      </c>
      <c r="AJ26" s="346"/>
      <c r="AK26" s="342"/>
    </row>
    <row r="27" spans="1:37" s="232" customFormat="1" ht="24.95" customHeight="1">
      <c r="A27" s="2"/>
      <c r="B27" s="621" t="s">
        <v>213</v>
      </c>
      <c r="C27" s="259" t="s">
        <v>354</v>
      </c>
      <c r="D27" s="4"/>
      <c r="E27" s="208"/>
      <c r="F27" s="272"/>
      <c r="G27" s="4"/>
      <c r="I27" s="262"/>
      <c r="J27" s="584"/>
      <c r="K27" s="585"/>
      <c r="L27" s="585"/>
      <c r="M27" s="585"/>
      <c r="N27" s="585"/>
      <c r="O27" s="585"/>
      <c r="P27" s="585"/>
      <c r="Q27" s="585"/>
      <c r="R27" s="585"/>
      <c r="S27" s="585"/>
      <c r="T27" s="585"/>
      <c r="U27" s="586"/>
      <c r="V27" s="584"/>
      <c r="W27" s="585"/>
      <c r="X27" s="585"/>
      <c r="Y27" s="585"/>
      <c r="Z27" s="585"/>
      <c r="AA27" s="585"/>
      <c r="AB27" s="585"/>
      <c r="AC27" s="585"/>
      <c r="AD27" s="585"/>
      <c r="AE27" s="585"/>
      <c r="AF27" s="585"/>
      <c r="AG27" s="586"/>
      <c r="AH27" s="237"/>
      <c r="AI27" s="425" t="s">
        <v>369</v>
      </c>
      <c r="AJ27" s="430" t="s">
        <v>354</v>
      </c>
      <c r="AK27" s="342"/>
    </row>
    <row r="28" spans="1:37" s="232" customFormat="1" ht="24.95" customHeight="1">
      <c r="A28" s="2"/>
      <c r="B28" s="620" t="s">
        <v>351</v>
      </c>
      <c r="C28" s="235" t="s">
        <v>881</v>
      </c>
      <c r="D28" s="235" t="s">
        <v>882</v>
      </c>
      <c r="E28" s="293" t="s">
        <v>414</v>
      </c>
      <c r="F28" s="272"/>
      <c r="I28" s="262"/>
      <c r="J28" s="584"/>
      <c r="K28" s="585"/>
      <c r="L28" s="585"/>
      <c r="M28" s="585"/>
      <c r="N28" s="585"/>
      <c r="O28" s="585"/>
      <c r="P28" s="585"/>
      <c r="Q28" s="585"/>
      <c r="R28" s="585"/>
      <c r="S28" s="585"/>
      <c r="T28" s="585"/>
      <c r="U28" s="586"/>
      <c r="V28" s="584"/>
      <c r="W28" s="585"/>
      <c r="X28" s="585"/>
      <c r="Y28" s="585"/>
      <c r="Z28" s="585"/>
      <c r="AA28" s="585"/>
      <c r="AB28" s="585"/>
      <c r="AC28" s="585"/>
      <c r="AD28" s="585"/>
      <c r="AE28" s="585"/>
      <c r="AF28" s="585"/>
      <c r="AG28" s="586"/>
      <c r="AH28" s="237"/>
      <c r="AI28" s="425" t="s">
        <v>369</v>
      </c>
      <c r="AJ28" s="341" t="s">
        <v>234</v>
      </c>
      <c r="AK28" s="342" t="s">
        <v>437</v>
      </c>
    </row>
    <row r="29" spans="1:37" s="232" customFormat="1" ht="24.95" customHeight="1">
      <c r="A29" s="2"/>
      <c r="B29" s="620" t="s">
        <v>352</v>
      </c>
      <c r="C29" s="235" t="s">
        <v>362</v>
      </c>
      <c r="D29" s="235" t="s">
        <v>363</v>
      </c>
      <c r="E29" s="293" t="s">
        <v>423</v>
      </c>
      <c r="F29" s="272"/>
      <c r="I29" s="262"/>
      <c r="J29" s="584"/>
      <c r="K29" s="585"/>
      <c r="L29" s="585"/>
      <c r="M29" s="585"/>
      <c r="N29" s="585"/>
      <c r="O29" s="585"/>
      <c r="P29" s="585"/>
      <c r="Q29" s="585"/>
      <c r="R29" s="585"/>
      <c r="S29" s="585"/>
      <c r="T29" s="585"/>
      <c r="U29" s="586"/>
      <c r="V29" s="584"/>
      <c r="W29" s="585"/>
      <c r="X29" s="585"/>
      <c r="Y29" s="585"/>
      <c r="Z29" s="585"/>
      <c r="AA29" s="585"/>
      <c r="AB29" s="585"/>
      <c r="AC29" s="585"/>
      <c r="AD29" s="585"/>
      <c r="AE29" s="585"/>
      <c r="AF29" s="585"/>
      <c r="AG29" s="586"/>
      <c r="AH29" s="237"/>
      <c r="AI29" s="425" t="s">
        <v>369</v>
      </c>
      <c r="AJ29" s="341"/>
      <c r="AK29" s="342"/>
    </row>
    <row r="30" spans="1:37" s="232" customFormat="1" ht="24.95" customHeight="1">
      <c r="A30" s="2"/>
      <c r="B30" s="620" t="s">
        <v>353</v>
      </c>
      <c r="C30" s="235" t="s">
        <v>362</v>
      </c>
      <c r="D30" s="235" t="s">
        <v>363</v>
      </c>
      <c r="E30" s="293" t="s">
        <v>423</v>
      </c>
      <c r="F30" s="272"/>
      <c r="I30" s="262"/>
      <c r="J30" s="587"/>
      <c r="K30" s="588"/>
      <c r="L30" s="588"/>
      <c r="M30" s="588"/>
      <c r="N30" s="588"/>
      <c r="O30" s="588"/>
      <c r="P30" s="588"/>
      <c r="Q30" s="588"/>
      <c r="R30" s="588"/>
      <c r="S30" s="588"/>
      <c r="T30" s="588"/>
      <c r="U30" s="589"/>
      <c r="V30" s="587"/>
      <c r="W30" s="588"/>
      <c r="X30" s="588"/>
      <c r="Y30" s="588"/>
      <c r="Z30" s="588"/>
      <c r="AA30" s="588"/>
      <c r="AB30" s="588"/>
      <c r="AC30" s="588"/>
      <c r="AD30" s="588"/>
      <c r="AE30" s="588"/>
      <c r="AF30" s="588"/>
      <c r="AG30" s="589"/>
      <c r="AH30" s="237"/>
      <c r="AI30" s="425" t="s">
        <v>369</v>
      </c>
      <c r="AJ30" s="341"/>
      <c r="AK30" s="342"/>
    </row>
    <row r="31" spans="1:37" s="232" customFormat="1" ht="24.95" customHeight="1">
      <c r="A31" s="2"/>
      <c r="B31" s="621" t="s">
        <v>214</v>
      </c>
      <c r="C31" s="257" t="s">
        <v>364</v>
      </c>
      <c r="D31" s="246" t="s">
        <v>233</v>
      </c>
      <c r="E31" s="249"/>
      <c r="F31" s="845" t="s">
        <v>857</v>
      </c>
      <c r="I31" s="262"/>
      <c r="J31" s="530">
        <v>2.5000000000000001E-2</v>
      </c>
      <c r="K31" s="530">
        <v>2.5000000000000001E-2</v>
      </c>
      <c r="L31" s="530">
        <v>2.5000000000000001E-2</v>
      </c>
      <c r="M31" s="530">
        <v>2.5000000000000001E-2</v>
      </c>
      <c r="N31" s="530">
        <v>2.5000000000000001E-2</v>
      </c>
      <c r="O31" s="530">
        <v>2.5000000000000001E-2</v>
      </c>
      <c r="P31" s="530">
        <v>2.5000000000000001E-2</v>
      </c>
      <c r="Q31" s="530">
        <v>2.5000000000000001E-2</v>
      </c>
      <c r="R31" s="530">
        <v>2.5000000000000001E-2</v>
      </c>
      <c r="S31" s="530">
        <v>2.5000000000000001E-2</v>
      </c>
      <c r="T31" s="530">
        <v>2.5000000000000001E-2</v>
      </c>
      <c r="U31" s="530">
        <v>2.5000000000000001E-2</v>
      </c>
      <c r="V31" s="530">
        <v>0.05</v>
      </c>
      <c r="W31" s="530">
        <v>0.05</v>
      </c>
      <c r="X31" s="530">
        <v>0.05</v>
      </c>
      <c r="Y31" s="530">
        <v>0.05</v>
      </c>
      <c r="Z31" s="530">
        <v>0.05</v>
      </c>
      <c r="AA31" s="530">
        <v>0.05</v>
      </c>
      <c r="AB31" s="530">
        <v>0.05</v>
      </c>
      <c r="AC31" s="530">
        <v>0.05</v>
      </c>
      <c r="AD31" s="530">
        <v>0.05</v>
      </c>
      <c r="AE31" s="530">
        <v>0.05</v>
      </c>
      <c r="AF31" s="530">
        <v>0.05</v>
      </c>
      <c r="AG31" s="530">
        <v>0.05</v>
      </c>
      <c r="AH31" s="462"/>
      <c r="AI31" s="426" t="s">
        <v>441</v>
      </c>
      <c r="AJ31" s="343"/>
      <c r="AK31" s="344"/>
    </row>
    <row r="32" spans="1:37" s="255" customFormat="1" ht="24.95" customHeight="1">
      <c r="A32" s="254"/>
      <c r="B32" s="621" t="s">
        <v>215</v>
      </c>
      <c r="C32" s="260" t="s">
        <v>359</v>
      </c>
      <c r="D32" s="246"/>
      <c r="E32" s="249"/>
      <c r="F32" s="273"/>
      <c r="I32" s="269"/>
      <c r="J32" s="590"/>
      <c r="K32" s="591"/>
      <c r="L32" s="591"/>
      <c r="M32" s="591"/>
      <c r="N32" s="591"/>
      <c r="O32" s="591"/>
      <c r="P32" s="591"/>
      <c r="Q32" s="591"/>
      <c r="R32" s="591"/>
      <c r="S32" s="591"/>
      <c r="T32" s="591"/>
      <c r="U32" s="592"/>
      <c r="V32" s="590"/>
      <c r="W32" s="591"/>
      <c r="X32" s="591"/>
      <c r="Y32" s="591"/>
      <c r="Z32" s="591"/>
      <c r="AA32" s="591"/>
      <c r="AB32" s="591"/>
      <c r="AC32" s="591"/>
      <c r="AD32" s="591"/>
      <c r="AE32" s="591"/>
      <c r="AF32" s="591"/>
      <c r="AG32" s="592"/>
      <c r="AH32" s="291"/>
      <c r="AI32" s="345"/>
      <c r="AJ32" s="430" t="s">
        <v>359</v>
      </c>
      <c r="AK32" s="344"/>
    </row>
    <row r="33" spans="1:37" s="255" customFormat="1" ht="24.95" customHeight="1">
      <c r="A33" s="254"/>
      <c r="B33" s="620" t="s">
        <v>545</v>
      </c>
      <c r="C33" s="235" t="s">
        <v>883</v>
      </c>
      <c r="D33" s="235" t="s">
        <v>884</v>
      </c>
      <c r="E33" s="293" t="s">
        <v>414</v>
      </c>
      <c r="F33" s="273"/>
      <c r="I33" s="269"/>
      <c r="J33" s="584"/>
      <c r="K33" s="585"/>
      <c r="L33" s="585"/>
      <c r="M33" s="585"/>
      <c r="N33" s="585"/>
      <c r="O33" s="585"/>
      <c r="P33" s="585"/>
      <c r="Q33" s="585"/>
      <c r="R33" s="585"/>
      <c r="S33" s="585"/>
      <c r="T33" s="585"/>
      <c r="U33" s="586"/>
      <c r="V33" s="584"/>
      <c r="W33" s="585"/>
      <c r="X33" s="585"/>
      <c r="Y33" s="585"/>
      <c r="Z33" s="585"/>
      <c r="AA33" s="585"/>
      <c r="AB33" s="585"/>
      <c r="AC33" s="585"/>
      <c r="AD33" s="585"/>
      <c r="AE33" s="585"/>
      <c r="AF33" s="585"/>
      <c r="AG33" s="586"/>
      <c r="AH33" s="291"/>
      <c r="AI33" s="425" t="s">
        <v>369</v>
      </c>
      <c r="AJ33" s="346" t="s">
        <v>51</v>
      </c>
      <c r="AK33" s="347" t="s">
        <v>433</v>
      </c>
    </row>
    <row r="34" spans="1:37" s="255" customFormat="1" ht="24.95" customHeight="1">
      <c r="A34" s="254"/>
      <c r="B34" s="620" t="s">
        <v>546</v>
      </c>
      <c r="C34" s="235" t="s">
        <v>362</v>
      </c>
      <c r="D34" s="235" t="s">
        <v>363</v>
      </c>
      <c r="E34" s="293" t="s">
        <v>423</v>
      </c>
      <c r="F34" s="273"/>
      <c r="I34" s="269"/>
      <c r="J34" s="584"/>
      <c r="K34" s="585"/>
      <c r="L34" s="585"/>
      <c r="M34" s="585"/>
      <c r="N34" s="585"/>
      <c r="O34" s="580" t="s">
        <v>551</v>
      </c>
      <c r="P34" s="585"/>
      <c r="Q34" s="585"/>
      <c r="R34" s="585"/>
      <c r="S34" s="585"/>
      <c r="T34" s="585"/>
      <c r="U34" s="586"/>
      <c r="V34" s="584"/>
      <c r="W34" s="585"/>
      <c r="X34" s="585"/>
      <c r="Y34" s="585"/>
      <c r="Z34" s="585"/>
      <c r="AA34" s="580" t="s">
        <v>551</v>
      </c>
      <c r="AB34" s="585"/>
      <c r="AC34" s="585"/>
      <c r="AD34" s="585"/>
      <c r="AE34" s="585"/>
      <c r="AF34" s="585"/>
      <c r="AG34" s="586"/>
      <c r="AH34" s="291"/>
      <c r="AI34" s="425" t="s">
        <v>369</v>
      </c>
      <c r="AJ34" s="343"/>
      <c r="AK34" s="348"/>
    </row>
    <row r="35" spans="1:37" s="255" customFormat="1" ht="24.95" customHeight="1">
      <c r="A35" s="254"/>
      <c r="B35" s="620" t="s">
        <v>547</v>
      </c>
      <c r="C35" s="235" t="s">
        <v>362</v>
      </c>
      <c r="D35" s="235" t="s">
        <v>363</v>
      </c>
      <c r="E35" s="293" t="s">
        <v>423</v>
      </c>
      <c r="F35" s="273"/>
      <c r="I35" s="269"/>
      <c r="J35" s="587"/>
      <c r="K35" s="588"/>
      <c r="L35" s="588"/>
      <c r="M35" s="588"/>
      <c r="N35" s="588"/>
      <c r="O35" s="588"/>
      <c r="P35" s="588"/>
      <c r="Q35" s="588"/>
      <c r="R35" s="588"/>
      <c r="S35" s="588"/>
      <c r="T35" s="588"/>
      <c r="U35" s="589"/>
      <c r="V35" s="587"/>
      <c r="W35" s="588"/>
      <c r="X35" s="588"/>
      <c r="Y35" s="588"/>
      <c r="Z35" s="588"/>
      <c r="AA35" s="588"/>
      <c r="AB35" s="588"/>
      <c r="AC35" s="588"/>
      <c r="AD35" s="588"/>
      <c r="AE35" s="588"/>
      <c r="AF35" s="588"/>
      <c r="AG35" s="589"/>
      <c r="AH35" s="291"/>
      <c r="AI35" s="425" t="s">
        <v>369</v>
      </c>
      <c r="AJ35" s="343"/>
      <c r="AK35" s="344"/>
    </row>
    <row r="36" spans="1:37" s="232" customFormat="1" ht="24.95" customHeight="1">
      <c r="A36" s="2"/>
      <c r="B36" s="620" t="s">
        <v>548</v>
      </c>
      <c r="C36" s="250"/>
      <c r="D36" s="246" t="s">
        <v>233</v>
      </c>
      <c r="E36" s="249"/>
      <c r="F36" s="845" t="s">
        <v>857</v>
      </c>
      <c r="I36" s="262"/>
      <c r="J36" s="530">
        <v>0.01</v>
      </c>
      <c r="K36" s="530">
        <v>0.01</v>
      </c>
      <c r="L36" s="530">
        <v>0.01</v>
      </c>
      <c r="M36" s="530">
        <v>0.01</v>
      </c>
      <c r="N36" s="530">
        <v>0.01</v>
      </c>
      <c r="O36" s="530">
        <v>0.01</v>
      </c>
      <c r="P36" s="530">
        <v>0.01</v>
      </c>
      <c r="Q36" s="530">
        <v>0.01</v>
      </c>
      <c r="R36" s="530">
        <v>0.01</v>
      </c>
      <c r="S36" s="530">
        <v>0.01</v>
      </c>
      <c r="T36" s="530">
        <v>0.01</v>
      </c>
      <c r="U36" s="530">
        <v>0.01</v>
      </c>
      <c r="V36" s="530">
        <v>0.02</v>
      </c>
      <c r="W36" s="530">
        <v>0.02</v>
      </c>
      <c r="X36" s="530">
        <v>0.02</v>
      </c>
      <c r="Y36" s="530">
        <v>0.02</v>
      </c>
      <c r="Z36" s="530">
        <v>0.02</v>
      </c>
      <c r="AA36" s="530">
        <v>0.02</v>
      </c>
      <c r="AB36" s="530">
        <v>0.02</v>
      </c>
      <c r="AC36" s="530">
        <v>0.02</v>
      </c>
      <c r="AD36" s="530">
        <v>0.02</v>
      </c>
      <c r="AE36" s="530">
        <v>0.02</v>
      </c>
      <c r="AF36" s="530">
        <v>0.02</v>
      </c>
      <c r="AG36" s="530">
        <v>0.02</v>
      </c>
      <c r="AH36" s="462"/>
      <c r="AI36" s="426" t="s">
        <v>440</v>
      </c>
      <c r="AJ36" s="343"/>
      <c r="AK36" s="344"/>
    </row>
    <row r="37" spans="1:37" s="232" customFormat="1" ht="24.95" customHeight="1">
      <c r="A37" s="2"/>
      <c r="B37" s="621" t="s">
        <v>216</v>
      </c>
      <c r="C37" s="259" t="s">
        <v>533</v>
      </c>
      <c r="D37" s="256"/>
      <c r="E37" s="249"/>
      <c r="F37" s="272"/>
      <c r="I37" s="262"/>
      <c r="J37" s="581"/>
      <c r="K37" s="582"/>
      <c r="L37" s="582"/>
      <c r="M37" s="582"/>
      <c r="N37" s="582"/>
      <c r="O37" s="582"/>
      <c r="P37" s="582"/>
      <c r="Q37" s="582"/>
      <c r="R37" s="582"/>
      <c r="S37" s="582"/>
      <c r="T37" s="582"/>
      <c r="U37" s="583"/>
      <c r="V37" s="581"/>
      <c r="W37" s="582"/>
      <c r="X37" s="582"/>
      <c r="Y37" s="582"/>
      <c r="Z37" s="582"/>
      <c r="AA37" s="582"/>
      <c r="AB37" s="582"/>
      <c r="AC37" s="582"/>
      <c r="AD37" s="582"/>
      <c r="AE37" s="582"/>
      <c r="AF37" s="582"/>
      <c r="AG37" s="583"/>
      <c r="AH37" s="237"/>
      <c r="AI37" s="336"/>
      <c r="AJ37" s="429" t="s">
        <v>57</v>
      </c>
      <c r="AK37" s="344"/>
    </row>
    <row r="38" spans="1:37" s="232" customFormat="1" ht="24.95" customHeight="1">
      <c r="A38" s="2"/>
      <c r="B38" s="620" t="s">
        <v>355</v>
      </c>
      <c r="C38" s="235" t="s">
        <v>885</v>
      </c>
      <c r="D38" s="235" t="s">
        <v>886</v>
      </c>
      <c r="E38" s="293" t="s">
        <v>414</v>
      </c>
      <c r="F38" s="272"/>
      <c r="I38" s="262"/>
      <c r="J38" s="584"/>
      <c r="K38" s="585"/>
      <c r="L38" s="585"/>
      <c r="M38" s="585"/>
      <c r="N38" s="585"/>
      <c r="O38" s="585"/>
      <c r="P38" s="585"/>
      <c r="Q38" s="585"/>
      <c r="R38" s="585"/>
      <c r="S38" s="585"/>
      <c r="T38" s="585"/>
      <c r="U38" s="586"/>
      <c r="V38" s="584"/>
      <c r="W38" s="585"/>
      <c r="X38" s="585"/>
      <c r="Y38" s="585"/>
      <c r="Z38" s="585"/>
      <c r="AA38" s="585"/>
      <c r="AB38" s="585"/>
      <c r="AC38" s="585"/>
      <c r="AD38" s="585"/>
      <c r="AE38" s="585"/>
      <c r="AF38" s="585"/>
      <c r="AG38" s="586"/>
      <c r="AH38" s="237"/>
      <c r="AI38" s="425" t="s">
        <v>369</v>
      </c>
      <c r="AJ38" s="341" t="s">
        <v>58</v>
      </c>
      <c r="AK38" s="342" t="s">
        <v>438</v>
      </c>
    </row>
    <row r="39" spans="1:37" s="232" customFormat="1" ht="24.95" customHeight="1">
      <c r="A39" s="2"/>
      <c r="B39" s="620" t="s">
        <v>356</v>
      </c>
      <c r="C39" s="235" t="s">
        <v>887</v>
      </c>
      <c r="D39" s="235" t="s">
        <v>888</v>
      </c>
      <c r="E39" s="293" t="s">
        <v>414</v>
      </c>
      <c r="F39" s="272"/>
      <c r="I39" s="262"/>
      <c r="J39" s="584"/>
      <c r="K39" s="585"/>
      <c r="L39" s="585"/>
      <c r="M39" s="585"/>
      <c r="N39" s="585"/>
      <c r="O39" s="580" t="s">
        <v>520</v>
      </c>
      <c r="P39" s="585"/>
      <c r="Q39" s="585"/>
      <c r="R39" s="585"/>
      <c r="S39" s="585"/>
      <c r="T39" s="585"/>
      <c r="U39" s="586"/>
      <c r="V39" s="584"/>
      <c r="W39" s="585"/>
      <c r="X39" s="585"/>
      <c r="Y39" s="585"/>
      <c r="Z39" s="585"/>
      <c r="AA39" s="580" t="s">
        <v>520</v>
      </c>
      <c r="AB39" s="585"/>
      <c r="AC39" s="585"/>
      <c r="AD39" s="585"/>
      <c r="AE39" s="585"/>
      <c r="AF39" s="585"/>
      <c r="AG39" s="586"/>
      <c r="AH39" s="237"/>
      <c r="AI39" s="425" t="s">
        <v>369</v>
      </c>
      <c r="AJ39" s="343"/>
      <c r="AK39" s="342"/>
    </row>
    <row r="40" spans="1:37" s="232" customFormat="1" ht="24.95" customHeight="1">
      <c r="A40" s="2"/>
      <c r="B40" s="620" t="s">
        <v>357</v>
      </c>
      <c r="C40" s="235" t="s">
        <v>362</v>
      </c>
      <c r="D40" s="235" t="s">
        <v>363</v>
      </c>
      <c r="E40" s="293" t="s">
        <v>423</v>
      </c>
      <c r="F40" s="272"/>
      <c r="I40" s="262"/>
      <c r="J40" s="587"/>
      <c r="K40" s="588"/>
      <c r="L40" s="588"/>
      <c r="M40" s="588"/>
      <c r="N40" s="588"/>
      <c r="O40" s="588"/>
      <c r="P40" s="588"/>
      <c r="Q40" s="588"/>
      <c r="R40" s="588"/>
      <c r="S40" s="588"/>
      <c r="T40" s="588"/>
      <c r="U40" s="589"/>
      <c r="V40" s="587"/>
      <c r="W40" s="588"/>
      <c r="X40" s="588"/>
      <c r="Y40" s="588"/>
      <c r="Z40" s="588"/>
      <c r="AA40" s="588"/>
      <c r="AB40" s="588"/>
      <c r="AC40" s="588"/>
      <c r="AD40" s="588"/>
      <c r="AE40" s="588"/>
      <c r="AF40" s="588"/>
      <c r="AG40" s="589"/>
      <c r="AH40" s="237"/>
      <c r="AI40" s="425" t="s">
        <v>369</v>
      </c>
      <c r="AJ40" s="343"/>
      <c r="AK40" s="342"/>
    </row>
    <row r="41" spans="1:37" s="247" customFormat="1" ht="24.95" customHeight="1" thickBot="1">
      <c r="A41" s="32"/>
      <c r="B41" s="622" t="s">
        <v>358</v>
      </c>
      <c r="C41" s="32"/>
      <c r="D41" s="282" t="s">
        <v>233</v>
      </c>
      <c r="E41" s="294"/>
      <c r="F41" s="845" t="s">
        <v>857</v>
      </c>
      <c r="I41" s="283"/>
      <c r="J41" s="530">
        <v>2.5000000000000001E-2</v>
      </c>
      <c r="K41" s="530">
        <v>2.5000000000000001E-2</v>
      </c>
      <c r="L41" s="530">
        <v>2.5000000000000001E-2</v>
      </c>
      <c r="M41" s="530">
        <v>0</v>
      </c>
      <c r="N41" s="530">
        <v>0</v>
      </c>
      <c r="O41" s="530">
        <v>0</v>
      </c>
      <c r="P41" s="530">
        <v>0</v>
      </c>
      <c r="Q41" s="530">
        <v>0</v>
      </c>
      <c r="R41" s="530">
        <v>0</v>
      </c>
      <c r="S41" s="530">
        <v>0</v>
      </c>
      <c r="T41" s="530">
        <v>0</v>
      </c>
      <c r="U41" s="530">
        <v>0</v>
      </c>
      <c r="V41" s="530">
        <v>0.02</v>
      </c>
      <c r="W41" s="530">
        <v>0</v>
      </c>
      <c r="X41" s="530">
        <v>0</v>
      </c>
      <c r="Y41" s="530">
        <v>0.01</v>
      </c>
      <c r="Z41" s="530">
        <v>0.05</v>
      </c>
      <c r="AA41" s="530">
        <v>0</v>
      </c>
      <c r="AB41" s="530">
        <v>0.01</v>
      </c>
      <c r="AC41" s="530">
        <v>0</v>
      </c>
      <c r="AD41" s="530">
        <v>0.05</v>
      </c>
      <c r="AE41" s="530">
        <v>0</v>
      </c>
      <c r="AF41" s="530">
        <v>0</v>
      </c>
      <c r="AG41" s="530">
        <v>0</v>
      </c>
      <c r="AH41" s="498"/>
      <c r="AI41" s="427" t="s">
        <v>442</v>
      </c>
      <c r="AJ41" s="350"/>
      <c r="AK41" s="351"/>
    </row>
    <row r="42" spans="1:37" s="253" customFormat="1" ht="24.95" customHeight="1" thickTop="1">
      <c r="A42" s="510"/>
      <c r="B42" s="623" t="s">
        <v>217</v>
      </c>
      <c r="C42" s="511" t="s">
        <v>534</v>
      </c>
      <c r="D42" s="512"/>
      <c r="E42" s="513"/>
      <c r="F42" s="845" t="s">
        <v>857</v>
      </c>
      <c r="I42" s="281"/>
      <c r="J42" s="531">
        <f>(1-(1-J41)*(1-J31)*(1-J36)*(1-J18))</f>
        <v>5.8881250000000107E-2</v>
      </c>
      <c r="K42" s="531">
        <f t="shared" ref="K42:AG42" si="0">(1-(1-K41)*(1-K31)*(1-K36)*(1-K18))</f>
        <v>5.8881250000000107E-2</v>
      </c>
      <c r="L42" s="531">
        <f t="shared" si="0"/>
        <v>5.8881250000000107E-2</v>
      </c>
      <c r="M42" s="531">
        <f t="shared" si="0"/>
        <v>3.4750000000000059E-2</v>
      </c>
      <c r="N42" s="531">
        <f>(1-(1-N41)*(1-N31)*(1-N36)*(1-N18))</f>
        <v>3.4750000000000059E-2</v>
      </c>
      <c r="O42" s="531">
        <f t="shared" si="0"/>
        <v>3.4750000000000059E-2</v>
      </c>
      <c r="P42" s="531">
        <f t="shared" si="0"/>
        <v>3.4750000000000059E-2</v>
      </c>
      <c r="Q42" s="531">
        <f t="shared" si="0"/>
        <v>3.4750000000000059E-2</v>
      </c>
      <c r="R42" s="531">
        <f>(1-(1-R41)*(1-R31)*(1-R36)*(1-R18))</f>
        <v>3.4750000000000059E-2</v>
      </c>
      <c r="S42" s="531">
        <f t="shared" si="0"/>
        <v>3.4750000000000059E-2</v>
      </c>
      <c r="T42" s="531">
        <f t="shared" si="0"/>
        <v>3.4750000000000059E-2</v>
      </c>
      <c r="U42" s="532">
        <f t="shared" si="0"/>
        <v>3.4750000000000059E-2</v>
      </c>
      <c r="V42" s="533">
        <f>(1-(1-V41)*(1-V31)*(1-V36)*(1-V18))</f>
        <v>8.7620000000000031E-2</v>
      </c>
      <c r="W42" s="531">
        <f>(1-(1-W41)*(1-W31)*(1-W36)*(1-W18))</f>
        <v>6.9000000000000061E-2</v>
      </c>
      <c r="X42" s="531">
        <f>(1-(1-X41)*(1-X31)*(1-X36)*(1-X18))</f>
        <v>6.9000000000000061E-2</v>
      </c>
      <c r="Y42" s="531">
        <f t="shared" si="0"/>
        <v>7.8309999999999991E-2</v>
      </c>
      <c r="Z42" s="531">
        <f t="shared" si="0"/>
        <v>0.11555000000000004</v>
      </c>
      <c r="AA42" s="531">
        <f t="shared" si="0"/>
        <v>6.9000000000000061E-2</v>
      </c>
      <c r="AB42" s="531">
        <f>(1-(1-AB41)*(1-AB31)*(1-AB36)*(1-AB18))</f>
        <v>7.8309999999999991E-2</v>
      </c>
      <c r="AC42" s="531">
        <f t="shared" si="0"/>
        <v>6.9000000000000061E-2</v>
      </c>
      <c r="AD42" s="531">
        <f t="shared" si="0"/>
        <v>0.11555000000000004</v>
      </c>
      <c r="AE42" s="531">
        <f t="shared" si="0"/>
        <v>6.9000000000000061E-2</v>
      </c>
      <c r="AF42" s="531">
        <f t="shared" si="0"/>
        <v>6.9000000000000061E-2</v>
      </c>
      <c r="AG42" s="532">
        <f t="shared" si="0"/>
        <v>6.9000000000000061E-2</v>
      </c>
      <c r="AH42" s="280"/>
      <c r="AI42" s="332"/>
      <c r="AJ42" s="352"/>
      <c r="AK42" s="352"/>
    </row>
    <row r="43" spans="1:37" s="232" customFormat="1" ht="24.95" customHeight="1">
      <c r="A43" s="274"/>
      <c r="B43" s="258" t="s">
        <v>218</v>
      </c>
      <c r="C43" s="259" t="s">
        <v>370</v>
      </c>
      <c r="D43" s="4"/>
      <c r="E43" s="248"/>
      <c r="F43" s="845" t="s">
        <v>857</v>
      </c>
      <c r="I43" s="262"/>
      <c r="J43" s="534"/>
      <c r="K43" s="531">
        <f>J42*J12+K42*K12+L42*L12</f>
        <v>5.8881250000000107E-2</v>
      </c>
      <c r="L43" s="534"/>
      <c r="M43" s="534"/>
      <c r="N43" s="531">
        <f>M42*M12+N42*N12+O42*O12</f>
        <v>3.4750000000000059E-2</v>
      </c>
      <c r="O43" s="534"/>
      <c r="P43" s="534"/>
      <c r="Q43" s="531">
        <f>P42*P12+Q42*Q12+R42*R12</f>
        <v>3.4750000000000059E-2</v>
      </c>
      <c r="R43" s="534"/>
      <c r="S43" s="534"/>
      <c r="T43" s="531">
        <f>S42*S12+T42*T12+U42*U12</f>
        <v>3.4750000000000059E-2</v>
      </c>
      <c r="U43" s="535"/>
      <c r="V43" s="534"/>
      <c r="W43" s="531">
        <f>V42*V12+W42*W12+X42*X12</f>
        <v>7.8310000000000046E-2</v>
      </c>
      <c r="X43" s="534"/>
      <c r="Y43" s="534"/>
      <c r="Z43" s="531">
        <f>Y42*Y12+Z42*Z12+AA42*AA12</f>
        <v>8.9482000000000048E-2</v>
      </c>
      <c r="AA43" s="534"/>
      <c r="AB43" s="534"/>
      <c r="AC43" s="531">
        <f>AB42*AB12+AC42*AC12+AD42*AD12</f>
        <v>7.8309999999999991E-2</v>
      </c>
      <c r="AD43" s="534"/>
      <c r="AE43" s="534"/>
      <c r="AF43" s="531">
        <f>AE42*AE12+AF42*AF12+AG42*AG12</f>
        <v>6.9000000000000061E-2</v>
      </c>
      <c r="AG43" s="535"/>
      <c r="AH43" s="237"/>
      <c r="AI43" s="336"/>
      <c r="AJ43" s="290"/>
      <c r="AK43" s="290"/>
    </row>
    <row r="44" spans="1:37" s="232" customFormat="1" ht="24.95" customHeight="1" thickBot="1">
      <c r="A44" s="514"/>
      <c r="B44" s="515" t="s">
        <v>219</v>
      </c>
      <c r="C44" s="369" t="s">
        <v>371</v>
      </c>
      <c r="D44" s="211"/>
      <c r="E44" s="294"/>
      <c r="F44" s="845" t="s">
        <v>857</v>
      </c>
      <c r="G44" s="247"/>
      <c r="H44" s="247"/>
      <c r="I44" s="283"/>
      <c r="J44" s="536"/>
      <c r="K44" s="537">
        <f>1-K43</f>
        <v>0.94111874999999989</v>
      </c>
      <c r="L44" s="536"/>
      <c r="M44" s="536"/>
      <c r="N44" s="537">
        <f>1-N43</f>
        <v>0.96524999999999994</v>
      </c>
      <c r="O44" s="536"/>
      <c r="P44" s="536"/>
      <c r="Q44" s="537">
        <f>1-Q43</f>
        <v>0.96524999999999994</v>
      </c>
      <c r="R44" s="536"/>
      <c r="S44" s="536"/>
      <c r="T44" s="537">
        <f>1-T43</f>
        <v>0.96524999999999994</v>
      </c>
      <c r="U44" s="538"/>
      <c r="V44" s="536"/>
      <c r="W44" s="537">
        <f>1-W43</f>
        <v>0.9216899999999999</v>
      </c>
      <c r="X44" s="536"/>
      <c r="Y44" s="536"/>
      <c r="Z44" s="537">
        <f>1-Z43</f>
        <v>0.91051799999999994</v>
      </c>
      <c r="AA44" s="536"/>
      <c r="AB44" s="536"/>
      <c r="AC44" s="537">
        <f>1-AC43</f>
        <v>0.92169000000000001</v>
      </c>
      <c r="AD44" s="536"/>
      <c r="AE44" s="536"/>
      <c r="AF44" s="537">
        <f>1-AF43</f>
        <v>0.93099999999999994</v>
      </c>
      <c r="AG44" s="538"/>
      <c r="AH44" s="237"/>
      <c r="AI44" s="336"/>
      <c r="AJ44" s="290"/>
      <c r="AK44" s="290"/>
    </row>
    <row r="45" spans="1:37" s="232" customFormat="1" ht="13.5" thickTop="1">
      <c r="A45" s="16"/>
      <c r="B45" s="16"/>
      <c r="C45" s="16"/>
      <c r="D45" s="16"/>
      <c r="E45" s="16"/>
      <c r="F45" s="253"/>
      <c r="G45" s="499"/>
      <c r="H45" s="253"/>
      <c r="I45" s="253"/>
      <c r="J45" s="499"/>
      <c r="K45" s="253"/>
      <c r="L45" s="253"/>
      <c r="M45" s="253"/>
      <c r="N45" s="253"/>
      <c r="O45" s="253"/>
      <c r="P45" s="253"/>
      <c r="Q45" s="253"/>
      <c r="R45" s="253"/>
      <c r="S45" s="499"/>
      <c r="T45" s="253"/>
      <c r="U45" s="253"/>
      <c r="V45" s="253"/>
      <c r="W45" s="253"/>
      <c r="X45" s="253"/>
      <c r="Y45" s="253"/>
      <c r="Z45" s="253"/>
      <c r="AA45" s="253"/>
      <c r="AB45" s="499"/>
      <c r="AC45" s="500"/>
      <c r="AD45" s="500"/>
      <c r="AE45" s="253"/>
      <c r="AF45" s="253"/>
      <c r="AG45" s="253"/>
      <c r="AH45" s="237"/>
      <c r="AI45" s="290"/>
      <c r="AJ45" s="290"/>
      <c r="AK45" s="290"/>
    </row>
    <row r="46" spans="1:37" s="2" customFormat="1" ht="12.75">
      <c r="G46" s="232"/>
      <c r="H46" s="232"/>
      <c r="J46" s="1455"/>
      <c r="W46" s="1470">
        <f>+W43*0.42+Z43*0.43+AC43*0.07+AF43*0.07</f>
        <v>8.1679160000000042E-2</v>
      </c>
      <c r="AH46" s="50"/>
      <c r="AI46" s="326"/>
      <c r="AJ46" s="326"/>
      <c r="AK46" s="326"/>
    </row>
    <row r="47" spans="1:37">
      <c r="E47" s="199"/>
      <c r="F47" s="199"/>
      <c r="I47" s="199"/>
      <c r="J47" s="199"/>
      <c r="L47" s="199"/>
      <c r="M47" s="199"/>
      <c r="N47" s="199"/>
      <c r="O47" s="199"/>
      <c r="P47" s="199"/>
      <c r="Q47" s="199"/>
      <c r="R47" s="199"/>
      <c r="S47" s="199"/>
      <c r="U47" s="199"/>
      <c r="V47" s="199"/>
      <c r="W47" s="199"/>
      <c r="X47" s="199"/>
      <c r="Y47" s="199"/>
      <c r="Z47" s="199"/>
      <c r="AA47" s="199"/>
      <c r="AB47" s="199"/>
      <c r="AD47" s="199"/>
      <c r="AE47" s="199"/>
      <c r="AG47" s="199"/>
      <c r="AI47" s="354"/>
    </row>
    <row r="48" spans="1:37">
      <c r="E48" s="199"/>
      <c r="F48" s="199"/>
      <c r="I48" s="199"/>
      <c r="J48" s="199"/>
      <c r="L48" s="199"/>
      <c r="M48" s="199"/>
      <c r="N48" s="199"/>
      <c r="O48" s="199"/>
      <c r="P48" s="199"/>
      <c r="Q48" s="199"/>
      <c r="R48" s="199"/>
      <c r="S48" s="199"/>
      <c r="U48" s="199"/>
      <c r="V48" s="199"/>
      <c r="W48" s="199"/>
      <c r="X48" s="199"/>
      <c r="Y48" s="199"/>
      <c r="Z48" s="199"/>
      <c r="AA48" s="199"/>
      <c r="AB48" s="199"/>
      <c r="AD48" s="199"/>
      <c r="AE48" s="199"/>
      <c r="AG48" s="199"/>
      <c r="AI48" s="354"/>
    </row>
    <row r="49" spans="5:35">
      <c r="E49" s="199"/>
      <c r="F49" s="199"/>
      <c r="I49" s="199"/>
      <c r="J49" s="199"/>
      <c r="L49" s="199"/>
      <c r="M49" s="199"/>
      <c r="N49" s="199"/>
      <c r="O49" s="199"/>
      <c r="P49" s="199"/>
      <c r="Q49" s="199"/>
      <c r="R49" s="199"/>
      <c r="S49" s="199"/>
      <c r="U49" s="199"/>
      <c r="V49" s="199"/>
      <c r="W49" s="199"/>
      <c r="X49" s="199"/>
      <c r="Y49" s="199"/>
      <c r="Z49" s="199"/>
      <c r="AA49" s="199"/>
      <c r="AB49" s="199"/>
      <c r="AD49" s="199"/>
      <c r="AE49" s="199"/>
      <c r="AG49" s="199"/>
      <c r="AI49" s="354"/>
    </row>
    <row r="50" spans="5:35">
      <c r="E50" s="199"/>
      <c r="F50" s="199"/>
      <c r="I50" s="199"/>
      <c r="J50" s="199"/>
      <c r="L50" s="199"/>
      <c r="M50" s="199"/>
      <c r="N50" s="199"/>
      <c r="O50" s="199"/>
      <c r="P50" s="199"/>
      <c r="Q50" s="199"/>
      <c r="R50" s="199"/>
      <c r="S50" s="199"/>
      <c r="U50" s="199"/>
      <c r="V50" s="199"/>
      <c r="W50" s="199"/>
      <c r="X50" s="199"/>
      <c r="Y50" s="199"/>
      <c r="Z50" s="199"/>
      <c r="AA50" s="199"/>
      <c r="AB50" s="199"/>
      <c r="AD50" s="199"/>
      <c r="AE50" s="199"/>
      <c r="AG50" s="199"/>
      <c r="AI50" s="354"/>
    </row>
    <row r="51" spans="5:35">
      <c r="E51" s="199"/>
      <c r="F51" s="199"/>
      <c r="I51" s="199"/>
      <c r="J51" s="199"/>
      <c r="L51" s="199"/>
      <c r="M51" s="199"/>
      <c r="N51" s="199"/>
      <c r="O51" s="199"/>
      <c r="P51" s="199"/>
      <c r="Q51" s="199"/>
      <c r="R51" s="199"/>
      <c r="S51" s="199"/>
      <c r="U51" s="199"/>
      <c r="V51" s="199"/>
      <c r="W51" s="199"/>
      <c r="X51" s="199"/>
      <c r="Y51" s="199"/>
      <c r="Z51" s="199"/>
      <c r="AA51" s="199"/>
      <c r="AB51" s="199"/>
      <c r="AD51" s="199"/>
      <c r="AE51" s="199"/>
      <c r="AG51" s="199"/>
      <c r="AI51" s="354"/>
    </row>
    <row r="52" spans="5:35">
      <c r="E52" s="199"/>
      <c r="F52" s="199"/>
      <c r="I52" s="199"/>
      <c r="J52" s="199"/>
      <c r="L52" s="199"/>
      <c r="M52" s="199"/>
      <c r="N52" s="199"/>
      <c r="O52" s="199"/>
      <c r="P52" s="199"/>
      <c r="Q52" s="199"/>
      <c r="R52" s="199"/>
      <c r="S52" s="199"/>
      <c r="U52" s="199"/>
      <c r="V52" s="199"/>
      <c r="W52" s="199"/>
      <c r="X52" s="199"/>
      <c r="Y52" s="199"/>
      <c r="Z52" s="199"/>
      <c r="AA52" s="199"/>
      <c r="AB52" s="199"/>
      <c r="AD52" s="199"/>
      <c r="AE52" s="199"/>
      <c r="AG52" s="199"/>
      <c r="AI52" s="354"/>
    </row>
    <row r="53" spans="5:35">
      <c r="E53" s="199"/>
      <c r="F53" s="199"/>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199"/>
      <c r="AG53" s="199"/>
      <c r="AI53" s="354"/>
    </row>
    <row r="54" spans="5:35">
      <c r="E54" s="199"/>
      <c r="F54" s="199"/>
      <c r="I54" s="199"/>
      <c r="J54" s="199"/>
      <c r="L54" s="199"/>
      <c r="M54" s="199"/>
      <c r="N54" s="199"/>
      <c r="O54" s="199"/>
      <c r="P54" s="199"/>
      <c r="Q54" s="199"/>
      <c r="R54" s="199"/>
      <c r="S54" s="199"/>
      <c r="U54" s="199"/>
      <c r="V54" s="199"/>
      <c r="W54" s="199"/>
      <c r="X54" s="199"/>
      <c r="Y54" s="199"/>
      <c r="Z54" s="199"/>
      <c r="AA54" s="199"/>
      <c r="AB54" s="199"/>
      <c r="AD54" s="199"/>
      <c r="AE54" s="199"/>
      <c r="AG54" s="199"/>
      <c r="AI54" s="354"/>
    </row>
    <row r="55" spans="5:35">
      <c r="E55" s="199"/>
      <c r="F55" s="199"/>
      <c r="I55" s="199"/>
      <c r="J55" s="199"/>
      <c r="L55" s="199"/>
      <c r="M55" s="199"/>
      <c r="N55" s="199"/>
      <c r="O55" s="199"/>
      <c r="P55" s="199"/>
      <c r="Q55" s="199"/>
      <c r="R55" s="199"/>
      <c r="S55" s="199"/>
      <c r="U55" s="199"/>
      <c r="V55" s="199"/>
      <c r="W55" s="199"/>
      <c r="X55" s="199"/>
      <c r="Y55" s="199"/>
      <c r="Z55" s="199"/>
      <c r="AA55" s="199"/>
      <c r="AB55" s="199"/>
      <c r="AD55" s="199"/>
      <c r="AE55" s="199"/>
      <c r="AG55" s="199"/>
      <c r="AI55" s="354"/>
    </row>
    <row r="56" spans="5:35">
      <c r="E56" s="199"/>
      <c r="F56" s="199"/>
      <c r="I56" s="199"/>
      <c r="J56" s="199"/>
      <c r="L56" s="199"/>
      <c r="M56" s="199"/>
      <c r="N56" s="199"/>
      <c r="O56" s="199"/>
      <c r="P56" s="199"/>
      <c r="Q56" s="199"/>
      <c r="R56" s="199"/>
      <c r="S56" s="199"/>
      <c r="U56" s="199"/>
      <c r="V56" s="199"/>
      <c r="W56" s="199"/>
      <c r="X56" s="199"/>
      <c r="Y56" s="199"/>
      <c r="Z56" s="199"/>
      <c r="AA56" s="199"/>
      <c r="AB56" s="199"/>
      <c r="AD56" s="199"/>
      <c r="AE56" s="199"/>
      <c r="AG56" s="199"/>
      <c r="AI56" s="354"/>
    </row>
    <row r="57" spans="5:35">
      <c r="E57" s="199"/>
      <c r="F57" s="199"/>
      <c r="I57" s="199"/>
      <c r="J57" s="199"/>
      <c r="L57" s="199"/>
      <c r="M57" s="199"/>
      <c r="N57" s="199"/>
      <c r="O57" s="199"/>
      <c r="P57" s="199"/>
      <c r="Q57" s="199"/>
      <c r="R57" s="199"/>
      <c r="S57" s="199"/>
      <c r="U57" s="199"/>
      <c r="V57" s="199"/>
      <c r="W57" s="199"/>
      <c r="X57" s="199"/>
      <c r="Y57" s="199"/>
      <c r="Z57" s="199"/>
      <c r="AA57" s="199"/>
      <c r="AB57" s="199"/>
      <c r="AD57" s="199"/>
      <c r="AE57" s="199"/>
      <c r="AG57" s="199"/>
      <c r="AI57" s="354"/>
    </row>
    <row r="58" spans="5:35">
      <c r="E58" s="199"/>
      <c r="F58" s="199"/>
      <c r="I58" s="199"/>
      <c r="J58" s="199"/>
      <c r="L58" s="199"/>
      <c r="M58" s="199"/>
      <c r="N58" s="199"/>
      <c r="O58" s="199"/>
      <c r="P58" s="199"/>
      <c r="Q58" s="199"/>
      <c r="R58" s="199"/>
      <c r="S58" s="199"/>
      <c r="U58" s="199"/>
      <c r="V58" s="199"/>
      <c r="W58" s="199"/>
      <c r="X58" s="199"/>
      <c r="Y58" s="199"/>
      <c r="Z58" s="199"/>
      <c r="AA58" s="199"/>
      <c r="AB58" s="199"/>
      <c r="AD58" s="199"/>
      <c r="AE58" s="199"/>
      <c r="AG58" s="199"/>
      <c r="AI58" s="354"/>
    </row>
    <row r="59" spans="5:35">
      <c r="E59" s="199"/>
      <c r="F59" s="199"/>
      <c r="I59" s="199"/>
      <c r="J59" s="199"/>
      <c r="L59" s="199"/>
      <c r="M59" s="199"/>
      <c r="N59" s="199"/>
      <c r="O59" s="199"/>
      <c r="P59" s="199"/>
      <c r="Q59" s="199"/>
      <c r="R59" s="199"/>
      <c r="S59" s="199"/>
      <c r="U59" s="199"/>
      <c r="V59" s="199"/>
      <c r="W59" s="199"/>
      <c r="X59" s="199"/>
      <c r="Y59" s="199"/>
      <c r="Z59" s="199"/>
      <c r="AA59" s="199"/>
      <c r="AB59" s="199"/>
      <c r="AD59" s="199"/>
      <c r="AE59" s="199"/>
      <c r="AG59" s="199"/>
      <c r="AI59" s="354"/>
    </row>
    <row r="60" spans="5:35">
      <c r="E60" s="199"/>
      <c r="F60" s="199"/>
      <c r="I60" s="199"/>
      <c r="J60" s="199"/>
      <c r="L60" s="199"/>
      <c r="M60" s="199"/>
      <c r="N60" s="199"/>
      <c r="O60" s="199"/>
      <c r="P60" s="199"/>
      <c r="Q60" s="199"/>
      <c r="R60" s="199"/>
      <c r="S60" s="199"/>
      <c r="U60" s="199"/>
      <c r="V60" s="199"/>
      <c r="W60" s="199"/>
      <c r="X60" s="199"/>
      <c r="Y60" s="199"/>
      <c r="Z60" s="199"/>
      <c r="AA60" s="199"/>
      <c r="AB60" s="199"/>
      <c r="AD60" s="199"/>
      <c r="AE60" s="199"/>
      <c r="AG60" s="199"/>
      <c r="AI60" s="354"/>
    </row>
    <row r="61" spans="5:35">
      <c r="E61" s="199"/>
      <c r="F61" s="199"/>
      <c r="I61" s="199"/>
      <c r="J61" s="199"/>
      <c r="L61" s="199"/>
      <c r="M61" s="199"/>
      <c r="N61" s="199"/>
      <c r="O61" s="199"/>
      <c r="P61" s="199"/>
      <c r="Q61" s="199"/>
      <c r="R61" s="199"/>
      <c r="S61" s="199"/>
      <c r="U61" s="199"/>
      <c r="V61" s="199"/>
      <c r="W61" s="199"/>
      <c r="X61" s="199"/>
      <c r="Y61" s="199"/>
      <c r="Z61" s="199"/>
      <c r="AA61" s="199"/>
      <c r="AB61" s="199"/>
      <c r="AD61" s="199"/>
      <c r="AE61" s="199"/>
      <c r="AG61" s="199"/>
      <c r="AI61" s="354"/>
    </row>
    <row r="62" spans="5:35">
      <c r="E62" s="199"/>
      <c r="F62" s="199"/>
      <c r="I62" s="199"/>
      <c r="J62" s="199"/>
      <c r="L62" s="199"/>
      <c r="M62" s="199"/>
      <c r="N62" s="199"/>
      <c r="O62" s="199"/>
      <c r="P62" s="199"/>
      <c r="Q62" s="199"/>
      <c r="R62" s="199"/>
      <c r="S62" s="199"/>
      <c r="U62" s="199"/>
      <c r="V62" s="199"/>
      <c r="W62" s="199"/>
      <c r="X62" s="199"/>
      <c r="Y62" s="199"/>
      <c r="Z62" s="199"/>
      <c r="AA62" s="199"/>
      <c r="AB62" s="199"/>
      <c r="AD62" s="199"/>
      <c r="AE62" s="199"/>
      <c r="AG62" s="199"/>
      <c r="AI62" s="354"/>
    </row>
    <row r="63" spans="5:35">
      <c r="E63" s="199"/>
      <c r="F63" s="199"/>
      <c r="I63" s="199"/>
      <c r="J63" s="199"/>
      <c r="L63" s="199"/>
      <c r="M63" s="199"/>
      <c r="N63" s="199"/>
      <c r="O63" s="199"/>
      <c r="P63" s="199"/>
      <c r="Q63" s="199"/>
      <c r="R63" s="199"/>
      <c r="S63" s="199"/>
      <c r="U63" s="199"/>
      <c r="V63" s="199"/>
      <c r="W63" s="199"/>
      <c r="X63" s="199"/>
      <c r="Y63" s="199"/>
      <c r="Z63" s="199"/>
      <c r="AA63" s="199"/>
      <c r="AB63" s="199"/>
      <c r="AD63" s="199"/>
      <c r="AE63" s="199"/>
      <c r="AG63" s="199"/>
      <c r="AI63" s="354"/>
    </row>
    <row r="64" spans="5:35">
      <c r="E64" s="199"/>
      <c r="F64" s="199"/>
      <c r="I64" s="199"/>
      <c r="J64" s="199"/>
      <c r="L64" s="199"/>
      <c r="M64" s="199"/>
      <c r="N64" s="199"/>
      <c r="O64" s="199"/>
      <c r="P64" s="199"/>
      <c r="Q64" s="199"/>
      <c r="R64" s="199"/>
      <c r="S64" s="199"/>
      <c r="U64" s="199"/>
      <c r="V64" s="199"/>
      <c r="W64" s="199"/>
      <c r="X64" s="199"/>
      <c r="Y64" s="199"/>
      <c r="Z64" s="199"/>
      <c r="AA64" s="199"/>
      <c r="AB64" s="199"/>
      <c r="AD64" s="199"/>
      <c r="AE64" s="199"/>
      <c r="AG64" s="199"/>
      <c r="AI64" s="354"/>
    </row>
    <row r="65" spans="5:35" ht="28.5" customHeight="1">
      <c r="E65" s="199"/>
      <c r="F65" s="199"/>
      <c r="I65" s="199"/>
      <c r="J65" s="199"/>
      <c r="L65" s="199"/>
      <c r="M65" s="199"/>
      <c r="N65" s="199"/>
      <c r="O65" s="199"/>
      <c r="P65" s="199"/>
      <c r="Q65" s="199"/>
      <c r="R65" s="199"/>
      <c r="S65" s="199"/>
      <c r="U65" s="199"/>
      <c r="V65" s="199"/>
      <c r="W65" s="199"/>
      <c r="X65" s="199"/>
      <c r="Y65" s="199"/>
      <c r="Z65" s="199"/>
      <c r="AA65" s="199"/>
      <c r="AB65" s="199"/>
      <c r="AD65" s="199"/>
      <c r="AE65" s="199"/>
      <c r="AG65" s="199"/>
      <c r="AI65" s="354"/>
    </row>
    <row r="66" spans="5:35" ht="14.25" customHeight="1">
      <c r="E66" s="199"/>
      <c r="F66" s="199"/>
      <c r="I66" s="199"/>
      <c r="J66" s="199"/>
      <c r="L66" s="199"/>
      <c r="M66" s="199"/>
      <c r="N66" s="199"/>
      <c r="O66" s="199"/>
      <c r="P66" s="199"/>
      <c r="Q66" s="199"/>
      <c r="R66" s="199"/>
      <c r="S66" s="199"/>
      <c r="U66" s="199"/>
      <c r="V66" s="199"/>
      <c r="W66" s="199"/>
      <c r="X66" s="199"/>
      <c r="Y66" s="199"/>
      <c r="Z66" s="199"/>
      <c r="AA66" s="199"/>
      <c r="AB66" s="199"/>
      <c r="AD66" s="199"/>
      <c r="AE66" s="199"/>
      <c r="AG66" s="199"/>
      <c r="AI66" s="354"/>
    </row>
    <row r="67" spans="5:35" ht="14.25" customHeight="1">
      <c r="E67" s="199"/>
      <c r="F67" s="199"/>
      <c r="I67" s="199"/>
      <c r="J67" s="199"/>
      <c r="L67" s="199"/>
      <c r="M67" s="199"/>
      <c r="N67" s="199"/>
      <c r="O67" s="199"/>
      <c r="P67" s="199"/>
      <c r="Q67" s="199"/>
      <c r="R67" s="199"/>
      <c r="S67" s="199"/>
      <c r="U67" s="199"/>
      <c r="V67" s="199"/>
      <c r="W67" s="199"/>
      <c r="X67" s="199"/>
      <c r="Y67" s="199"/>
      <c r="Z67" s="199"/>
      <c r="AA67" s="199"/>
      <c r="AB67" s="199"/>
      <c r="AD67" s="199"/>
      <c r="AE67" s="199"/>
      <c r="AG67" s="199"/>
      <c r="AI67" s="354"/>
    </row>
    <row r="68" spans="5:35">
      <c r="E68" s="199"/>
      <c r="F68" s="199"/>
      <c r="I68" s="199"/>
      <c r="J68" s="199"/>
      <c r="L68" s="199"/>
      <c r="M68" s="199"/>
      <c r="N68" s="199"/>
      <c r="O68" s="199"/>
      <c r="P68" s="199"/>
      <c r="Q68" s="199"/>
      <c r="R68" s="199"/>
      <c r="S68" s="199"/>
      <c r="U68" s="199"/>
      <c r="V68" s="199"/>
      <c r="W68" s="199"/>
      <c r="X68" s="199"/>
      <c r="Y68" s="199"/>
      <c r="Z68" s="199"/>
      <c r="AA68" s="199"/>
      <c r="AB68" s="199"/>
      <c r="AD68" s="199"/>
      <c r="AE68" s="199"/>
      <c r="AG68" s="199"/>
      <c r="AI68" s="354"/>
    </row>
    <row r="69" spans="5:35" ht="14.25" customHeight="1">
      <c r="E69" s="199"/>
      <c r="F69" s="199"/>
      <c r="I69" s="199"/>
      <c r="J69" s="199"/>
      <c r="L69" s="199"/>
      <c r="M69" s="199"/>
      <c r="N69" s="199"/>
      <c r="O69" s="199"/>
      <c r="P69" s="199"/>
      <c r="Q69" s="199"/>
      <c r="R69" s="199"/>
      <c r="S69" s="199"/>
      <c r="U69" s="199"/>
      <c r="V69" s="199"/>
      <c r="W69" s="199"/>
      <c r="X69" s="199"/>
      <c r="Y69" s="199"/>
      <c r="Z69" s="199"/>
      <c r="AA69" s="199"/>
      <c r="AB69" s="199"/>
      <c r="AD69" s="199"/>
      <c r="AE69" s="199"/>
      <c r="AG69" s="199"/>
      <c r="AI69" s="354"/>
    </row>
    <row r="70" spans="5:35">
      <c r="E70" s="199"/>
      <c r="F70" s="199"/>
      <c r="I70" s="199"/>
      <c r="J70" s="199"/>
      <c r="L70" s="199"/>
      <c r="M70" s="199"/>
      <c r="N70" s="199"/>
      <c r="O70" s="199"/>
      <c r="P70" s="199"/>
      <c r="Q70" s="199"/>
      <c r="R70" s="199"/>
      <c r="S70" s="199"/>
      <c r="U70" s="199"/>
      <c r="V70" s="199"/>
      <c r="W70" s="199"/>
      <c r="X70" s="199"/>
      <c r="Y70" s="199"/>
      <c r="Z70" s="199"/>
      <c r="AA70" s="199"/>
      <c r="AB70" s="199"/>
      <c r="AD70" s="199"/>
      <c r="AE70" s="199"/>
      <c r="AG70" s="199"/>
      <c r="AI70" s="354"/>
    </row>
    <row r="71" spans="5:35" ht="14.25" customHeight="1">
      <c r="E71" s="199"/>
      <c r="F71" s="199"/>
      <c r="I71" s="199"/>
      <c r="J71" s="199"/>
      <c r="L71" s="199"/>
      <c r="M71" s="199"/>
      <c r="N71" s="199"/>
      <c r="O71" s="199"/>
      <c r="P71" s="199"/>
      <c r="Q71" s="199"/>
      <c r="R71" s="199"/>
      <c r="S71" s="199"/>
      <c r="U71" s="199"/>
      <c r="V71" s="199"/>
      <c r="W71" s="199"/>
      <c r="X71" s="199"/>
      <c r="Y71" s="199"/>
      <c r="Z71" s="199"/>
      <c r="AA71" s="199"/>
      <c r="AB71" s="199"/>
      <c r="AD71" s="199"/>
      <c r="AE71" s="199"/>
      <c r="AG71" s="199"/>
      <c r="AI71" s="354"/>
    </row>
    <row r="72" spans="5:35">
      <c r="E72" s="199"/>
      <c r="F72" s="199"/>
      <c r="I72" s="199"/>
      <c r="J72" s="199"/>
      <c r="L72" s="199"/>
      <c r="M72" s="199"/>
      <c r="N72" s="199"/>
      <c r="O72" s="199"/>
      <c r="P72" s="199"/>
      <c r="Q72" s="199"/>
      <c r="R72" s="199"/>
      <c r="S72" s="199"/>
      <c r="U72" s="199"/>
      <c r="V72" s="199"/>
      <c r="W72" s="199"/>
      <c r="X72" s="199"/>
      <c r="Y72" s="199"/>
      <c r="Z72" s="199"/>
      <c r="AA72" s="199"/>
      <c r="AB72" s="199"/>
      <c r="AD72" s="199"/>
      <c r="AE72" s="199"/>
      <c r="AG72" s="199"/>
      <c r="AI72" s="354"/>
    </row>
    <row r="73" spans="5:35" ht="14.25" customHeight="1">
      <c r="E73" s="199"/>
      <c r="F73" s="199"/>
      <c r="I73" s="199"/>
      <c r="J73" s="199"/>
      <c r="L73" s="199"/>
      <c r="M73" s="199"/>
      <c r="N73" s="199"/>
      <c r="O73" s="199"/>
      <c r="P73" s="199"/>
      <c r="Q73" s="199"/>
      <c r="R73" s="199"/>
      <c r="S73" s="199"/>
      <c r="U73" s="199"/>
      <c r="V73" s="199"/>
      <c r="W73" s="199"/>
      <c r="X73" s="199"/>
      <c r="Y73" s="199"/>
      <c r="Z73" s="199"/>
      <c r="AA73" s="199"/>
      <c r="AB73" s="199"/>
      <c r="AD73" s="199"/>
      <c r="AE73" s="199"/>
      <c r="AG73" s="199"/>
      <c r="AI73" s="354"/>
    </row>
    <row r="74" spans="5:35">
      <c r="E74" s="199"/>
      <c r="F74" s="199"/>
      <c r="I74" s="199"/>
      <c r="J74" s="199"/>
      <c r="L74" s="199"/>
      <c r="M74" s="199"/>
      <c r="N74" s="199"/>
      <c r="O74" s="199"/>
      <c r="P74" s="199"/>
      <c r="Q74" s="199"/>
      <c r="R74" s="199"/>
      <c r="S74" s="199"/>
      <c r="U74" s="199"/>
      <c r="V74" s="199"/>
      <c r="W74" s="199"/>
      <c r="X74" s="199"/>
      <c r="Y74" s="199"/>
      <c r="Z74" s="199"/>
      <c r="AA74" s="199"/>
      <c r="AB74" s="199"/>
      <c r="AD74" s="199"/>
      <c r="AE74" s="199"/>
      <c r="AG74" s="199"/>
      <c r="AI74" s="354"/>
    </row>
    <row r="75" spans="5:35" ht="14.25" customHeight="1">
      <c r="E75" s="199"/>
      <c r="F75" s="199"/>
      <c r="I75" s="199"/>
      <c r="J75" s="199"/>
      <c r="L75" s="199"/>
      <c r="M75" s="199"/>
      <c r="N75" s="199"/>
      <c r="O75" s="199"/>
      <c r="P75" s="199"/>
      <c r="Q75" s="199"/>
      <c r="R75" s="199"/>
      <c r="S75" s="199"/>
      <c r="U75" s="199"/>
      <c r="V75" s="199"/>
      <c r="W75" s="199"/>
      <c r="X75" s="199"/>
      <c r="Y75" s="199"/>
      <c r="Z75" s="199"/>
      <c r="AA75" s="199"/>
      <c r="AB75" s="199"/>
      <c r="AD75" s="199"/>
      <c r="AE75" s="199"/>
      <c r="AG75" s="199"/>
      <c r="AI75" s="354"/>
    </row>
    <row r="76" spans="5:35">
      <c r="E76" s="199"/>
      <c r="F76" s="199"/>
      <c r="I76" s="199"/>
      <c r="J76" s="199"/>
      <c r="L76" s="199"/>
      <c r="M76" s="199"/>
      <c r="N76" s="199"/>
      <c r="O76" s="199"/>
      <c r="P76" s="199"/>
      <c r="Q76" s="199"/>
      <c r="R76" s="199"/>
      <c r="S76" s="199"/>
      <c r="U76" s="199"/>
      <c r="V76" s="199"/>
      <c r="W76" s="199"/>
      <c r="X76" s="199"/>
      <c r="Y76" s="199"/>
      <c r="Z76" s="199"/>
      <c r="AA76" s="199"/>
      <c r="AB76" s="199"/>
      <c r="AD76" s="199"/>
      <c r="AE76" s="199"/>
      <c r="AG76" s="199"/>
      <c r="AI76" s="354"/>
    </row>
    <row r="77" spans="5:35" ht="14.25" customHeight="1">
      <c r="E77" s="199"/>
      <c r="F77" s="199"/>
      <c r="I77" s="199"/>
      <c r="J77" s="199"/>
      <c r="L77" s="199"/>
      <c r="M77" s="199"/>
      <c r="N77" s="199"/>
      <c r="O77" s="199"/>
      <c r="P77" s="199"/>
      <c r="Q77" s="199"/>
      <c r="R77" s="199"/>
      <c r="S77" s="199"/>
      <c r="U77" s="199"/>
      <c r="V77" s="199"/>
      <c r="W77" s="199"/>
      <c r="X77" s="199"/>
      <c r="Y77" s="199"/>
      <c r="Z77" s="199"/>
      <c r="AA77" s="199"/>
      <c r="AB77" s="199"/>
      <c r="AD77" s="199"/>
      <c r="AE77" s="199"/>
      <c r="AG77" s="199"/>
      <c r="AI77" s="354"/>
    </row>
    <row r="78" spans="5:35">
      <c r="E78" s="199"/>
      <c r="F78" s="199"/>
      <c r="I78" s="199"/>
      <c r="J78" s="199"/>
      <c r="L78" s="199"/>
      <c r="M78" s="199"/>
      <c r="N78" s="199"/>
      <c r="O78" s="199"/>
      <c r="P78" s="199"/>
      <c r="Q78" s="199"/>
      <c r="R78" s="199"/>
      <c r="S78" s="199"/>
      <c r="U78" s="199"/>
      <c r="V78" s="199"/>
      <c r="W78" s="199"/>
      <c r="X78" s="199"/>
      <c r="Y78" s="199"/>
      <c r="Z78" s="199"/>
      <c r="AA78" s="199"/>
      <c r="AB78" s="199"/>
      <c r="AD78" s="199"/>
      <c r="AE78" s="199"/>
      <c r="AG78" s="199"/>
      <c r="AI78" s="354"/>
    </row>
    <row r="79" spans="5:35" ht="14.25" customHeight="1">
      <c r="E79" s="199"/>
      <c r="F79" s="199"/>
      <c r="I79" s="199"/>
      <c r="J79" s="199"/>
      <c r="L79" s="199"/>
      <c r="M79" s="199"/>
      <c r="N79" s="199"/>
      <c r="O79" s="199"/>
      <c r="P79" s="199"/>
      <c r="Q79" s="199"/>
      <c r="R79" s="199"/>
      <c r="S79" s="199"/>
      <c r="U79" s="199"/>
      <c r="V79" s="199"/>
      <c r="W79" s="199"/>
      <c r="X79" s="199"/>
      <c r="Y79" s="199"/>
      <c r="Z79" s="199"/>
      <c r="AA79" s="199"/>
      <c r="AB79" s="199"/>
      <c r="AD79" s="199"/>
      <c r="AE79" s="199"/>
      <c r="AG79" s="199"/>
      <c r="AI79" s="354"/>
    </row>
  </sheetData>
  <dataValidations count="1">
    <dataValidation type="list" allowBlank="1" showInputMessage="1" showErrorMessage="1" sqref="E15:E17 E38:E40 E28:E30 E24:E26 E20:E22 E33:E35" xr:uid="{00000000-0002-0000-0400-000000000000}">
      <formula1>$AT$1:$AT$5</formula1>
    </dataValidation>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W54"/>
  <sheetViews>
    <sheetView zoomScale="60" zoomScaleNormal="60" workbookViewId="0">
      <pane xSplit="5" ySplit="8" topLeftCell="F19" activePane="bottomRight" state="frozen"/>
      <selection pane="topRight" activeCell="F1" sqref="F1"/>
      <selection pane="bottomLeft" activeCell="A9" sqref="A9"/>
      <selection pane="bottomRight" activeCell="R1" sqref="R1"/>
    </sheetView>
  </sheetViews>
  <sheetFormatPr baseColWidth="10" defaultColWidth="9" defaultRowHeight="15" outlineLevelRow="1"/>
  <cols>
    <col min="1" max="1" width="2.625" style="78" customWidth="1"/>
    <col min="2" max="2" width="7.625" style="152" customWidth="1"/>
    <col min="3" max="3" width="15.625" style="78" customWidth="1"/>
    <col min="4" max="4" width="45.625" style="78" customWidth="1"/>
    <col min="5" max="5" width="15.625" style="153" customWidth="1"/>
    <col min="6" max="6" width="10.625" style="154" customWidth="1"/>
    <col min="7" max="8" width="10.625" style="78" customWidth="1"/>
    <col min="9" max="9" width="5.625" style="78" customWidth="1"/>
    <col min="10" max="12" width="10.625" style="78" customWidth="1"/>
    <col min="13" max="13" width="5.625" style="78" customWidth="1"/>
    <col min="14" max="15" width="10.625" style="367" customWidth="1"/>
    <col min="16" max="19" width="10.625" style="78" customWidth="1"/>
    <col min="20" max="16384" width="9" style="78"/>
  </cols>
  <sheetData>
    <row r="1" spans="1:23" s="6" customFormat="1" ht="15" customHeight="1" outlineLevel="1">
      <c r="A1" s="134"/>
      <c r="B1" s="135"/>
      <c r="C1" s="136"/>
      <c r="D1" s="137"/>
      <c r="E1" s="132" t="s">
        <v>237</v>
      </c>
      <c r="F1" s="92"/>
      <c r="G1" s="91"/>
      <c r="H1" s="91"/>
      <c r="I1" s="8"/>
      <c r="J1" s="93" t="s">
        <v>303</v>
      </c>
      <c r="N1" s="325" t="s">
        <v>447</v>
      </c>
      <c r="O1" s="323"/>
      <c r="Q1" s="93" t="s">
        <v>93</v>
      </c>
    </row>
    <row r="2" spans="1:23" s="6" customFormat="1" ht="15" customHeight="1" outlineLevel="1">
      <c r="A2" s="138"/>
      <c r="B2" s="139"/>
      <c r="C2" s="140"/>
      <c r="D2" s="141"/>
      <c r="E2" s="142" t="s">
        <v>100</v>
      </c>
      <c r="F2" s="615" t="str">
        <f>'Whole life model'!F2</f>
        <v>ARGENTINA</v>
      </c>
      <c r="G2" s="242"/>
      <c r="H2" s="243"/>
      <c r="I2" s="8"/>
      <c r="J2" s="79" t="s">
        <v>304</v>
      </c>
      <c r="N2" s="323"/>
      <c r="O2" s="323"/>
      <c r="Q2" s="80" t="s">
        <v>86</v>
      </c>
      <c r="R2" s="80"/>
      <c r="S2" s="89" t="s">
        <v>137</v>
      </c>
      <c r="T2" s="90"/>
    </row>
    <row r="3" spans="1:23" s="6" customFormat="1" ht="15" customHeight="1" outlineLevel="1">
      <c r="A3" s="138"/>
      <c r="B3" s="143"/>
      <c r="C3" s="140"/>
      <c r="D3" s="141"/>
      <c r="E3" s="142" t="s">
        <v>235</v>
      </c>
      <c r="F3" s="615" t="str">
        <f>'Whole life model'!F3</f>
        <v>AFCP</v>
      </c>
      <c r="G3" s="242"/>
      <c r="H3" s="243"/>
      <c r="I3" s="8"/>
      <c r="J3" s="79"/>
      <c r="N3" s="323"/>
      <c r="O3" s="323"/>
      <c r="Q3" s="81" t="s">
        <v>1</v>
      </c>
      <c r="R3" s="82"/>
      <c r="S3" s="85" t="s">
        <v>3</v>
      </c>
      <c r="T3" s="86"/>
    </row>
    <row r="4" spans="1:23" s="6" customFormat="1" ht="15" customHeight="1" outlineLevel="1">
      <c r="A4" s="138"/>
      <c r="B4" s="143"/>
      <c r="C4" s="140"/>
      <c r="D4" s="141"/>
      <c r="E4" s="452" t="s">
        <v>461</v>
      </c>
      <c r="F4" s="242" t="str">
        <f>'Whole life model'!F4</f>
        <v>FICEM and AFCP</v>
      </c>
      <c r="G4" s="242"/>
      <c r="H4" s="243"/>
      <c r="I4" s="8"/>
      <c r="J4" s="79"/>
      <c r="N4" s="323"/>
      <c r="O4" s="323"/>
      <c r="Q4" s="83" t="s">
        <v>2</v>
      </c>
      <c r="R4" s="84"/>
      <c r="S4" s="87" t="s">
        <v>0</v>
      </c>
      <c r="T4" s="88"/>
      <c r="V4" s="79"/>
      <c r="W4" s="79"/>
    </row>
    <row r="5" spans="1:23" s="6" customFormat="1" ht="15" customHeight="1" outlineLevel="1">
      <c r="A5" s="138"/>
      <c r="B5" s="143"/>
      <c r="C5" s="140"/>
      <c r="D5" s="141"/>
      <c r="E5" s="142" t="s">
        <v>102</v>
      </c>
      <c r="F5" s="242" t="str">
        <f>'Whole life model'!F5</f>
        <v>maria.lefevre@afcp.org.ar</v>
      </c>
      <c r="G5" s="242"/>
      <c r="H5" s="243"/>
      <c r="I5" s="8"/>
      <c r="J5" s="79"/>
      <c r="N5" s="323"/>
      <c r="O5" s="323"/>
      <c r="Q5" s="324" t="s">
        <v>391</v>
      </c>
      <c r="V5" s="79"/>
      <c r="W5" s="79"/>
    </row>
    <row r="6" spans="1:23" s="6" customFormat="1" ht="15" customHeight="1" outlineLevel="1">
      <c r="A6" s="138"/>
      <c r="B6" s="143"/>
      <c r="C6" s="140"/>
      <c r="D6" s="141"/>
      <c r="E6" s="142" t="s">
        <v>101</v>
      </c>
      <c r="F6" s="242" t="str">
        <f>'Whole life model'!F6</f>
        <v>Phone</v>
      </c>
      <c r="G6" s="242"/>
      <c r="H6" s="243"/>
      <c r="I6" s="8"/>
      <c r="J6" s="79"/>
      <c r="N6" s="323"/>
      <c r="O6" s="323"/>
    </row>
    <row r="7" spans="1:23" s="6" customFormat="1" ht="24.95" customHeight="1">
      <c r="A7" s="144"/>
      <c r="B7" s="125" t="str">
        <f>'Whole life model'!B7</f>
        <v xml:space="preserve">GCCA Roadmap Template </v>
      </c>
      <c r="C7" s="145"/>
      <c r="D7" s="125" t="str">
        <f>'Whole life model'!D7</f>
        <v>Version 202, 19.07.2022, ECRA</v>
      </c>
      <c r="E7" s="142" t="s">
        <v>98</v>
      </c>
      <c r="F7" s="34">
        <f>'Whole life model'!F7</f>
        <v>2020</v>
      </c>
      <c r="G7" s="34">
        <f>'Whole life model'!G7</f>
        <v>2030</v>
      </c>
      <c r="H7" s="34">
        <f>'Whole life model'!H7</f>
        <v>2050</v>
      </c>
      <c r="I7" s="9"/>
      <c r="J7" s="165" t="s">
        <v>307</v>
      </c>
      <c r="K7" s="165" t="s">
        <v>306</v>
      </c>
      <c r="L7" s="165" t="s">
        <v>308</v>
      </c>
      <c r="M7" s="6" t="s">
        <v>335</v>
      </c>
      <c r="N7" s="323"/>
      <c r="O7" s="323"/>
    </row>
    <row r="8" spans="1:23" s="76" customFormat="1" ht="24.95" customHeight="1" thickBot="1">
      <c r="A8" s="130"/>
      <c r="B8" s="155" t="s">
        <v>154</v>
      </c>
      <c r="C8" s="156" t="s">
        <v>96</v>
      </c>
      <c r="D8" s="130" t="s">
        <v>97</v>
      </c>
      <c r="E8" s="157" t="s">
        <v>90</v>
      </c>
      <c r="F8" s="19"/>
      <c r="G8" s="129" t="s">
        <v>178</v>
      </c>
      <c r="H8" s="128"/>
      <c r="J8" s="129" t="s">
        <v>305</v>
      </c>
      <c r="K8" s="169" t="s">
        <v>309</v>
      </c>
      <c r="L8" s="129" t="s">
        <v>305</v>
      </c>
      <c r="N8" s="357"/>
      <c r="O8" s="357"/>
      <c r="V8" s="131"/>
      <c r="W8" s="130"/>
    </row>
    <row r="9" spans="1:23" s="46" customFormat="1" ht="24.95" customHeight="1" thickTop="1">
      <c r="A9" s="15"/>
      <c r="B9" s="147" t="s">
        <v>87</v>
      </c>
      <c r="C9" s="177" t="s">
        <v>11</v>
      </c>
      <c r="D9" s="15"/>
      <c r="E9" s="192"/>
      <c r="F9" s="189"/>
      <c r="G9" s="179"/>
      <c r="H9" s="178"/>
      <c r="I9" s="15"/>
      <c r="J9" s="179"/>
      <c r="K9" s="180"/>
      <c r="L9" s="179"/>
      <c r="N9" s="360"/>
      <c r="O9" s="360"/>
      <c r="V9" s="181"/>
      <c r="W9" s="15"/>
    </row>
    <row r="10" spans="1:23" s="166" customFormat="1" ht="24.95" customHeight="1">
      <c r="B10" s="147" t="s">
        <v>274</v>
      </c>
      <c r="C10" s="148" t="s">
        <v>273</v>
      </c>
      <c r="E10" s="193"/>
      <c r="F10" s="185"/>
      <c r="N10" s="361"/>
      <c r="O10" s="361"/>
    </row>
    <row r="11" spans="1:23" s="166" customFormat="1" ht="24.95" customHeight="1">
      <c r="B11" s="159" t="s">
        <v>322</v>
      </c>
      <c r="C11" s="148"/>
      <c r="D11" s="167" t="s">
        <v>316</v>
      </c>
      <c r="E11" s="168" t="s">
        <v>290</v>
      </c>
      <c r="F11" s="822">
        <v>0.52500000000000002</v>
      </c>
      <c r="G11" s="822">
        <v>0.52500000000000002</v>
      </c>
      <c r="H11" s="822">
        <v>0.52500000000000002</v>
      </c>
      <c r="N11" s="362" t="s">
        <v>452</v>
      </c>
      <c r="O11" s="361"/>
    </row>
    <row r="12" spans="1:23" s="166" customFormat="1" ht="24.95" hidden="1" customHeight="1">
      <c r="B12" s="159" t="s">
        <v>323</v>
      </c>
      <c r="C12" s="148"/>
      <c r="D12" s="167" t="s">
        <v>338</v>
      </c>
      <c r="E12" s="168"/>
      <c r="F12" s="185"/>
      <c r="N12" s="361"/>
      <c r="O12" s="361"/>
    </row>
    <row r="13" spans="1:23" s="166" customFormat="1" ht="24.95" hidden="1" customHeight="1">
      <c r="B13" s="159" t="s">
        <v>324</v>
      </c>
      <c r="C13" s="148"/>
      <c r="D13" s="188"/>
      <c r="E13" s="168" t="s">
        <v>321</v>
      </c>
      <c r="F13" s="186"/>
      <c r="G13" s="187" t="s">
        <v>320</v>
      </c>
      <c r="H13" s="187" t="s">
        <v>320</v>
      </c>
      <c r="N13" s="363" t="s">
        <v>453</v>
      </c>
      <c r="O13" s="364"/>
    </row>
    <row r="14" spans="1:23" s="166" customFormat="1" ht="24.95" hidden="1" customHeight="1">
      <c r="B14" s="159" t="s">
        <v>325</v>
      </c>
      <c r="C14" s="148"/>
      <c r="D14" s="188"/>
      <c r="E14" s="168" t="s">
        <v>321</v>
      </c>
      <c r="F14" s="186"/>
      <c r="G14" s="187"/>
      <c r="H14" s="187" t="s">
        <v>320</v>
      </c>
      <c r="N14" s="363" t="s">
        <v>453</v>
      </c>
      <c r="O14" s="361"/>
    </row>
    <row r="15" spans="1:23" s="166" customFormat="1" ht="24.95" hidden="1" customHeight="1">
      <c r="B15" s="159" t="s">
        <v>326</v>
      </c>
      <c r="C15" s="148"/>
      <c r="D15" s="188"/>
      <c r="E15" s="168" t="s">
        <v>321</v>
      </c>
      <c r="F15" s="186"/>
      <c r="G15" s="187"/>
      <c r="H15" s="187"/>
      <c r="N15" s="363" t="s">
        <v>453</v>
      </c>
      <c r="O15" s="361"/>
    </row>
    <row r="16" spans="1:23" s="166" customFormat="1" ht="24.95" customHeight="1">
      <c r="B16" s="159" t="s">
        <v>327</v>
      </c>
      <c r="C16" s="148"/>
      <c r="D16" s="167" t="s">
        <v>339</v>
      </c>
      <c r="E16" s="168" t="s">
        <v>290</v>
      </c>
      <c r="F16" s="195">
        <f>0.002*1.55*3.664</f>
        <v>1.1358400000000001E-2</v>
      </c>
      <c r="G16" s="195">
        <f>0.002*1.55*3.664</f>
        <v>1.1358400000000001E-2</v>
      </c>
      <c r="H16" s="195">
        <f>0.002*1.55*3.664</f>
        <v>1.1358400000000001E-2</v>
      </c>
      <c r="N16" s="363" t="s">
        <v>454</v>
      </c>
      <c r="O16" s="361"/>
    </row>
    <row r="17" spans="2:15" s="146" customFormat="1" ht="24.95" customHeight="1">
      <c r="B17" s="149" t="s">
        <v>275</v>
      </c>
      <c r="C17" s="158" t="s">
        <v>312</v>
      </c>
      <c r="D17" s="127"/>
      <c r="E17" s="133"/>
      <c r="F17" s="92"/>
      <c r="G17" s="91"/>
      <c r="H17" s="91"/>
      <c r="N17" s="363"/>
      <c r="O17" s="365"/>
    </row>
    <row r="18" spans="2:15" s="146" customFormat="1" ht="24.95" customHeight="1">
      <c r="B18" s="159" t="s">
        <v>276</v>
      </c>
      <c r="D18" s="127" t="s">
        <v>302</v>
      </c>
      <c r="E18" s="133" t="s">
        <v>294</v>
      </c>
      <c r="F18" s="880">
        <f>+'Resumen Ejes de Reduccion'!E105</f>
        <v>0</v>
      </c>
      <c r="G18" s="881">
        <f>+'Resumen Ejes de Reduccion'!F105</f>
        <v>0</v>
      </c>
      <c r="H18" s="881">
        <f>+'Resumen Ejes de Reduccion'!G105</f>
        <v>0</v>
      </c>
      <c r="J18" s="171">
        <v>96</v>
      </c>
      <c r="K18" s="173">
        <v>0</v>
      </c>
      <c r="L18" s="170">
        <f>J18*(1-K18)</f>
        <v>96</v>
      </c>
      <c r="N18" s="323" t="s">
        <v>455</v>
      </c>
      <c r="O18" s="365"/>
    </row>
    <row r="19" spans="2:15" s="146" customFormat="1" ht="24.95" customHeight="1">
      <c r="B19" s="159" t="s">
        <v>277</v>
      </c>
      <c r="D19" s="127" t="s">
        <v>299</v>
      </c>
      <c r="E19" s="133" t="s">
        <v>294</v>
      </c>
      <c r="F19" s="880">
        <f>+'Resumen Ejes de Reduccion'!E107</f>
        <v>0.11</v>
      </c>
      <c r="G19" s="881">
        <f>+'Resumen Ejes de Reduccion'!F107</f>
        <v>0.08</v>
      </c>
      <c r="H19" s="881">
        <f>+'Resumen Ejes de Reduccion'!G107</f>
        <v>0.02</v>
      </c>
      <c r="J19" s="171">
        <v>92.8</v>
      </c>
      <c r="K19" s="173">
        <v>0</v>
      </c>
      <c r="L19" s="170">
        <f>J19*(1-K19)</f>
        <v>92.8</v>
      </c>
      <c r="N19" s="323" t="s">
        <v>456</v>
      </c>
      <c r="O19" s="365"/>
    </row>
    <row r="20" spans="2:15" s="146" customFormat="1" ht="24.95" customHeight="1" thickBot="1">
      <c r="B20" s="159" t="s">
        <v>278</v>
      </c>
      <c r="D20" s="127" t="s">
        <v>298</v>
      </c>
      <c r="E20" s="133" t="s">
        <v>294</v>
      </c>
      <c r="F20" s="880">
        <f>+'Resumen Ejes de Reduccion'!E109</f>
        <v>0.82</v>
      </c>
      <c r="G20" s="880">
        <f>+'Resumen Ejes de Reduccion'!F109</f>
        <v>0.82</v>
      </c>
      <c r="H20" s="880">
        <f>+'Resumen Ejes de Reduccion'!G109</f>
        <v>0.75</v>
      </c>
      <c r="I20" s="130"/>
      <c r="J20" s="171">
        <v>56.1</v>
      </c>
      <c r="K20" s="173">
        <v>0</v>
      </c>
      <c r="L20" s="170">
        <f>J20*(1-K20)</f>
        <v>56.1</v>
      </c>
      <c r="N20" s="323" t="s">
        <v>457</v>
      </c>
      <c r="O20" s="365"/>
    </row>
    <row r="21" spans="2:15" s="146" customFormat="1" ht="24.95" customHeight="1" thickTop="1">
      <c r="B21" s="159" t="s">
        <v>279</v>
      </c>
      <c r="D21" s="127" t="s">
        <v>301</v>
      </c>
      <c r="E21" s="133" t="s">
        <v>294</v>
      </c>
      <c r="F21" s="880">
        <f>+'Resumen Ejes de Reduccion'!E112</f>
        <v>0.03</v>
      </c>
      <c r="G21" s="880">
        <f>+'Resumen Ejes de Reduccion'!F112</f>
        <v>0.05</v>
      </c>
      <c r="H21" s="880">
        <f>+'Resumen Ejes de Reduccion'!G112</f>
        <v>0.08</v>
      </c>
      <c r="J21" s="171">
        <v>80</v>
      </c>
      <c r="K21" s="173">
        <v>0</v>
      </c>
      <c r="L21" s="170">
        <f>J21*(1-K21)</f>
        <v>80</v>
      </c>
      <c r="N21" s="323" t="s">
        <v>531</v>
      </c>
      <c r="O21" s="365"/>
    </row>
    <row r="22" spans="2:15" s="146" customFormat="1" ht="24.95" customHeight="1">
      <c r="B22" s="159" t="s">
        <v>280</v>
      </c>
      <c r="D22" s="127" t="s">
        <v>300</v>
      </c>
      <c r="E22" s="133" t="s">
        <v>294</v>
      </c>
      <c r="F22" s="880">
        <f>+'Resumen Ejes de Reduccion'!E114</f>
        <v>0.04</v>
      </c>
      <c r="G22" s="880">
        <f>+'Resumen Ejes de Reduccion'!F114</f>
        <v>0.05</v>
      </c>
      <c r="H22" s="880">
        <f>+'Resumen Ejes de Reduccion'!G114</f>
        <v>0.1</v>
      </c>
      <c r="J22" s="172">
        <v>100</v>
      </c>
      <c r="K22" s="173">
        <v>1</v>
      </c>
      <c r="L22" s="170">
        <f>J22*(1-K22)</f>
        <v>0</v>
      </c>
      <c r="N22" s="323" t="s">
        <v>458</v>
      </c>
      <c r="O22" s="365"/>
    </row>
    <row r="23" spans="2:15" s="146" customFormat="1" ht="24.95" hidden="1" customHeight="1">
      <c r="B23" s="159" t="s">
        <v>281</v>
      </c>
      <c r="D23" s="127" t="s">
        <v>336</v>
      </c>
      <c r="E23" s="194"/>
      <c r="F23" s="190"/>
      <c r="N23" s="365"/>
      <c r="O23" s="365"/>
    </row>
    <row r="24" spans="2:15" s="146" customFormat="1" ht="24.95" customHeight="1">
      <c r="B24" s="159" t="s">
        <v>282</v>
      </c>
      <c r="D24" s="126" t="s">
        <v>826</v>
      </c>
      <c r="E24" s="133" t="s">
        <v>294</v>
      </c>
      <c r="F24" s="150">
        <f>+'Resumen Ejes de Reduccion'!E116</f>
        <v>0</v>
      </c>
      <c r="G24" s="45">
        <f>+'Resumen Ejes de Reduccion'!F116</f>
        <v>0</v>
      </c>
      <c r="H24" s="45">
        <f>+'Resumen Ejes de Reduccion'!G116</f>
        <v>0.05</v>
      </c>
      <c r="J24" s="171">
        <v>0</v>
      </c>
      <c r="K24" s="48">
        <v>0</v>
      </c>
      <c r="L24" s="170">
        <f t="shared" ref="L24:L29" si="0">J24*(1-K24)</f>
        <v>0</v>
      </c>
      <c r="N24" s="323" t="s">
        <v>333</v>
      </c>
      <c r="O24" s="365"/>
    </row>
    <row r="25" spans="2:15" s="146" customFormat="1" ht="24.95" hidden="1" customHeight="1">
      <c r="B25" s="159" t="s">
        <v>295</v>
      </c>
      <c r="D25" s="126"/>
      <c r="E25" s="133" t="s">
        <v>294</v>
      </c>
      <c r="F25" s="150">
        <v>0</v>
      </c>
      <c r="G25" s="45">
        <v>0</v>
      </c>
      <c r="H25" s="45">
        <v>0</v>
      </c>
      <c r="J25" s="171">
        <v>0</v>
      </c>
      <c r="K25" s="48">
        <v>0</v>
      </c>
      <c r="L25" s="170">
        <f t="shared" si="0"/>
        <v>0</v>
      </c>
      <c r="N25" s="448" t="s">
        <v>334</v>
      </c>
      <c r="O25" s="365"/>
    </row>
    <row r="26" spans="2:15" s="146" customFormat="1" ht="24.95" hidden="1" customHeight="1">
      <c r="B26" s="159" t="s">
        <v>296</v>
      </c>
      <c r="D26" s="711"/>
      <c r="E26" s="133" t="s">
        <v>294</v>
      </c>
      <c r="F26" s="150">
        <v>0</v>
      </c>
      <c r="G26" s="45">
        <v>0</v>
      </c>
      <c r="H26" s="45">
        <v>0</v>
      </c>
      <c r="J26" s="171">
        <v>0</v>
      </c>
      <c r="K26" s="48">
        <v>0</v>
      </c>
      <c r="L26" s="170">
        <f t="shared" si="0"/>
        <v>0</v>
      </c>
      <c r="N26" s="448" t="s">
        <v>310</v>
      </c>
      <c r="O26" s="365"/>
    </row>
    <row r="27" spans="2:15" s="146" customFormat="1" ht="24.95" hidden="1" customHeight="1">
      <c r="B27" s="159" t="s">
        <v>297</v>
      </c>
      <c r="D27" s="126"/>
      <c r="E27" s="133" t="s">
        <v>294</v>
      </c>
      <c r="F27" s="150">
        <v>0</v>
      </c>
      <c r="G27" s="45">
        <v>0</v>
      </c>
      <c r="H27" s="45">
        <v>0</v>
      </c>
      <c r="J27" s="171">
        <v>0</v>
      </c>
      <c r="K27" s="48">
        <v>1</v>
      </c>
      <c r="L27" s="170">
        <f t="shared" si="0"/>
        <v>0</v>
      </c>
      <c r="N27" s="448"/>
      <c r="O27" s="365"/>
    </row>
    <row r="28" spans="2:15" s="146" customFormat="1" ht="24.95" hidden="1" customHeight="1">
      <c r="B28" s="159" t="s">
        <v>521</v>
      </c>
      <c r="D28" s="126"/>
      <c r="E28" s="133" t="s">
        <v>294</v>
      </c>
      <c r="F28" s="150">
        <v>0</v>
      </c>
      <c r="G28" s="45">
        <v>0</v>
      </c>
      <c r="H28" s="45">
        <v>0</v>
      </c>
      <c r="J28" s="171">
        <v>0</v>
      </c>
      <c r="K28" s="48">
        <v>0</v>
      </c>
      <c r="L28" s="170">
        <f t="shared" si="0"/>
        <v>0</v>
      </c>
      <c r="N28" s="448"/>
      <c r="O28" s="365"/>
    </row>
    <row r="29" spans="2:15" s="146" customFormat="1" ht="24.95" hidden="1" customHeight="1">
      <c r="B29" s="159" t="s">
        <v>522</v>
      </c>
      <c r="D29" s="127" t="s">
        <v>523</v>
      </c>
      <c r="E29" s="133" t="s">
        <v>294</v>
      </c>
      <c r="F29" s="150">
        <v>0</v>
      </c>
      <c r="G29" s="45">
        <v>0</v>
      </c>
      <c r="H29" s="45">
        <v>0</v>
      </c>
      <c r="J29" s="171">
        <v>0</v>
      </c>
      <c r="K29" s="48">
        <v>0</v>
      </c>
      <c r="L29" s="170">
        <f t="shared" si="0"/>
        <v>0</v>
      </c>
      <c r="O29" s="365"/>
    </row>
    <row r="30" spans="2:15" s="146" customFormat="1" ht="24.95" customHeight="1">
      <c r="B30" s="159" t="s">
        <v>524</v>
      </c>
      <c r="D30" s="127" t="s">
        <v>293</v>
      </c>
      <c r="E30" s="133" t="s">
        <v>294</v>
      </c>
      <c r="F30" s="1083">
        <f>SUM(F18:F29)</f>
        <v>1</v>
      </c>
      <c r="G30" s="40">
        <f>SUM(G18:G29)</f>
        <v>1</v>
      </c>
      <c r="H30" s="40">
        <f>SUM(H18:H29)</f>
        <v>1</v>
      </c>
      <c r="J30" s="151"/>
      <c r="N30" s="365"/>
      <c r="O30" s="365"/>
    </row>
    <row r="31" spans="2:15" s="146" customFormat="1" ht="24.95" customHeight="1">
      <c r="B31" s="149" t="s">
        <v>283</v>
      </c>
      <c r="C31" s="164" t="s">
        <v>315</v>
      </c>
      <c r="D31" s="127"/>
      <c r="E31" s="133"/>
      <c r="F31" s="11"/>
      <c r="G31" s="10"/>
      <c r="H31" s="10"/>
      <c r="J31" s="151"/>
      <c r="K31" s="913"/>
      <c r="N31" s="953"/>
      <c r="O31" s="365"/>
    </row>
    <row r="32" spans="2:15" s="146" customFormat="1" ht="24.95" customHeight="1">
      <c r="B32" s="159" t="s">
        <v>284</v>
      </c>
      <c r="D32" s="127" t="s">
        <v>292</v>
      </c>
      <c r="E32" s="133" t="s">
        <v>291</v>
      </c>
      <c r="F32" s="823">
        <v>3425</v>
      </c>
      <c r="G32" s="823">
        <v>3500</v>
      </c>
      <c r="H32" s="823">
        <v>3300</v>
      </c>
      <c r="I32" s="712"/>
      <c r="J32" s="975"/>
      <c r="K32" s="953"/>
      <c r="N32" s="449" t="s">
        <v>570</v>
      </c>
      <c r="O32" s="365"/>
    </row>
    <row r="33" spans="1:23" s="166" customFormat="1" ht="24.95" customHeight="1">
      <c r="B33" s="159" t="s">
        <v>286</v>
      </c>
      <c r="D33" s="167" t="s">
        <v>337</v>
      </c>
      <c r="E33" s="168"/>
      <c r="F33" s="185"/>
      <c r="J33" s="974"/>
      <c r="N33" s="185"/>
      <c r="O33" s="361"/>
    </row>
    <row r="34" spans="1:23" s="166" customFormat="1" ht="24.95" hidden="1" customHeight="1">
      <c r="B34" s="159" t="s">
        <v>287</v>
      </c>
      <c r="C34" s="148"/>
      <c r="D34" s="188"/>
      <c r="E34" s="168" t="s">
        <v>332</v>
      </c>
      <c r="F34" s="186"/>
      <c r="G34" s="187" t="s">
        <v>320</v>
      </c>
      <c r="H34" s="187" t="s">
        <v>320</v>
      </c>
      <c r="N34" s="363" t="s">
        <v>459</v>
      </c>
      <c r="O34" s="364"/>
    </row>
    <row r="35" spans="1:23" s="166" customFormat="1" ht="24.95" hidden="1" customHeight="1">
      <c r="B35" s="159" t="s">
        <v>288</v>
      </c>
      <c r="C35" s="148"/>
      <c r="D35" s="188"/>
      <c r="E35" s="168" t="s">
        <v>332</v>
      </c>
      <c r="F35" s="186"/>
      <c r="G35" s="187"/>
      <c r="H35" s="187" t="s">
        <v>320</v>
      </c>
      <c r="N35" s="363" t="s">
        <v>459</v>
      </c>
      <c r="O35" s="361"/>
    </row>
    <row r="36" spans="1:23" s="166" customFormat="1" ht="24.95" hidden="1" customHeight="1">
      <c r="B36" s="159" t="s">
        <v>328</v>
      </c>
      <c r="C36" s="148"/>
      <c r="D36" s="188"/>
      <c r="E36" s="168" t="s">
        <v>332</v>
      </c>
      <c r="F36" s="186"/>
      <c r="G36" s="187"/>
      <c r="H36" s="187"/>
      <c r="N36" s="363" t="s">
        <v>459</v>
      </c>
      <c r="O36" s="361"/>
    </row>
    <row r="37" spans="1:23" s="146" customFormat="1" ht="24.95" customHeight="1">
      <c r="B37" s="159" t="s">
        <v>329</v>
      </c>
      <c r="D37" s="127" t="s">
        <v>313</v>
      </c>
      <c r="E37" s="175" t="s">
        <v>311</v>
      </c>
      <c r="F37" s="65">
        <f>SUMPRODUCT(F18:F29,$L18:$L29)</f>
        <v>58.609999999999992</v>
      </c>
      <c r="G37" s="65">
        <f>SUMPRODUCT(G18:G29,$L18:$L29)</f>
        <v>57.425999999999995</v>
      </c>
      <c r="H37" s="65">
        <f>SUMPRODUCT(H18:H29,$L18:$L29)</f>
        <v>50.331000000000003</v>
      </c>
      <c r="O37" s="365"/>
    </row>
    <row r="38" spans="1:23" s="146" customFormat="1" ht="24.95" customHeight="1">
      <c r="B38" s="159" t="s">
        <v>330</v>
      </c>
      <c r="D38" s="127" t="s">
        <v>317</v>
      </c>
      <c r="E38" s="133" t="s">
        <v>290</v>
      </c>
      <c r="F38" s="191">
        <f>F32/1000*F37/1000</f>
        <v>0.20073924999999998</v>
      </c>
      <c r="G38" s="174">
        <f>G32/1000*G37/1000</f>
        <v>0.20099099999999998</v>
      </c>
      <c r="H38" s="174">
        <f>H32/1000*H37/1000</f>
        <v>0.1660923</v>
      </c>
      <c r="K38" s="913"/>
      <c r="L38" s="913"/>
      <c r="N38" s="981"/>
      <c r="O38" s="365"/>
    </row>
    <row r="39" spans="1:23" s="146" customFormat="1" ht="24.95" customHeight="1">
      <c r="B39" s="159" t="s">
        <v>331</v>
      </c>
      <c r="D39" s="127" t="s">
        <v>314</v>
      </c>
      <c r="E39" s="133" t="s">
        <v>290</v>
      </c>
      <c r="F39" s="191">
        <f>F32/1000*F22*$J22/1000</f>
        <v>1.3699999999999997E-2</v>
      </c>
      <c r="G39" s="174">
        <f>G32/1000*G22*$J22/1000</f>
        <v>1.7500000000000002E-2</v>
      </c>
      <c r="H39" s="174">
        <f>H32/1000*H22*$J22/1000</f>
        <v>3.3000000000000002E-2</v>
      </c>
      <c r="J39" s="1090">
        <f>+F39*'Whole life model'!F24</f>
        <v>0.11510054999999995</v>
      </c>
      <c r="K39" s="1090">
        <f>+G39*'Whole life model'!G24</f>
        <v>0.16156666163049524</v>
      </c>
      <c r="L39" s="1090">
        <f>+H39*'Whole life model'!H24</f>
        <v>0.34499779831503963</v>
      </c>
      <c r="O39" s="365"/>
    </row>
    <row r="40" spans="1:23" s="166" customFormat="1" ht="24.95" customHeight="1">
      <c r="B40" s="159" t="s">
        <v>785</v>
      </c>
      <c r="C40" s="182"/>
      <c r="D40" s="167" t="s">
        <v>789</v>
      </c>
      <c r="E40" s="168" t="s">
        <v>290</v>
      </c>
      <c r="F40" s="639">
        <f>F11+F16+F38</f>
        <v>0.73709764999999994</v>
      </c>
      <c r="G40" s="639">
        <f>G11+G16+G38</f>
        <v>0.73734940000000004</v>
      </c>
      <c r="H40" s="639">
        <f>H11+H16+H38</f>
        <v>0.70245069999999998</v>
      </c>
      <c r="L40" s="914"/>
      <c r="N40" s="361"/>
      <c r="O40" s="361"/>
    </row>
    <row r="41" spans="1:23" s="166" customFormat="1" ht="24.95" customHeight="1">
      <c r="B41" s="159" t="s">
        <v>786</v>
      </c>
      <c r="C41" s="164" t="s">
        <v>783</v>
      </c>
      <c r="D41" s="638"/>
      <c r="E41" s="168"/>
      <c r="N41" s="361"/>
      <c r="O41" s="361"/>
    </row>
    <row r="42" spans="1:23" s="16" customFormat="1" ht="24.95" customHeight="1">
      <c r="A42" s="14"/>
      <c r="B42" s="159" t="s">
        <v>787</v>
      </c>
      <c r="C42" s="60"/>
      <c r="D42" s="638" t="s">
        <v>790</v>
      </c>
      <c r="E42" s="168" t="s">
        <v>232</v>
      </c>
      <c r="F42" s="640">
        <v>0</v>
      </c>
      <c r="G42" s="640">
        <v>0</v>
      </c>
      <c r="H42" s="640">
        <v>0</v>
      </c>
      <c r="I42" s="15"/>
      <c r="P42" s="46"/>
      <c r="Q42" s="46"/>
      <c r="R42" s="46"/>
      <c r="S42" s="46"/>
      <c r="T42" s="46"/>
      <c r="U42" s="46"/>
      <c r="V42" s="46"/>
      <c r="W42" s="457"/>
    </row>
    <row r="43" spans="1:23" s="32" customFormat="1" ht="24.95" customHeight="1" thickBot="1">
      <c r="A43" s="17"/>
      <c r="B43" s="183" t="s">
        <v>788</v>
      </c>
      <c r="C43" s="59"/>
      <c r="D43" s="641" t="s">
        <v>791</v>
      </c>
      <c r="E43" s="184" t="s">
        <v>290</v>
      </c>
      <c r="F43" s="636">
        <v>0.86499999999999999</v>
      </c>
      <c r="G43" s="637">
        <v>0.86499999999999999</v>
      </c>
      <c r="H43" s="637">
        <v>0.86499999999999999</v>
      </c>
      <c r="I43" s="130"/>
      <c r="N43" s="32" t="s">
        <v>793</v>
      </c>
      <c r="P43" s="76"/>
      <c r="Q43" s="76"/>
      <c r="R43" s="76"/>
      <c r="S43" s="76"/>
      <c r="T43" s="76"/>
      <c r="U43" s="76"/>
      <c r="V43" s="76"/>
      <c r="W43" s="458"/>
    </row>
    <row r="44" spans="1:23" s="166" customFormat="1" ht="24.95" customHeight="1" thickTop="1">
      <c r="B44" s="147" t="s">
        <v>285</v>
      </c>
      <c r="C44" s="182" t="s">
        <v>319</v>
      </c>
      <c r="D44" s="167" t="s">
        <v>318</v>
      </c>
      <c r="E44" s="168" t="s">
        <v>290</v>
      </c>
      <c r="F44" s="1077">
        <f>(1-F42)*F40+F42*F43</f>
        <v>0.73709764999999994</v>
      </c>
      <c r="G44" s="1077">
        <f>(1-G42)*G40+G42*G43</f>
        <v>0.73734940000000004</v>
      </c>
      <c r="H44" s="1077">
        <f>(1-H42)*H40+H42*H43</f>
        <v>0.70245069999999998</v>
      </c>
      <c r="N44" s="361"/>
      <c r="O44" s="361"/>
    </row>
    <row r="45" spans="1:23" s="166" customFormat="1" ht="24.95" customHeight="1">
      <c r="B45" s="149" t="s">
        <v>289</v>
      </c>
      <c r="C45" s="164" t="s">
        <v>564</v>
      </c>
      <c r="D45" s="167"/>
      <c r="E45" s="168"/>
      <c r="F45" s="631"/>
      <c r="G45" s="631"/>
      <c r="H45" s="631"/>
      <c r="N45" s="366"/>
      <c r="O45" s="361"/>
    </row>
    <row r="46" spans="1:23" s="146" customFormat="1" ht="24.95" customHeight="1">
      <c r="B46" s="159" t="s">
        <v>566</v>
      </c>
      <c r="C46" s="158"/>
      <c r="D46" s="127" t="s">
        <v>571</v>
      </c>
      <c r="E46" s="133" t="s">
        <v>565</v>
      </c>
      <c r="F46" s="160">
        <v>120</v>
      </c>
      <c r="G46" s="161">
        <v>115</v>
      </c>
      <c r="H46" s="979">
        <v>87</v>
      </c>
      <c r="N46" s="363" t="s">
        <v>460</v>
      </c>
      <c r="O46" s="365"/>
    </row>
    <row r="47" spans="1:23" s="146" customFormat="1" ht="24.95" customHeight="1">
      <c r="B47" s="159" t="s">
        <v>567</v>
      </c>
      <c r="C47" s="158"/>
      <c r="D47" s="127" t="s">
        <v>568</v>
      </c>
      <c r="E47" s="133" t="s">
        <v>565</v>
      </c>
      <c r="F47" s="160">
        <v>0</v>
      </c>
      <c r="G47" s="161">
        <v>0</v>
      </c>
      <c r="H47" s="161">
        <v>0</v>
      </c>
      <c r="N47" s="363" t="s">
        <v>569</v>
      </c>
      <c r="O47" s="365"/>
    </row>
    <row r="48" spans="1:23">
      <c r="F48" s="162"/>
      <c r="G48" s="163"/>
      <c r="H48" s="163"/>
    </row>
    <row r="49" spans="5:15">
      <c r="F49" s="998"/>
      <c r="G49" s="163"/>
      <c r="H49" s="997"/>
    </row>
    <row r="50" spans="5:15">
      <c r="F50" s="162"/>
      <c r="G50" s="163"/>
      <c r="H50" s="163"/>
    </row>
    <row r="51" spans="5:15">
      <c r="F51" s="999"/>
      <c r="G51" s="1000"/>
      <c r="H51" s="1000"/>
    </row>
    <row r="52" spans="5:15">
      <c r="F52" s="999"/>
      <c r="G52" s="1000"/>
      <c r="H52" s="1000"/>
    </row>
    <row r="53" spans="5:15">
      <c r="F53" s="1001"/>
      <c r="G53" s="1002"/>
      <c r="H53" s="1002"/>
      <c r="I53" s="367"/>
      <c r="J53" s="367"/>
      <c r="N53" s="78"/>
      <c r="O53" s="78"/>
    </row>
    <row r="54" spans="5:15">
      <c r="E54" s="78"/>
      <c r="F54" s="823"/>
      <c r="G54" s="823"/>
      <c r="H54" s="823"/>
    </row>
  </sheetData>
  <hyperlinks>
    <hyperlink ref="N26" r:id="rId1" location="Internet_Manual/constants.htm" xr:uid="{00000000-0004-0000-0700-000000000000}"/>
  </hyperlinks>
  <pageMargins left="0.7" right="0.7" top="0.75" bottom="0.75" header="0.3" footer="0.3"/>
  <pageSetup paperSize="9"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F25"/>
  <sheetViews>
    <sheetView zoomScale="60" zoomScaleNormal="60" workbookViewId="0">
      <pane xSplit="5" ySplit="8" topLeftCell="L9" activePane="bottomRight" state="frozen"/>
      <selection pane="topRight" activeCell="F1" sqref="F1"/>
      <selection pane="bottomLeft" activeCell="A9" sqref="A9"/>
      <selection pane="bottomRight" activeCell="L11" sqref="L11"/>
    </sheetView>
  </sheetViews>
  <sheetFormatPr baseColWidth="10" defaultColWidth="9" defaultRowHeight="14.25" outlineLevelRow="1"/>
  <cols>
    <col min="1" max="1" width="2.625" style="199" customWidth="1"/>
    <col min="2" max="2" width="5.625" style="199" customWidth="1"/>
    <col min="3" max="3" width="19.625" style="199" customWidth="1"/>
    <col min="4" max="4" width="45.625" style="199" customWidth="1"/>
    <col min="5" max="5" width="15.625" style="217" customWidth="1"/>
    <col min="6" max="6" width="12.625" style="215" customWidth="1"/>
    <col min="7" max="17" width="12.625" style="199" customWidth="1"/>
    <col min="18" max="18" width="5.625" style="199" customWidth="1"/>
    <col min="19" max="26" width="10.625" style="359" customWidth="1"/>
    <col min="27" max="29" width="10.625" style="200" customWidth="1"/>
    <col min="30" max="30" width="9" style="200"/>
    <col min="31" max="16384" width="9" style="199"/>
  </cols>
  <sheetData>
    <row r="1" spans="1:32" s="6" customFormat="1" ht="15" customHeight="1" outlineLevel="1">
      <c r="A1" s="134"/>
      <c r="B1" s="135"/>
      <c r="C1" s="136"/>
      <c r="D1" s="137"/>
      <c r="E1" s="132" t="s">
        <v>237</v>
      </c>
      <c r="F1" s="92"/>
      <c r="G1" s="91"/>
      <c r="H1" s="91"/>
      <c r="I1" s="91"/>
      <c r="J1" s="91"/>
      <c r="K1" s="91"/>
      <c r="L1" s="91"/>
      <c r="M1" s="91"/>
      <c r="N1" s="91"/>
      <c r="O1" s="8"/>
      <c r="P1" s="93"/>
      <c r="Q1" s="93"/>
      <c r="S1" s="325" t="s">
        <v>447</v>
      </c>
      <c r="T1" s="323"/>
      <c r="U1" s="323"/>
      <c r="V1" s="325" t="s">
        <v>93</v>
      </c>
      <c r="W1" s="323"/>
      <c r="X1" s="323"/>
      <c r="Y1" s="323"/>
      <c r="Z1" s="323"/>
      <c r="AF1" s="6" t="s">
        <v>414</v>
      </c>
    </row>
    <row r="2" spans="1:32" s="6" customFormat="1" ht="15" customHeight="1" outlineLevel="1">
      <c r="A2" s="138"/>
      <c r="B2" s="197"/>
      <c r="C2" s="140"/>
      <c r="D2" s="141"/>
      <c r="E2" s="142" t="s">
        <v>100</v>
      </c>
      <c r="F2" s="615" t="str">
        <f>'Whole life model'!F2</f>
        <v>ARGENTINA</v>
      </c>
      <c r="G2" s="242"/>
      <c r="H2" s="245"/>
      <c r="I2" s="245"/>
      <c r="J2" s="245"/>
      <c r="K2" s="245"/>
      <c r="L2" s="245"/>
      <c r="M2" s="245"/>
      <c r="N2" s="245"/>
      <c r="O2" s="8"/>
      <c r="P2" s="79"/>
      <c r="S2" s="323"/>
      <c r="T2" s="323"/>
      <c r="U2" s="323"/>
      <c r="V2" s="80" t="s">
        <v>86</v>
      </c>
      <c r="W2" s="80"/>
      <c r="X2" s="89" t="s">
        <v>137</v>
      </c>
      <c r="Y2" s="90"/>
      <c r="Z2" s="323"/>
      <c r="AF2" s="6" t="s">
        <v>415</v>
      </c>
    </row>
    <row r="3" spans="1:32" s="6" customFormat="1" ht="15" customHeight="1" outlineLevel="1">
      <c r="A3" s="138"/>
      <c r="B3" s="143"/>
      <c r="C3" s="140"/>
      <c r="D3" s="141"/>
      <c r="E3" s="142" t="s">
        <v>235</v>
      </c>
      <c r="F3" s="615" t="str">
        <f>'Whole life model'!F3</f>
        <v>AFCP</v>
      </c>
      <c r="G3" s="242"/>
      <c r="H3" s="245"/>
      <c r="I3" s="245"/>
      <c r="J3" s="245"/>
      <c r="K3" s="245"/>
      <c r="L3" s="245"/>
      <c r="M3" s="245"/>
      <c r="N3" s="245"/>
      <c r="O3" s="8"/>
      <c r="P3" s="79"/>
      <c r="S3" s="323"/>
      <c r="T3" s="323"/>
      <c r="U3" s="323"/>
      <c r="V3" s="81" t="s">
        <v>1</v>
      </c>
      <c r="W3" s="82"/>
      <c r="X3" s="85" t="s">
        <v>3</v>
      </c>
      <c r="Y3" s="86"/>
      <c r="Z3" s="323"/>
      <c r="AF3" s="6" t="s">
        <v>416</v>
      </c>
    </row>
    <row r="4" spans="1:32" s="6" customFormat="1" ht="15" customHeight="1" outlineLevel="1">
      <c r="A4" s="138"/>
      <c r="B4" s="143"/>
      <c r="C4" s="140"/>
      <c r="D4" s="141"/>
      <c r="E4" s="452" t="s">
        <v>461</v>
      </c>
      <c r="F4" s="242" t="str">
        <f>'Whole life model'!F4</f>
        <v>FICEM and AFCP</v>
      </c>
      <c r="G4" s="242"/>
      <c r="H4" s="245"/>
      <c r="I4" s="245"/>
      <c r="J4" s="245"/>
      <c r="K4" s="245"/>
      <c r="L4" s="245"/>
      <c r="M4" s="245"/>
      <c r="N4" s="245"/>
      <c r="O4" s="8"/>
      <c r="P4" s="79"/>
      <c r="S4" s="323"/>
      <c r="T4" s="323"/>
      <c r="U4" s="323"/>
      <c r="V4" s="83" t="s">
        <v>2</v>
      </c>
      <c r="W4" s="84"/>
      <c r="X4" s="87" t="s">
        <v>0</v>
      </c>
      <c r="Y4" s="88"/>
      <c r="Z4" s="323"/>
      <c r="AB4" s="79"/>
      <c r="AC4" s="79"/>
      <c r="AF4" s="6" t="s">
        <v>417</v>
      </c>
    </row>
    <row r="5" spans="1:32" s="6" customFormat="1" ht="15" customHeight="1" outlineLevel="1">
      <c r="A5" s="138"/>
      <c r="B5" s="143"/>
      <c r="C5" s="140"/>
      <c r="D5" s="141"/>
      <c r="E5" s="142" t="s">
        <v>102</v>
      </c>
      <c r="F5" s="242" t="str">
        <f>'Whole life model'!F5</f>
        <v>maria.lefevre@afcp.org.ar</v>
      </c>
      <c r="G5" s="242"/>
      <c r="H5" s="245"/>
      <c r="I5" s="245"/>
      <c r="J5" s="245"/>
      <c r="K5" s="245"/>
      <c r="L5" s="245"/>
      <c r="M5" s="245"/>
      <c r="N5" s="245"/>
      <c r="O5" s="8"/>
      <c r="P5" s="79"/>
      <c r="S5" s="323"/>
      <c r="T5" s="323"/>
      <c r="U5" s="323"/>
      <c r="V5" s="324" t="s">
        <v>391</v>
      </c>
      <c r="W5" s="323"/>
      <c r="X5" s="323"/>
      <c r="Y5" s="323"/>
      <c r="Z5" s="323"/>
      <c r="AB5" s="79"/>
      <c r="AC5" s="79"/>
      <c r="AF5" s="6" t="s">
        <v>423</v>
      </c>
    </row>
    <row r="6" spans="1:32" s="6" customFormat="1" ht="15" customHeight="1" outlineLevel="1">
      <c r="A6" s="138"/>
      <c r="B6" s="143"/>
      <c r="C6" s="140"/>
      <c r="D6" s="141"/>
      <c r="E6" s="142" t="s">
        <v>101</v>
      </c>
      <c r="F6" s="242" t="str">
        <f>'Whole life model'!F6</f>
        <v>Phone</v>
      </c>
      <c r="G6" s="242"/>
      <c r="H6" s="245"/>
      <c r="I6" s="245"/>
      <c r="J6" s="245"/>
      <c r="K6" s="245"/>
      <c r="L6" s="245"/>
      <c r="M6" s="245"/>
      <c r="N6" s="245"/>
      <c r="O6" s="8"/>
      <c r="P6" s="79"/>
      <c r="S6" s="323"/>
      <c r="T6" s="323"/>
      <c r="U6" s="323"/>
      <c r="V6" s="323"/>
      <c r="W6" s="323"/>
      <c r="X6" s="323"/>
      <c r="Y6" s="323"/>
      <c r="Z6" s="323"/>
    </row>
    <row r="7" spans="1:32" s="6" customFormat="1" ht="24.95" customHeight="1">
      <c r="A7" s="144"/>
      <c r="B7" s="125" t="str">
        <f>'Whole life model'!B7</f>
        <v xml:space="preserve">GCCA Roadmap Template </v>
      </c>
      <c r="C7" s="145"/>
      <c r="D7" s="125" t="str">
        <f>'Whole life model'!D7</f>
        <v>Version 202, 19.07.2022, ECRA</v>
      </c>
      <c r="E7" s="142" t="s">
        <v>98</v>
      </c>
      <c r="F7" s="34">
        <f>'Whole life model'!F7</f>
        <v>2020</v>
      </c>
      <c r="G7" s="34">
        <f>'Whole life model'!G7</f>
        <v>2030</v>
      </c>
      <c r="H7" s="34">
        <f>'Whole life model'!H7</f>
        <v>2050</v>
      </c>
      <c r="I7" s="34">
        <f>'Whole life model'!F7</f>
        <v>2020</v>
      </c>
      <c r="J7" s="34">
        <f>'Whole life model'!G7</f>
        <v>2030</v>
      </c>
      <c r="K7" s="34">
        <f>'Whole life model'!H7</f>
        <v>2050</v>
      </c>
      <c r="L7" s="34">
        <f>'Whole life model'!F7</f>
        <v>2020</v>
      </c>
      <c r="M7" s="34">
        <f>'Whole life model'!G7</f>
        <v>2030</v>
      </c>
      <c r="N7" s="34">
        <f>'Whole life model'!H7</f>
        <v>2050</v>
      </c>
      <c r="O7" s="34">
        <f>'Whole life model'!F7</f>
        <v>2020</v>
      </c>
      <c r="P7" s="34">
        <f>'Whole life model'!G7</f>
        <v>2030</v>
      </c>
      <c r="Q7" s="34">
        <f>'Whole life model'!H7</f>
        <v>2050</v>
      </c>
      <c r="R7" s="165"/>
      <c r="S7" s="323"/>
      <c r="T7" s="323"/>
      <c r="U7" s="323"/>
      <c r="V7" s="323"/>
      <c r="W7" s="323"/>
      <c r="X7" s="323"/>
      <c r="Y7" s="323"/>
      <c r="Z7" s="323"/>
    </row>
    <row r="8" spans="1:32" s="76" customFormat="1" ht="24.95" customHeight="1" thickBot="1">
      <c r="A8" s="130"/>
      <c r="B8" s="155" t="s">
        <v>154</v>
      </c>
      <c r="C8" s="453" t="s">
        <v>475</v>
      </c>
      <c r="D8" s="130" t="s">
        <v>476</v>
      </c>
      <c r="F8" s="21"/>
      <c r="G8" s="22" t="s">
        <v>6</v>
      </c>
      <c r="H8" s="23"/>
      <c r="I8" s="24"/>
      <c r="J8" s="25" t="s">
        <v>846</v>
      </c>
      <c r="K8" s="26"/>
      <c r="L8" s="27"/>
      <c r="M8" s="107" t="s">
        <v>847</v>
      </c>
      <c r="N8" s="28"/>
      <c r="O8" s="29"/>
      <c r="P8" s="30" t="s">
        <v>7</v>
      </c>
      <c r="Q8" s="31"/>
    </row>
    <row r="9" spans="1:32" s="220" customFormat="1" ht="24.95" customHeight="1" thickTop="1">
      <c r="A9" s="374"/>
      <c r="B9" s="374"/>
      <c r="C9" s="374"/>
      <c r="D9" s="424" t="s">
        <v>477</v>
      </c>
      <c r="E9" s="376"/>
      <c r="F9" s="375" t="s">
        <v>420</v>
      </c>
      <c r="G9" s="16"/>
      <c r="H9" s="377"/>
      <c r="I9" s="542"/>
      <c r="J9" s="542"/>
      <c r="K9" s="542"/>
      <c r="L9" s="542"/>
      <c r="M9" s="542"/>
      <c r="N9" s="542"/>
      <c r="O9" s="378"/>
      <c r="P9" s="16"/>
      <c r="Q9" s="16"/>
      <c r="R9" s="16"/>
      <c r="S9" s="379"/>
      <c r="T9" s="379"/>
      <c r="U9" s="379"/>
      <c r="V9" s="379"/>
      <c r="W9" s="379"/>
      <c r="X9" s="379"/>
      <c r="Y9" s="379"/>
      <c r="Z9" s="380"/>
      <c r="AA9" s="381"/>
      <c r="AB9" s="381"/>
      <c r="AC9" s="381"/>
      <c r="AD9" s="381"/>
    </row>
    <row r="10" spans="1:32" ht="24.95" customHeight="1">
      <c r="A10" s="370"/>
      <c r="B10" s="370" t="s">
        <v>146</v>
      </c>
      <c r="C10" s="58" t="s">
        <v>418</v>
      </c>
      <c r="D10" s="319" t="s">
        <v>397</v>
      </c>
      <c r="E10" s="371"/>
      <c r="F10" s="322" t="s">
        <v>421</v>
      </c>
      <c r="P10" s="2"/>
      <c r="Q10" s="2"/>
      <c r="R10" s="2"/>
      <c r="S10" s="326"/>
      <c r="T10" s="358"/>
      <c r="U10" s="358"/>
      <c r="V10" s="358"/>
      <c r="W10" s="358"/>
      <c r="X10" s="358"/>
      <c r="Y10" s="358"/>
      <c r="AE10" s="200"/>
    </row>
    <row r="11" spans="1:32" ht="24.95" customHeight="1">
      <c r="A11" s="1"/>
      <c r="B11" s="239" t="s">
        <v>221</v>
      </c>
      <c r="C11" s="871" t="s">
        <v>897</v>
      </c>
      <c r="D11" s="871" t="s">
        <v>898</v>
      </c>
      <c r="E11" s="373"/>
      <c r="F11" s="241" t="s">
        <v>423</v>
      </c>
      <c r="G11" s="241" t="s">
        <v>423</v>
      </c>
      <c r="H11" s="241" t="s">
        <v>423</v>
      </c>
      <c r="I11" s="241" t="s">
        <v>423</v>
      </c>
      <c r="J11" s="241" t="s">
        <v>423</v>
      </c>
      <c r="K11" s="241" t="s">
        <v>423</v>
      </c>
      <c r="L11" s="241" t="s">
        <v>423</v>
      </c>
      <c r="M11" s="241" t="s">
        <v>423</v>
      </c>
      <c r="N11" s="241" t="s">
        <v>423</v>
      </c>
      <c r="O11" s="241" t="s">
        <v>423</v>
      </c>
      <c r="P11" s="241" t="s">
        <v>423</v>
      </c>
      <c r="Q11" s="241" t="s">
        <v>423</v>
      </c>
      <c r="S11" s="375" t="s">
        <v>424</v>
      </c>
      <c r="T11" s="358"/>
      <c r="U11" s="358"/>
      <c r="V11" s="358"/>
      <c r="W11" s="358"/>
      <c r="X11" s="358"/>
      <c r="Y11" s="358"/>
      <c r="Z11" s="358"/>
      <c r="AA11" s="358"/>
      <c r="AB11" s="358"/>
      <c r="AC11" s="358"/>
      <c r="AD11" s="358"/>
      <c r="AE11" s="200"/>
    </row>
    <row r="12" spans="1:32" ht="24.95" customHeight="1">
      <c r="A12" s="1"/>
      <c r="B12" s="239" t="s">
        <v>223</v>
      </c>
      <c r="C12" s="871" t="s">
        <v>222</v>
      </c>
      <c r="D12" s="94" t="s">
        <v>899</v>
      </c>
      <c r="E12" s="373"/>
      <c r="F12" s="241" t="s">
        <v>423</v>
      </c>
      <c r="G12" s="241" t="s">
        <v>423</v>
      </c>
      <c r="H12" s="241" t="s">
        <v>423</v>
      </c>
      <c r="I12" s="241" t="s">
        <v>423</v>
      </c>
      <c r="J12" s="241" t="s">
        <v>423</v>
      </c>
      <c r="K12" s="241" t="s">
        <v>423</v>
      </c>
      <c r="L12" s="241" t="s">
        <v>423</v>
      </c>
      <c r="M12" s="241" t="s">
        <v>423</v>
      </c>
      <c r="N12" s="241" t="s">
        <v>423</v>
      </c>
      <c r="O12" s="241" t="s">
        <v>423</v>
      </c>
      <c r="P12" s="241" t="s">
        <v>423</v>
      </c>
      <c r="Q12" s="241" t="s">
        <v>423</v>
      </c>
      <c r="S12" s="375" t="s">
        <v>425</v>
      </c>
      <c r="T12" s="358"/>
      <c r="U12" s="358"/>
      <c r="V12" s="358"/>
      <c r="W12" s="358"/>
      <c r="X12" s="358"/>
      <c r="Y12" s="358"/>
      <c r="Z12" s="358"/>
      <c r="AA12" s="358"/>
      <c r="AB12" s="358"/>
      <c r="AC12" s="358"/>
      <c r="AD12" s="358"/>
      <c r="AE12" s="200"/>
    </row>
    <row r="13" spans="1:32" ht="24.95" customHeight="1">
      <c r="A13" s="1"/>
      <c r="B13" s="239" t="s">
        <v>224</v>
      </c>
      <c r="C13" s="871" t="s">
        <v>900</v>
      </c>
      <c r="D13" s="94" t="s">
        <v>901</v>
      </c>
      <c r="E13" s="373"/>
      <c r="F13" s="241" t="s">
        <v>423</v>
      </c>
      <c r="G13" s="241" t="s">
        <v>423</v>
      </c>
      <c r="H13" s="241" t="s">
        <v>423</v>
      </c>
      <c r="I13" s="241" t="s">
        <v>423</v>
      </c>
      <c r="J13" s="241" t="s">
        <v>423</v>
      </c>
      <c r="K13" s="241" t="s">
        <v>423</v>
      </c>
      <c r="L13" s="241" t="s">
        <v>423</v>
      </c>
      <c r="M13" s="241" t="s">
        <v>423</v>
      </c>
      <c r="N13" s="241" t="s">
        <v>423</v>
      </c>
      <c r="O13" s="241" t="s">
        <v>423</v>
      </c>
      <c r="P13" s="241" t="s">
        <v>423</v>
      </c>
      <c r="Q13" s="241" t="s">
        <v>423</v>
      </c>
      <c r="R13" s="2"/>
      <c r="S13" s="375" t="s">
        <v>426</v>
      </c>
      <c r="T13" s="358"/>
      <c r="U13" s="358"/>
      <c r="V13" s="358"/>
      <c r="W13" s="358"/>
      <c r="X13" s="358"/>
      <c r="Y13" s="358"/>
      <c r="AE13" s="200"/>
    </row>
    <row r="14" spans="1:32" ht="24.95" customHeight="1">
      <c r="A14" s="1"/>
      <c r="B14" s="239" t="s">
        <v>225</v>
      </c>
      <c r="C14" s="871" t="s">
        <v>902</v>
      </c>
      <c r="D14" s="871" t="s">
        <v>903</v>
      </c>
      <c r="E14" s="373"/>
      <c r="F14" s="241" t="s">
        <v>423</v>
      </c>
      <c r="G14" s="241" t="s">
        <v>423</v>
      </c>
      <c r="H14" s="241" t="s">
        <v>423</v>
      </c>
      <c r="I14" s="241" t="s">
        <v>423</v>
      </c>
      <c r="J14" s="241" t="s">
        <v>423</v>
      </c>
      <c r="K14" s="241" t="s">
        <v>423</v>
      </c>
      <c r="L14" s="241" t="s">
        <v>423</v>
      </c>
      <c r="M14" s="241" t="s">
        <v>423</v>
      </c>
      <c r="N14" s="241" t="s">
        <v>423</v>
      </c>
      <c r="O14" s="241" t="s">
        <v>423</v>
      </c>
      <c r="P14" s="241" t="s">
        <v>423</v>
      </c>
      <c r="Q14" s="241" t="s">
        <v>423</v>
      </c>
      <c r="R14" s="2"/>
      <c r="S14" s="375" t="s">
        <v>428</v>
      </c>
      <c r="T14" s="358"/>
      <c r="U14" s="358"/>
      <c r="V14" s="358"/>
      <c r="W14" s="358"/>
      <c r="X14" s="358"/>
      <c r="Y14" s="358"/>
      <c r="AE14" s="200"/>
    </row>
    <row r="15" spans="1:32" ht="24.95" customHeight="1">
      <c r="A15" s="1"/>
      <c r="B15" s="239" t="s">
        <v>226</v>
      </c>
      <c r="C15" s="871" t="s">
        <v>904</v>
      </c>
      <c r="D15" s="871"/>
      <c r="E15" s="373"/>
      <c r="F15" s="241" t="s">
        <v>423</v>
      </c>
      <c r="G15" s="241" t="s">
        <v>423</v>
      </c>
      <c r="H15" s="241" t="s">
        <v>423</v>
      </c>
      <c r="I15" s="241" t="s">
        <v>423</v>
      </c>
      <c r="J15" s="241" t="s">
        <v>423</v>
      </c>
      <c r="K15" s="241" t="s">
        <v>423</v>
      </c>
      <c r="L15" s="241" t="s">
        <v>423</v>
      </c>
      <c r="M15" s="241" t="s">
        <v>423</v>
      </c>
      <c r="N15" s="241" t="s">
        <v>423</v>
      </c>
      <c r="O15" s="241" t="s">
        <v>423</v>
      </c>
      <c r="P15" s="241" t="s">
        <v>423</v>
      </c>
      <c r="Q15" s="241" t="s">
        <v>423</v>
      </c>
      <c r="R15" s="2"/>
      <c r="S15" s="375" t="s">
        <v>428</v>
      </c>
      <c r="T15" s="358"/>
      <c r="U15" s="358"/>
      <c r="V15" s="358"/>
      <c r="W15" s="358"/>
      <c r="X15" s="358"/>
      <c r="Y15" s="358"/>
      <c r="AE15" s="200"/>
    </row>
    <row r="16" spans="1:32" s="554" customFormat="1" ht="24.95" customHeight="1" thickBot="1">
      <c r="A16" s="1"/>
      <c r="B16" s="239" t="s">
        <v>906</v>
      </c>
      <c r="C16" s="871" t="s">
        <v>905</v>
      </c>
      <c r="D16" s="871"/>
      <c r="E16" s="373"/>
      <c r="F16" s="241" t="s">
        <v>423</v>
      </c>
      <c r="G16" s="241" t="s">
        <v>423</v>
      </c>
      <c r="H16" s="241" t="s">
        <v>423</v>
      </c>
      <c r="I16" s="241" t="s">
        <v>423</v>
      </c>
      <c r="J16" s="241" t="s">
        <v>423</v>
      </c>
      <c r="K16" s="241" t="s">
        <v>423</v>
      </c>
      <c r="L16" s="241" t="s">
        <v>423</v>
      </c>
      <c r="M16" s="241" t="s">
        <v>423</v>
      </c>
      <c r="N16" s="241" t="s">
        <v>423</v>
      </c>
      <c r="O16" s="241" t="s">
        <v>423</v>
      </c>
      <c r="P16" s="241" t="s">
        <v>423</v>
      </c>
      <c r="Q16" s="241" t="s">
        <v>423</v>
      </c>
      <c r="R16" s="32"/>
      <c r="S16" s="550"/>
      <c r="T16" s="551"/>
      <c r="U16" s="551"/>
      <c r="V16" s="551"/>
      <c r="W16" s="551"/>
      <c r="X16" s="551"/>
      <c r="Y16" s="551"/>
      <c r="Z16" s="552"/>
      <c r="AA16" s="553"/>
      <c r="AB16" s="553"/>
      <c r="AC16" s="553"/>
      <c r="AD16" s="553"/>
      <c r="AE16" s="553"/>
    </row>
    <row r="17" spans="1:32" s="220" customFormat="1" ht="24.95" customHeight="1" thickTop="1">
      <c r="A17" s="374"/>
      <c r="B17" s="548"/>
      <c r="C17" s="374"/>
      <c r="D17" s="374"/>
      <c r="E17" s="376"/>
      <c r="F17" s="549"/>
      <c r="G17" s="549"/>
      <c r="H17" s="549"/>
      <c r="I17" s="549"/>
      <c r="J17" s="549"/>
      <c r="K17" s="549"/>
      <c r="L17" s="549"/>
      <c r="M17" s="549"/>
      <c r="N17" s="549"/>
      <c r="O17" s="549"/>
      <c r="P17" s="549"/>
      <c r="Q17" s="549"/>
      <c r="R17" s="16"/>
      <c r="S17" s="375"/>
      <c r="T17" s="379"/>
      <c r="U17" s="379"/>
      <c r="V17" s="379"/>
      <c r="W17" s="379"/>
      <c r="X17" s="379"/>
      <c r="Y17" s="379"/>
      <c r="Z17" s="380"/>
      <c r="AA17" s="381"/>
      <c r="AB17" s="381"/>
      <c r="AC17" s="381"/>
      <c r="AD17" s="381"/>
      <c r="AE17" s="381"/>
    </row>
    <row r="18" spans="1:32" ht="24.95" customHeight="1">
      <c r="A18" s="1"/>
      <c r="B18" s="372" t="s">
        <v>169</v>
      </c>
      <c r="C18" s="58" t="s">
        <v>419</v>
      </c>
      <c r="D18" s="319" t="s">
        <v>398</v>
      </c>
      <c r="E18" s="373"/>
      <c r="F18" s="322" t="s">
        <v>422</v>
      </c>
      <c r="G18" s="232"/>
      <c r="H18" s="232"/>
      <c r="I18" s="232"/>
      <c r="J18" s="232"/>
      <c r="K18" s="232"/>
      <c r="L18" s="232"/>
      <c r="M18" s="232"/>
      <c r="N18" s="232"/>
      <c r="O18" s="232"/>
      <c r="P18" s="2"/>
      <c r="Q18" s="2"/>
      <c r="R18" s="2"/>
      <c r="S18" s="326"/>
      <c r="T18" s="358"/>
      <c r="U18" s="358"/>
      <c r="V18" s="358"/>
      <c r="W18" s="358"/>
      <c r="X18" s="358"/>
      <c r="Y18" s="358"/>
    </row>
    <row r="19" spans="1:32" s="200" customFormat="1" ht="24.95" customHeight="1">
      <c r="A19" s="1"/>
      <c r="B19" s="239" t="s">
        <v>227</v>
      </c>
      <c r="C19" s="240" t="s">
        <v>897</v>
      </c>
      <c r="D19" s="240" t="s">
        <v>474</v>
      </c>
      <c r="E19" s="373"/>
      <c r="F19" s="241" t="s">
        <v>415</v>
      </c>
      <c r="G19" s="241" t="s">
        <v>415</v>
      </c>
      <c r="H19" s="241" t="s">
        <v>415</v>
      </c>
      <c r="I19" s="241" t="s">
        <v>416</v>
      </c>
      <c r="J19" s="241" t="s">
        <v>416</v>
      </c>
      <c r="K19" s="241" t="s">
        <v>416</v>
      </c>
      <c r="L19" s="241" t="s">
        <v>423</v>
      </c>
      <c r="M19" s="241" t="s">
        <v>423</v>
      </c>
      <c r="N19" s="241" t="s">
        <v>423</v>
      </c>
      <c r="O19" s="241" t="s">
        <v>423</v>
      </c>
      <c r="P19" s="241" t="s">
        <v>423</v>
      </c>
      <c r="Q19" s="241" t="s">
        <v>423</v>
      </c>
      <c r="S19" s="375" t="s">
        <v>427</v>
      </c>
      <c r="T19" s="358"/>
      <c r="U19" s="358"/>
      <c r="V19" s="358"/>
      <c r="W19" s="358"/>
      <c r="X19" s="358"/>
      <c r="Y19" s="358"/>
      <c r="Z19" s="359"/>
      <c r="AF19" s="199"/>
    </row>
    <row r="20" spans="1:32" s="200" customFormat="1" ht="24.95" customHeight="1">
      <c r="A20" s="1"/>
      <c r="B20" s="239" t="s">
        <v>228</v>
      </c>
      <c r="C20" s="240" t="s">
        <v>222</v>
      </c>
      <c r="D20" s="240" t="s">
        <v>474</v>
      </c>
      <c r="E20" s="373"/>
      <c r="F20" s="241" t="s">
        <v>416</v>
      </c>
      <c r="G20" s="241" t="s">
        <v>416</v>
      </c>
      <c r="H20" s="241" t="s">
        <v>416</v>
      </c>
      <c r="I20" s="241" t="s">
        <v>416</v>
      </c>
      <c r="J20" s="241" t="s">
        <v>416</v>
      </c>
      <c r="K20" s="241" t="s">
        <v>416</v>
      </c>
      <c r="L20" s="241" t="s">
        <v>423</v>
      </c>
      <c r="M20" s="241" t="s">
        <v>423</v>
      </c>
      <c r="N20" s="241" t="s">
        <v>423</v>
      </c>
      <c r="O20" s="241" t="s">
        <v>423</v>
      </c>
      <c r="P20" s="241" t="s">
        <v>423</v>
      </c>
      <c r="Q20" s="241" t="s">
        <v>423</v>
      </c>
      <c r="S20" s="375" t="s">
        <v>429</v>
      </c>
      <c r="T20" s="358"/>
      <c r="U20" s="358"/>
      <c r="V20" s="358"/>
      <c r="W20" s="358"/>
      <c r="X20" s="358"/>
      <c r="Y20" s="358"/>
      <c r="Z20" s="359"/>
      <c r="AF20" s="199"/>
    </row>
    <row r="21" spans="1:32" s="200" customFormat="1" ht="24.95" customHeight="1">
      <c r="A21" s="1"/>
      <c r="B21" s="239" t="s">
        <v>229</v>
      </c>
      <c r="C21" s="240" t="s">
        <v>900</v>
      </c>
      <c r="D21" s="240" t="s">
        <v>474</v>
      </c>
      <c r="E21" s="373"/>
      <c r="F21" s="241" t="s">
        <v>417</v>
      </c>
      <c r="G21" s="241" t="s">
        <v>416</v>
      </c>
      <c r="H21" s="241" t="s">
        <v>415</v>
      </c>
      <c r="I21" s="241" t="s">
        <v>417</v>
      </c>
      <c r="J21" s="241" t="s">
        <v>416</v>
      </c>
      <c r="K21" s="241" t="s">
        <v>416</v>
      </c>
      <c r="L21" s="241" t="s">
        <v>423</v>
      </c>
      <c r="M21" s="241" t="s">
        <v>423</v>
      </c>
      <c r="N21" s="241" t="s">
        <v>423</v>
      </c>
      <c r="O21" s="241" t="s">
        <v>423</v>
      </c>
      <c r="P21" s="241" t="s">
        <v>423</v>
      </c>
      <c r="Q21" s="241" t="s">
        <v>423</v>
      </c>
      <c r="R21" s="2"/>
      <c r="S21" s="375" t="s">
        <v>430</v>
      </c>
      <c r="T21" s="358"/>
      <c r="U21" s="358"/>
      <c r="V21" s="358"/>
      <c r="W21" s="358"/>
      <c r="X21" s="358"/>
      <c r="Y21" s="358"/>
      <c r="Z21" s="359"/>
      <c r="AF21" s="199"/>
    </row>
    <row r="22" spans="1:32" s="200" customFormat="1" ht="24.95" customHeight="1">
      <c r="A22" s="1"/>
      <c r="B22" s="239" t="s">
        <v>230</v>
      </c>
      <c r="C22" s="240" t="s">
        <v>902</v>
      </c>
      <c r="D22" s="240" t="s">
        <v>907</v>
      </c>
      <c r="E22" s="373"/>
      <c r="F22" s="241" t="s">
        <v>415</v>
      </c>
      <c r="G22" s="241" t="s">
        <v>415</v>
      </c>
      <c r="H22" s="241" t="s">
        <v>415</v>
      </c>
      <c r="I22" s="241" t="s">
        <v>414</v>
      </c>
      <c r="J22" s="241" t="s">
        <v>414</v>
      </c>
      <c r="K22" s="241" t="s">
        <v>414</v>
      </c>
      <c r="L22" s="241" t="s">
        <v>423</v>
      </c>
      <c r="M22" s="241" t="s">
        <v>423</v>
      </c>
      <c r="N22" s="241" t="s">
        <v>423</v>
      </c>
      <c r="O22" s="241" t="s">
        <v>423</v>
      </c>
      <c r="P22" s="241" t="s">
        <v>423</v>
      </c>
      <c r="Q22" s="241" t="s">
        <v>423</v>
      </c>
      <c r="R22" s="2"/>
      <c r="S22" s="375" t="s">
        <v>431</v>
      </c>
      <c r="T22" s="358"/>
      <c r="U22" s="358"/>
      <c r="V22" s="358"/>
      <c r="W22" s="358"/>
      <c r="X22" s="358"/>
      <c r="Y22" s="358"/>
      <c r="Z22" s="359"/>
      <c r="AF22" s="199"/>
    </row>
    <row r="23" spans="1:32" s="200" customFormat="1" ht="24.95" customHeight="1">
      <c r="A23" s="1"/>
      <c r="B23" s="239" t="s">
        <v>231</v>
      </c>
      <c r="C23" s="240" t="s">
        <v>195</v>
      </c>
      <c r="D23" s="240"/>
      <c r="E23" s="373"/>
      <c r="F23" s="241" t="s">
        <v>423</v>
      </c>
      <c r="G23" s="241" t="s">
        <v>423</v>
      </c>
      <c r="H23" s="241" t="s">
        <v>423</v>
      </c>
      <c r="I23" s="241" t="s">
        <v>423</v>
      </c>
      <c r="J23" s="241" t="s">
        <v>423</v>
      </c>
      <c r="K23" s="241" t="s">
        <v>423</v>
      </c>
      <c r="L23" s="241" t="s">
        <v>423</v>
      </c>
      <c r="M23" s="241" t="s">
        <v>423</v>
      </c>
      <c r="N23" s="241" t="s">
        <v>423</v>
      </c>
      <c r="O23" s="241" t="s">
        <v>423</v>
      </c>
      <c r="P23" s="241" t="s">
        <v>423</v>
      </c>
      <c r="Q23" s="241" t="s">
        <v>423</v>
      </c>
      <c r="R23" s="2"/>
      <c r="S23" s="375" t="s">
        <v>431</v>
      </c>
      <c r="T23" s="358"/>
      <c r="U23" s="358"/>
      <c r="V23" s="358"/>
      <c r="W23" s="358"/>
      <c r="X23" s="358"/>
      <c r="Y23" s="358"/>
      <c r="Z23" s="359"/>
      <c r="AF23" s="199"/>
    </row>
    <row r="24" spans="1:32" ht="24.95" customHeight="1">
      <c r="C24" s="375" t="s">
        <v>513</v>
      </c>
      <c r="D24" s="354"/>
      <c r="S24" s="354"/>
    </row>
    <row r="25" spans="1:32">
      <c r="C25" s="375"/>
    </row>
  </sheetData>
  <dataValidations count="2">
    <dataValidation type="list" allowBlank="1" showInputMessage="1" showErrorMessage="1" sqref="F11:Q17 F19:Q23" xr:uid="{00000000-0002-0000-0600-000000000000}">
      <formula1>$AF$1:$AF$5</formula1>
    </dataValidation>
    <dataValidation type="list" allowBlank="1" showInputMessage="1" showErrorMessage="1" sqref="R21:R23" xr:uid="{00000000-0002-0000-0600-000001000000}">
      <formula1>#REF!</formula1>
    </dataValidation>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AD41"/>
  <sheetViews>
    <sheetView topLeftCell="C9" zoomScale="70" zoomScaleNormal="70" workbookViewId="0">
      <selection activeCell="K23" sqref="K23"/>
    </sheetView>
  </sheetViews>
  <sheetFormatPr baseColWidth="10" defaultColWidth="9" defaultRowHeight="14.25" outlineLevelRow="1"/>
  <cols>
    <col min="1" max="1" width="2.625" style="196" customWidth="1"/>
    <col min="2" max="2" width="5.625" style="196" customWidth="1"/>
    <col min="3" max="3" width="15.625" style="196" customWidth="1"/>
    <col min="4" max="4" width="54.875" style="196" customWidth="1"/>
    <col min="5" max="5" width="15.625" style="228" customWidth="1"/>
    <col min="6" max="6" width="12.625" style="227" customWidth="1"/>
    <col min="7" max="17" width="12.625" style="77" customWidth="1"/>
    <col min="18" max="18" width="5.625" style="77" customWidth="1"/>
    <col min="19" max="19" width="32.125" style="356" customWidth="1"/>
    <col min="20" max="20" width="10.625" style="356" customWidth="1"/>
    <col min="21" max="26" width="9" style="356"/>
    <col min="27" max="16384" width="9" style="77"/>
  </cols>
  <sheetData>
    <row r="1" spans="1:30" s="2" customFormat="1" ht="15" customHeight="1" outlineLevel="1">
      <c r="A1" s="201"/>
      <c r="B1" s="202"/>
      <c r="C1" s="203"/>
      <c r="D1" s="204"/>
      <c r="E1" s="214" t="s">
        <v>237</v>
      </c>
      <c r="F1" s="442"/>
      <c r="G1" s="6"/>
      <c r="H1" s="6"/>
      <c r="I1" s="6"/>
      <c r="J1" s="6"/>
      <c r="K1" s="6"/>
      <c r="L1" s="93" t="s">
        <v>93</v>
      </c>
      <c r="M1" s="6"/>
      <c r="N1" s="6"/>
      <c r="O1" s="6"/>
      <c r="P1" s="6"/>
      <c r="Q1" s="6"/>
      <c r="S1" s="325" t="s">
        <v>447</v>
      </c>
      <c r="T1" s="325" t="s">
        <v>390</v>
      </c>
      <c r="U1" s="326"/>
      <c r="V1" s="326"/>
      <c r="W1" s="326"/>
      <c r="X1" s="326"/>
      <c r="Y1" s="326"/>
      <c r="Z1" s="326"/>
      <c r="AD1" s="6" t="s">
        <v>414</v>
      </c>
    </row>
    <row r="2" spans="1:30" s="2" customFormat="1" ht="15" customHeight="1" outlineLevel="1">
      <c r="A2" s="205"/>
      <c r="B2" s="100"/>
      <c r="C2" s="206"/>
      <c r="D2" s="207"/>
      <c r="E2" s="208" t="s">
        <v>100</v>
      </c>
      <c r="F2" s="615" t="str">
        <f>'Whole life model'!F2</f>
        <v>ARGENTINA</v>
      </c>
      <c r="G2" s="242"/>
      <c r="H2" s="243"/>
      <c r="I2" s="6"/>
      <c r="J2" s="6"/>
      <c r="K2" s="6"/>
      <c r="L2" s="80" t="s">
        <v>86</v>
      </c>
      <c r="M2" s="80"/>
      <c r="N2" s="89" t="s">
        <v>137</v>
      </c>
      <c r="O2" s="90"/>
      <c r="P2" s="6"/>
      <c r="Q2" s="6"/>
      <c r="S2" s="326"/>
      <c r="T2" s="326"/>
      <c r="U2" s="326"/>
      <c r="V2" s="326"/>
      <c r="W2" s="326"/>
      <c r="X2" s="326"/>
      <c r="Y2" s="326"/>
      <c r="Z2" s="326"/>
      <c r="AD2" s="6" t="s">
        <v>415</v>
      </c>
    </row>
    <row r="3" spans="1:30" s="2" customFormat="1" ht="15" customHeight="1" outlineLevel="1">
      <c r="A3" s="205"/>
      <c r="B3" s="209"/>
      <c r="C3" s="206"/>
      <c r="D3" s="207"/>
      <c r="E3" s="208" t="s">
        <v>235</v>
      </c>
      <c r="F3" s="615" t="str">
        <f>'Whole life model'!F3</f>
        <v>AFCP</v>
      </c>
      <c r="G3" s="242"/>
      <c r="H3" s="243"/>
      <c r="I3" s="6"/>
      <c r="J3" s="6"/>
      <c r="K3" s="6"/>
      <c r="L3" s="81" t="s">
        <v>1</v>
      </c>
      <c r="M3" s="82"/>
      <c r="N3" s="85" t="s">
        <v>486</v>
      </c>
      <c r="O3" s="86"/>
      <c r="P3" s="6"/>
      <c r="Q3" s="6"/>
      <c r="S3" s="326"/>
      <c r="T3" s="326"/>
      <c r="U3" s="326"/>
      <c r="V3" s="326"/>
      <c r="W3" s="326"/>
      <c r="X3" s="326"/>
      <c r="Y3" s="326"/>
      <c r="Z3" s="326"/>
      <c r="AD3" s="6" t="s">
        <v>416</v>
      </c>
    </row>
    <row r="4" spans="1:30" s="2" customFormat="1" ht="15" customHeight="1" outlineLevel="1">
      <c r="A4" s="205"/>
      <c r="B4" s="209"/>
      <c r="C4" s="206"/>
      <c r="D4" s="207"/>
      <c r="E4" s="452" t="s">
        <v>461</v>
      </c>
      <c r="F4" s="242" t="str">
        <f>'Whole life model'!F4</f>
        <v>FICEM and AFCP</v>
      </c>
      <c r="G4" s="242"/>
      <c r="H4" s="243"/>
      <c r="I4" s="6"/>
      <c r="J4" s="6"/>
      <c r="K4" s="6"/>
      <c r="L4" s="83" t="s">
        <v>2</v>
      </c>
      <c r="M4" s="84"/>
      <c r="N4" s="87" t="s">
        <v>0</v>
      </c>
      <c r="O4" s="88"/>
      <c r="P4" s="6"/>
      <c r="Q4" s="6"/>
      <c r="S4" s="322"/>
      <c r="T4" s="326"/>
      <c r="U4" s="326"/>
      <c r="V4" s="326"/>
      <c r="W4" s="326"/>
      <c r="X4" s="326"/>
      <c r="Y4" s="326"/>
      <c r="Z4" s="326"/>
      <c r="AD4" s="6" t="s">
        <v>417</v>
      </c>
    </row>
    <row r="5" spans="1:30" s="2" customFormat="1" ht="15" customHeight="1" outlineLevel="1">
      <c r="A5" s="205"/>
      <c r="B5" s="209"/>
      <c r="C5" s="206"/>
      <c r="D5" s="207"/>
      <c r="E5" s="208" t="s">
        <v>102</v>
      </c>
      <c r="F5" s="242" t="str">
        <f>'Whole life model'!F5</f>
        <v>maria.lefevre@afcp.org.ar</v>
      </c>
      <c r="G5" s="242"/>
      <c r="H5" s="243"/>
      <c r="I5" s="6"/>
      <c r="J5" s="6"/>
      <c r="K5" s="6"/>
      <c r="L5" s="324" t="s">
        <v>391</v>
      </c>
      <c r="M5" s="6"/>
      <c r="N5" s="6"/>
      <c r="O5" s="6"/>
      <c r="P5" s="6"/>
      <c r="Q5" s="6"/>
      <c r="S5" s="322"/>
      <c r="T5" s="326"/>
      <c r="U5" s="326"/>
      <c r="V5" s="326"/>
      <c r="W5" s="326"/>
      <c r="X5" s="326"/>
      <c r="Y5" s="326"/>
      <c r="Z5" s="326"/>
      <c r="AD5" s="6" t="s">
        <v>423</v>
      </c>
    </row>
    <row r="6" spans="1:30" s="2" customFormat="1" ht="15" customHeight="1" outlineLevel="1">
      <c r="A6" s="205"/>
      <c r="B6" s="209"/>
      <c r="C6" s="206"/>
      <c r="D6" s="207"/>
      <c r="E6" s="208" t="s">
        <v>101</v>
      </c>
      <c r="F6" s="242" t="str">
        <f>'Whole life model'!F6</f>
        <v>Phone</v>
      </c>
      <c r="G6" s="242"/>
      <c r="H6" s="243"/>
      <c r="I6" s="6"/>
      <c r="J6" s="6"/>
      <c r="M6" s="6"/>
      <c r="N6" s="6"/>
      <c r="O6" s="6"/>
      <c r="P6" s="6"/>
      <c r="Q6" s="6"/>
      <c r="S6" s="326"/>
      <c r="T6" s="326"/>
      <c r="U6" s="326"/>
      <c r="V6" s="326"/>
      <c r="W6" s="326"/>
      <c r="X6" s="326"/>
      <c r="Y6" s="326"/>
      <c r="Z6" s="326"/>
    </row>
    <row r="7" spans="1:30" s="2" customFormat="1" ht="24.95" customHeight="1">
      <c r="A7" s="210"/>
      <c r="B7" s="125" t="str">
        <f>'Whole life model'!B7</f>
        <v xml:space="preserve">GCCA Roadmap Template </v>
      </c>
      <c r="C7" s="145"/>
      <c r="D7" s="125" t="str">
        <f>'Whole life model'!D7</f>
        <v>Version 202, 19.07.2022, ECRA</v>
      </c>
      <c r="E7" s="208" t="s">
        <v>98</v>
      </c>
      <c r="F7" s="34">
        <f>'Whole life model'!F7</f>
        <v>2020</v>
      </c>
      <c r="G7" s="34">
        <f>'Whole life model'!G7</f>
        <v>2030</v>
      </c>
      <c r="H7" s="34">
        <f>'Whole life model'!H7</f>
        <v>2050</v>
      </c>
      <c r="I7" s="9">
        <f>'Whole life model'!F7</f>
        <v>2020</v>
      </c>
      <c r="J7" s="9">
        <f>'Whole life model'!G7</f>
        <v>2030</v>
      </c>
      <c r="K7" s="9">
        <f>'Whole life model'!H7</f>
        <v>2050</v>
      </c>
      <c r="L7" s="9">
        <f>'Whole life model'!F7</f>
        <v>2020</v>
      </c>
      <c r="M7" s="9">
        <f>'Whole life model'!G7</f>
        <v>2030</v>
      </c>
      <c r="N7" s="9">
        <f>'Whole life model'!H7</f>
        <v>2050</v>
      </c>
      <c r="O7" s="9">
        <f>'Whole life model'!F7</f>
        <v>2020</v>
      </c>
      <c r="P7" s="9">
        <f>'Whole life model'!G7</f>
        <v>2030</v>
      </c>
      <c r="Q7" s="9">
        <f>'Whole life model'!H7</f>
        <v>2050</v>
      </c>
      <c r="S7" s="326"/>
      <c r="T7" s="326"/>
      <c r="U7" s="326"/>
      <c r="V7" s="326"/>
      <c r="W7" s="326"/>
      <c r="X7" s="326"/>
      <c r="Y7" s="326"/>
      <c r="Z7" s="326"/>
    </row>
    <row r="8" spans="1:30" s="32" customFormat="1" ht="24.95" customHeight="1" thickBot="1">
      <c r="A8" s="211"/>
      <c r="B8" s="212" t="s">
        <v>154</v>
      </c>
      <c r="C8" s="213" t="s">
        <v>340</v>
      </c>
      <c r="D8" s="211" t="s">
        <v>97</v>
      </c>
      <c r="E8" s="292" t="s">
        <v>448</v>
      </c>
      <c r="F8" s="23"/>
      <c r="G8" s="222" t="s">
        <v>6</v>
      </c>
      <c r="H8" s="222"/>
      <c r="I8" s="223"/>
      <c r="J8" s="223" t="s">
        <v>846</v>
      </c>
      <c r="K8" s="223"/>
      <c r="L8" s="224"/>
      <c r="M8" s="225" t="s">
        <v>847</v>
      </c>
      <c r="N8" s="224"/>
      <c r="O8" s="226"/>
      <c r="P8" s="226" t="s">
        <v>7</v>
      </c>
      <c r="Q8" s="226"/>
      <c r="R8" s="431"/>
      <c r="S8" s="517"/>
      <c r="T8" s="433"/>
      <c r="U8" s="433"/>
      <c r="V8" s="433"/>
      <c r="W8" s="433"/>
      <c r="X8" s="433"/>
      <c r="Y8" s="433"/>
      <c r="Z8" s="433"/>
      <c r="AA8" s="431"/>
      <c r="AB8" s="431"/>
      <c r="AC8" s="431"/>
    </row>
    <row r="9" spans="1:30" s="461" customFormat="1" ht="24.95" customHeight="1" thickTop="1">
      <c r="A9" s="221"/>
      <c r="B9" s="285" t="s">
        <v>105</v>
      </c>
      <c r="C9" s="284" t="s">
        <v>491</v>
      </c>
      <c r="D9" s="284"/>
      <c r="E9" s="295"/>
      <c r="F9" s="599"/>
      <c r="G9" s="600"/>
      <c r="H9" s="600"/>
      <c r="I9" s="600"/>
      <c r="J9" s="600"/>
      <c r="K9" s="600"/>
      <c r="L9" s="600"/>
      <c r="M9" s="600"/>
      <c r="N9" s="600"/>
      <c r="O9" s="600"/>
      <c r="P9" s="600"/>
      <c r="Q9" s="601"/>
      <c r="R9" s="16"/>
      <c r="S9" s="265"/>
      <c r="T9" s="265"/>
      <c r="U9" s="265"/>
      <c r="V9" s="265"/>
      <c r="W9" s="265"/>
      <c r="X9" s="265"/>
      <c r="Y9" s="265"/>
      <c r="Z9" s="265"/>
      <c r="AA9" s="16"/>
      <c r="AB9" s="16"/>
      <c r="AC9" s="16"/>
    </row>
    <row r="10" spans="1:30" s="220" customFormat="1" ht="24.95" customHeight="1">
      <c r="A10" s="2"/>
      <c r="B10" s="4"/>
      <c r="C10" s="426" t="s">
        <v>444</v>
      </c>
      <c r="D10" s="326"/>
      <c r="E10" s="298" t="s">
        <v>373</v>
      </c>
      <c r="F10" s="602"/>
      <c r="G10" s="555"/>
      <c r="H10" s="603"/>
      <c r="I10" s="603"/>
      <c r="J10" s="603"/>
      <c r="K10" s="603"/>
      <c r="L10" s="603"/>
      <c r="M10" s="603"/>
      <c r="N10" s="603"/>
      <c r="O10" s="603"/>
      <c r="P10" s="603"/>
      <c r="Q10" s="604"/>
      <c r="R10" s="6"/>
      <c r="S10" s="323"/>
      <c r="T10" s="354"/>
      <c r="U10" s="354"/>
      <c r="V10" s="354"/>
      <c r="W10" s="354"/>
      <c r="X10" s="354"/>
      <c r="Y10" s="354"/>
      <c r="Z10" s="354"/>
      <c r="AA10" s="199"/>
      <c r="AB10" s="199"/>
      <c r="AC10" s="199"/>
    </row>
    <row r="11" spans="1:30" s="199" customFormat="1" ht="24.95" customHeight="1">
      <c r="A11" s="2"/>
      <c r="B11" s="233" t="s">
        <v>198</v>
      </c>
      <c r="C11" s="234" t="s">
        <v>910</v>
      </c>
      <c r="D11" s="235" t="s">
        <v>889</v>
      </c>
      <c r="E11" s="321" t="s">
        <v>416</v>
      </c>
      <c r="F11" s="574"/>
      <c r="G11" s="575"/>
      <c r="H11" s="575"/>
      <c r="I11" s="575"/>
      <c r="J11" s="575"/>
      <c r="K11" s="575"/>
      <c r="L11" s="575"/>
      <c r="M11" s="575"/>
      <c r="N11" s="575"/>
      <c r="O11" s="575"/>
      <c r="P11" s="575"/>
      <c r="Q11" s="576"/>
      <c r="R11" s="2"/>
      <c r="S11" s="326" t="s">
        <v>539</v>
      </c>
      <c r="T11" s="326" t="s">
        <v>387</v>
      </c>
      <c r="U11" s="354"/>
      <c r="V11" s="354"/>
      <c r="W11" s="354"/>
      <c r="X11" s="354"/>
      <c r="Y11" s="354"/>
      <c r="Z11" s="354"/>
    </row>
    <row r="12" spans="1:30" s="199" customFormat="1" ht="24.95" customHeight="1">
      <c r="A12" s="2"/>
      <c r="B12" s="233" t="s">
        <v>199</v>
      </c>
      <c r="C12" s="234" t="s">
        <v>890</v>
      </c>
      <c r="D12" s="235" t="s">
        <v>891</v>
      </c>
      <c r="E12" s="321" t="s">
        <v>414</v>
      </c>
      <c r="F12" s="574"/>
      <c r="G12" s="575"/>
      <c r="H12" s="575"/>
      <c r="I12" s="575"/>
      <c r="J12" s="575"/>
      <c r="K12" s="575"/>
      <c r="L12" s="575"/>
      <c r="M12" s="575"/>
      <c r="N12" s="575"/>
      <c r="O12" s="575"/>
      <c r="P12" s="575"/>
      <c r="Q12" s="576"/>
      <c r="R12" s="2"/>
      <c r="S12" s="326" t="s">
        <v>540</v>
      </c>
      <c r="T12" s="326" t="s">
        <v>46</v>
      </c>
      <c r="U12" s="354"/>
      <c r="V12" s="354"/>
      <c r="W12" s="354"/>
      <c r="X12" s="354"/>
      <c r="Y12" s="354"/>
      <c r="Z12" s="354"/>
    </row>
    <row r="13" spans="1:30" s="199" customFormat="1" ht="24.95" customHeight="1">
      <c r="A13" s="2"/>
      <c r="B13" s="233" t="s">
        <v>200</v>
      </c>
      <c r="C13" s="234" t="s">
        <v>892</v>
      </c>
      <c r="D13" s="235" t="s">
        <v>893</v>
      </c>
      <c r="E13" s="321" t="s">
        <v>415</v>
      </c>
      <c r="F13" s="574"/>
      <c r="G13" s="575"/>
      <c r="H13" s="575"/>
      <c r="I13" s="575"/>
      <c r="J13" s="575"/>
      <c r="K13" s="575"/>
      <c r="L13" s="575"/>
      <c r="M13" s="575"/>
      <c r="N13" s="575"/>
      <c r="O13" s="575"/>
      <c r="P13" s="575"/>
      <c r="Q13" s="576"/>
      <c r="R13" s="2"/>
      <c r="S13" s="326" t="s">
        <v>541</v>
      </c>
      <c r="T13" s="326" t="s">
        <v>47</v>
      </c>
      <c r="U13" s="354"/>
      <c r="V13" s="354"/>
      <c r="W13" s="354"/>
      <c r="X13" s="354"/>
      <c r="Y13" s="354"/>
      <c r="Z13" s="354"/>
    </row>
    <row r="14" spans="1:30" s="199" customFormat="1" ht="24.95" customHeight="1">
      <c r="A14" s="2"/>
      <c r="B14" s="233" t="s">
        <v>201</v>
      </c>
      <c r="C14" s="234" t="s">
        <v>887</v>
      </c>
      <c r="D14" s="235" t="s">
        <v>894</v>
      </c>
      <c r="E14" s="321" t="s">
        <v>416</v>
      </c>
      <c r="F14" s="574"/>
      <c r="G14" s="575"/>
      <c r="H14" s="575"/>
      <c r="I14" s="575"/>
      <c r="J14" s="575"/>
      <c r="K14" s="575"/>
      <c r="L14" s="575"/>
      <c r="M14" s="575"/>
      <c r="N14" s="575"/>
      <c r="O14" s="575"/>
      <c r="P14" s="575"/>
      <c r="Q14" s="576"/>
      <c r="R14" s="2"/>
      <c r="S14" s="326" t="s">
        <v>542</v>
      </c>
      <c r="T14" s="326" t="s">
        <v>48</v>
      </c>
      <c r="U14" s="354"/>
      <c r="V14" s="354"/>
      <c r="W14" s="354"/>
      <c r="X14" s="354"/>
      <c r="Y14" s="354"/>
      <c r="Z14" s="354"/>
    </row>
    <row r="15" spans="1:30" s="199" customFormat="1" ht="24.95" customHeight="1">
      <c r="A15" s="2"/>
      <c r="B15" s="233" t="s">
        <v>202</v>
      </c>
      <c r="C15" s="234" t="s">
        <v>895</v>
      </c>
      <c r="D15" s="870" t="s">
        <v>896</v>
      </c>
      <c r="E15" s="321" t="s">
        <v>414</v>
      </c>
      <c r="F15" s="574"/>
      <c r="G15" s="575"/>
      <c r="H15" s="575"/>
      <c r="I15" s="575"/>
      <c r="J15" s="251"/>
      <c r="K15" s="580" t="s">
        <v>517</v>
      </c>
      <c r="L15" s="575"/>
      <c r="M15" s="575"/>
      <c r="N15" s="575"/>
      <c r="O15" s="575"/>
      <c r="P15" s="575"/>
      <c r="Q15" s="576"/>
      <c r="R15" s="2"/>
      <c r="S15" s="326" t="s">
        <v>543</v>
      </c>
      <c r="T15" s="2" t="s">
        <v>197</v>
      </c>
      <c r="U15" s="354"/>
      <c r="V15" s="354"/>
      <c r="W15" s="354"/>
      <c r="X15" s="354"/>
      <c r="Y15" s="354"/>
      <c r="Z15" s="354"/>
    </row>
    <row r="16" spans="1:30" s="199" customFormat="1" ht="24.95" customHeight="1">
      <c r="A16" s="2"/>
      <c r="B16" s="233" t="s">
        <v>203</v>
      </c>
      <c r="C16" s="234" t="s">
        <v>911</v>
      </c>
      <c r="D16" s="235" t="s">
        <v>912</v>
      </c>
      <c r="E16" s="321" t="s">
        <v>415</v>
      </c>
      <c r="F16" s="574"/>
      <c r="G16" s="575"/>
      <c r="H16" s="575"/>
      <c r="I16" s="575"/>
      <c r="J16" s="575"/>
      <c r="K16" s="575"/>
      <c r="L16" s="575"/>
      <c r="M16" s="575"/>
      <c r="N16" s="575"/>
      <c r="O16" s="575"/>
      <c r="P16" s="575"/>
      <c r="Q16" s="576"/>
      <c r="R16" s="2"/>
      <c r="S16" s="326" t="s">
        <v>544</v>
      </c>
      <c r="T16" s="2" t="s">
        <v>197</v>
      </c>
      <c r="U16" s="354"/>
      <c r="V16" s="354"/>
      <c r="W16" s="354"/>
      <c r="X16" s="354"/>
      <c r="Y16" s="354"/>
      <c r="Z16" s="354"/>
    </row>
    <row r="17" spans="1:26" s="199" customFormat="1" ht="24.95" customHeight="1">
      <c r="A17" s="2"/>
      <c r="B17" s="233" t="s">
        <v>204</v>
      </c>
      <c r="C17" s="234" t="s">
        <v>195</v>
      </c>
      <c r="D17" s="235" t="s">
        <v>196</v>
      </c>
      <c r="E17" s="321" t="s">
        <v>423</v>
      </c>
      <c r="F17" s="574"/>
      <c r="G17" s="575"/>
      <c r="H17" s="575"/>
      <c r="I17" s="575"/>
      <c r="J17" s="575"/>
      <c r="K17" s="575"/>
      <c r="L17" s="575"/>
      <c r="M17" s="575"/>
      <c r="N17" s="575"/>
      <c r="O17" s="575"/>
      <c r="P17" s="575"/>
      <c r="Q17" s="576"/>
      <c r="R17" s="2"/>
      <c r="S17" s="326" t="s">
        <v>544</v>
      </c>
      <c r="T17" s="2" t="s">
        <v>197</v>
      </c>
      <c r="U17" s="354"/>
      <c r="V17" s="354"/>
      <c r="W17" s="354"/>
      <c r="X17" s="354"/>
      <c r="Y17" s="354"/>
      <c r="Z17" s="354"/>
    </row>
    <row r="18" spans="1:26" s="199" customFormat="1" ht="24.95" customHeight="1">
      <c r="A18" s="2"/>
      <c r="B18" s="233" t="s">
        <v>205</v>
      </c>
      <c r="C18" s="234" t="s">
        <v>195</v>
      </c>
      <c r="D18" s="235" t="s">
        <v>196</v>
      </c>
      <c r="E18" s="321" t="s">
        <v>423</v>
      </c>
      <c r="F18" s="574"/>
      <c r="G18" s="575"/>
      <c r="H18" s="575"/>
      <c r="I18" s="575"/>
      <c r="J18" s="575"/>
      <c r="K18" s="575"/>
      <c r="L18" s="575"/>
      <c r="M18" s="575"/>
      <c r="N18" s="575"/>
      <c r="O18" s="575"/>
      <c r="P18" s="575"/>
      <c r="Q18" s="576"/>
      <c r="R18" s="2"/>
      <c r="S18" s="326" t="s">
        <v>543</v>
      </c>
      <c r="T18" s="2" t="s">
        <v>197</v>
      </c>
      <c r="U18" s="354"/>
      <c r="V18" s="354"/>
      <c r="W18" s="354"/>
      <c r="X18" s="354"/>
      <c r="Y18" s="354"/>
      <c r="Z18" s="354"/>
    </row>
    <row r="19" spans="1:26" s="199" customFormat="1" ht="24.95" customHeight="1">
      <c r="A19" s="2"/>
      <c r="B19" s="233" t="s">
        <v>206</v>
      </c>
      <c r="C19" s="234" t="s">
        <v>512</v>
      </c>
      <c r="D19" s="235" t="s">
        <v>196</v>
      </c>
      <c r="E19" s="321" t="s">
        <v>423</v>
      </c>
      <c r="F19" s="577"/>
      <c r="G19" s="578"/>
      <c r="H19" s="578"/>
      <c r="I19" s="578"/>
      <c r="J19" s="578"/>
      <c r="K19" s="578"/>
      <c r="L19" s="578"/>
      <c r="M19" s="578"/>
      <c r="N19" s="578"/>
      <c r="O19" s="578"/>
      <c r="P19" s="578"/>
      <c r="Q19" s="579"/>
      <c r="R19" s="2"/>
      <c r="S19" s="326" t="s">
        <v>543</v>
      </c>
      <c r="T19" s="2" t="s">
        <v>197</v>
      </c>
      <c r="U19" s="354"/>
      <c r="V19" s="354"/>
      <c r="W19" s="354"/>
      <c r="X19" s="354"/>
      <c r="Y19" s="354"/>
      <c r="Z19" s="354"/>
    </row>
    <row r="20" spans="1:26" s="199" customFormat="1" ht="24.95" customHeight="1">
      <c r="A20" s="2"/>
      <c r="B20" s="2"/>
      <c r="C20" s="322" t="s">
        <v>513</v>
      </c>
      <c r="D20" s="259"/>
      <c r="E20" s="176"/>
      <c r="F20" s="443" t="s">
        <v>535</v>
      </c>
      <c r="G20" s="320"/>
      <c r="H20" s="236"/>
      <c r="J20" s="236"/>
      <c r="K20" s="236"/>
      <c r="L20" s="236"/>
      <c r="M20" s="236"/>
      <c r="N20" s="236"/>
      <c r="O20" s="236"/>
      <c r="P20" s="236"/>
      <c r="Q20" s="236"/>
      <c r="R20" s="2"/>
      <c r="S20" s="2"/>
      <c r="T20" s="2"/>
      <c r="U20" s="354"/>
      <c r="V20" s="354"/>
      <c r="W20" s="354"/>
      <c r="X20" s="354"/>
      <c r="Y20" s="354"/>
      <c r="Z20" s="354"/>
    </row>
    <row r="21" spans="1:26" s="220" customFormat="1" ht="24.95" customHeight="1">
      <c r="A21" s="16"/>
      <c r="B21" s="233" t="s">
        <v>207</v>
      </c>
      <c r="C21" s="375" t="s">
        <v>852</v>
      </c>
      <c r="D21" s="284"/>
      <c r="E21" s="838" t="s">
        <v>232</v>
      </c>
      <c r="F21" s="618">
        <v>0</v>
      </c>
      <c r="G21" s="617">
        <v>0.05</v>
      </c>
      <c r="H21" s="617">
        <v>0.15</v>
      </c>
      <c r="I21" s="619">
        <v>0</v>
      </c>
      <c r="J21" s="619">
        <v>0.05</v>
      </c>
      <c r="K21" s="619">
        <v>0.1</v>
      </c>
      <c r="L21" s="619">
        <v>0</v>
      </c>
      <c r="M21" s="617">
        <v>0</v>
      </c>
      <c r="N21" s="617">
        <v>0</v>
      </c>
      <c r="O21" s="619">
        <v>0</v>
      </c>
      <c r="P21" s="617">
        <v>0</v>
      </c>
      <c r="Q21" s="617">
        <v>0</v>
      </c>
      <c r="R21" s="16"/>
      <c r="S21" s="16"/>
      <c r="T21" s="16"/>
      <c r="U21" s="355"/>
      <c r="V21" s="355"/>
      <c r="W21" s="355"/>
      <c r="X21" s="355"/>
      <c r="Y21" s="355"/>
      <c r="Z21" s="355"/>
    </row>
    <row r="22" spans="1:26" s="220" customFormat="1" ht="24.95" customHeight="1">
      <c r="A22" s="16"/>
      <c r="B22" s="233" t="s">
        <v>495</v>
      </c>
      <c r="C22" s="836" t="s">
        <v>853</v>
      </c>
      <c r="D22" s="284"/>
      <c r="E22" s="837" t="s">
        <v>232</v>
      </c>
      <c r="F22" s="618">
        <v>0</v>
      </c>
      <c r="G22" s="841">
        <f>+G21*'0.2 Share of concrete'!G18</f>
        <v>2.5000000000000005E-3</v>
      </c>
      <c r="H22" s="841">
        <f>+H21*'0.2 Share of concrete'!H18</f>
        <v>2.2499999999999999E-2</v>
      </c>
      <c r="I22" s="619">
        <v>0</v>
      </c>
      <c r="J22" s="619">
        <v>0</v>
      </c>
      <c r="K22" s="619">
        <v>0.1</v>
      </c>
      <c r="L22" s="619">
        <v>0</v>
      </c>
      <c r="M22" s="841">
        <f>+M21*'0.2 Share of concrete'!M18</f>
        <v>0</v>
      </c>
      <c r="N22" s="841">
        <f>+N21*'0.2 Share of concrete'!N18</f>
        <v>0</v>
      </c>
      <c r="O22" s="619">
        <v>0</v>
      </c>
      <c r="P22" s="841">
        <f>+P21*'0.2 Share of concrete'!P18</f>
        <v>0</v>
      </c>
      <c r="Q22" s="841">
        <f>+Q21*'0.2 Share of concrete'!Q18</f>
        <v>0</v>
      </c>
      <c r="R22" s="16"/>
      <c r="S22" s="16"/>
      <c r="T22" s="16"/>
      <c r="U22" s="355"/>
      <c r="V22" s="355"/>
      <c r="W22" s="355"/>
      <c r="X22" s="355"/>
      <c r="Y22" s="355"/>
      <c r="Z22" s="355"/>
    </row>
    <row r="23" spans="1:26" s="220" customFormat="1" ht="24.95" customHeight="1">
      <c r="A23" s="16"/>
      <c r="B23" s="233" t="s">
        <v>849</v>
      </c>
      <c r="C23" s="284" t="s">
        <v>851</v>
      </c>
      <c r="D23" s="284"/>
      <c r="E23" s="839" t="s">
        <v>232</v>
      </c>
      <c r="F23" s="618">
        <v>0</v>
      </c>
      <c r="G23" s="617">
        <v>0</v>
      </c>
      <c r="H23" s="617">
        <v>0</v>
      </c>
      <c r="I23" s="619">
        <v>0</v>
      </c>
      <c r="J23" s="617">
        <v>0</v>
      </c>
      <c r="K23" s="617">
        <v>0</v>
      </c>
      <c r="L23" s="619">
        <v>0</v>
      </c>
      <c r="M23" s="617">
        <v>0</v>
      </c>
      <c r="N23" s="617">
        <v>0</v>
      </c>
      <c r="O23" s="619">
        <v>0</v>
      </c>
      <c r="P23" s="617">
        <v>0</v>
      </c>
      <c r="Q23" s="617">
        <v>0</v>
      </c>
      <c r="R23" s="16"/>
      <c r="S23" s="265" t="s">
        <v>538</v>
      </c>
      <c r="T23" s="355"/>
      <c r="U23" s="355"/>
      <c r="V23" s="355"/>
      <c r="W23" s="355"/>
      <c r="X23" s="355"/>
      <c r="Y23" s="355"/>
      <c r="Z23" s="355"/>
    </row>
    <row r="24" spans="1:26" s="199" customFormat="1" ht="24.95" customHeight="1">
      <c r="A24" s="2"/>
      <c r="B24" s="233" t="s">
        <v>850</v>
      </c>
      <c r="C24" s="259" t="s">
        <v>494</v>
      </c>
      <c r="D24" s="259"/>
      <c r="E24" s="840" t="s">
        <v>232</v>
      </c>
      <c r="F24" s="444">
        <v>1</v>
      </c>
      <c r="G24" s="520">
        <f>1-G23-G22</f>
        <v>0.99750000000000005</v>
      </c>
      <c r="H24" s="520">
        <f>1-H23-H22</f>
        <v>0.97750000000000004</v>
      </c>
      <c r="I24" s="238">
        <v>1</v>
      </c>
      <c r="J24" s="520">
        <f>1-J23-J22</f>
        <v>1</v>
      </c>
      <c r="K24" s="520">
        <f>1-K23-K22</f>
        <v>0.9</v>
      </c>
      <c r="L24" s="238">
        <v>1</v>
      </c>
      <c r="M24" s="520">
        <f>1-M23-M22</f>
        <v>1</v>
      </c>
      <c r="N24" s="520">
        <f>1-N23-N22</f>
        <v>1</v>
      </c>
      <c r="O24" s="238">
        <v>1</v>
      </c>
      <c r="P24" s="520">
        <f>1-P23-P22</f>
        <v>1</v>
      </c>
      <c r="Q24" s="520">
        <f>1-Q23-Q22</f>
        <v>1</v>
      </c>
      <c r="R24" s="2"/>
      <c r="S24" s="326"/>
      <c r="T24" s="354"/>
      <c r="U24" s="354"/>
      <c r="V24" s="354"/>
      <c r="W24" s="354"/>
      <c r="X24" s="354"/>
      <c r="Y24" s="354"/>
      <c r="Z24" s="354"/>
    </row>
    <row r="25" spans="1:26" s="199" customFormat="1">
      <c r="E25" s="217"/>
      <c r="F25" s="445"/>
      <c r="G25" s="218"/>
      <c r="H25" s="218"/>
      <c r="I25" s="218"/>
      <c r="J25" s="218"/>
      <c r="K25" s="218"/>
      <c r="L25" s="218"/>
      <c r="M25" s="218"/>
      <c r="N25" s="218"/>
      <c r="S25" s="354"/>
      <c r="T25" s="354"/>
      <c r="U25" s="354"/>
      <c r="V25" s="354"/>
      <c r="W25" s="354"/>
      <c r="X25" s="354"/>
      <c r="Y25" s="354"/>
      <c r="Z25" s="354"/>
    </row>
    <row r="26" spans="1:26" s="199" customFormat="1">
      <c r="E26" s="217"/>
      <c r="F26" s="215"/>
      <c r="S26" s="354"/>
      <c r="T26" s="354"/>
      <c r="U26" s="354"/>
      <c r="V26" s="354"/>
      <c r="W26" s="354"/>
      <c r="X26" s="354"/>
      <c r="Y26" s="354"/>
      <c r="Z26" s="354"/>
    </row>
    <row r="27" spans="1:26" s="199" customFormat="1">
      <c r="E27" s="217"/>
      <c r="F27" s="215"/>
      <c r="S27" s="354"/>
      <c r="T27" s="354"/>
      <c r="U27" s="354"/>
      <c r="V27" s="354"/>
      <c r="W27" s="354"/>
      <c r="X27" s="354"/>
      <c r="Y27" s="354"/>
      <c r="Z27" s="354"/>
    </row>
    <row r="28" spans="1:26" s="199" customFormat="1">
      <c r="A28" s="198"/>
      <c r="B28" s="198"/>
      <c r="C28" s="198"/>
      <c r="D28" s="198"/>
      <c r="E28" s="216"/>
      <c r="F28" s="215"/>
      <c r="S28" s="354"/>
      <c r="T28" s="354"/>
      <c r="U28" s="354"/>
      <c r="V28" s="354"/>
      <c r="W28" s="354"/>
      <c r="X28" s="354"/>
      <c r="Y28" s="354"/>
      <c r="Z28" s="354"/>
    </row>
    <row r="31" spans="1:26">
      <c r="F31" s="446"/>
      <c r="G31" s="219"/>
      <c r="H31" s="219"/>
      <c r="I31" s="219"/>
      <c r="J31" s="219"/>
      <c r="K31" s="219"/>
      <c r="L31" s="219"/>
      <c r="M31" s="219"/>
      <c r="N31" s="219"/>
    </row>
    <row r="32" spans="1:26">
      <c r="F32" s="446"/>
      <c r="G32" s="219"/>
      <c r="H32" s="219"/>
      <c r="I32" s="219"/>
      <c r="J32" s="219"/>
      <c r="K32" s="219"/>
      <c r="L32" s="219"/>
      <c r="M32" s="219"/>
      <c r="N32" s="219"/>
    </row>
    <row r="33" spans="6:14">
      <c r="F33" s="446"/>
      <c r="G33" s="219"/>
      <c r="H33" s="219"/>
      <c r="I33" s="219"/>
      <c r="J33" s="219"/>
      <c r="K33" s="219"/>
      <c r="L33" s="219"/>
      <c r="M33" s="219"/>
      <c r="N33" s="219"/>
    </row>
    <row r="34" spans="6:14">
      <c r="F34" s="446"/>
      <c r="G34" s="219"/>
      <c r="H34" s="219"/>
      <c r="I34" s="219"/>
      <c r="J34" s="219"/>
      <c r="K34" s="219"/>
      <c r="L34" s="219"/>
      <c r="M34" s="219"/>
      <c r="N34" s="219"/>
    </row>
    <row r="35" spans="6:14">
      <c r="F35" s="446"/>
      <c r="G35" s="219"/>
      <c r="H35" s="219"/>
      <c r="I35" s="219"/>
      <c r="J35" s="219"/>
      <c r="K35" s="219"/>
      <c r="L35" s="219"/>
      <c r="M35" s="219"/>
      <c r="N35" s="219"/>
    </row>
    <row r="36" spans="6:14">
      <c r="F36" s="446"/>
      <c r="G36" s="219"/>
      <c r="H36" s="219"/>
      <c r="I36" s="219"/>
      <c r="J36" s="219"/>
      <c r="K36" s="219"/>
      <c r="L36" s="219"/>
      <c r="M36" s="219"/>
      <c r="N36" s="219"/>
    </row>
    <row r="37" spans="6:14">
      <c r="F37" s="446"/>
      <c r="G37" s="219"/>
      <c r="H37" s="219"/>
      <c r="I37" s="219"/>
      <c r="J37" s="219"/>
      <c r="K37" s="219"/>
      <c r="L37" s="219"/>
      <c r="M37" s="219"/>
      <c r="N37" s="219"/>
    </row>
    <row r="38" spans="6:14">
      <c r="F38" s="446"/>
      <c r="G38" s="219"/>
      <c r="H38" s="219"/>
      <c r="I38" s="219"/>
      <c r="J38" s="219"/>
      <c r="K38" s="219"/>
      <c r="L38" s="219"/>
      <c r="M38" s="219"/>
      <c r="N38" s="219"/>
    </row>
    <row r="39" spans="6:14">
      <c r="F39" s="446"/>
      <c r="G39" s="219"/>
      <c r="H39" s="219"/>
      <c r="I39" s="219"/>
      <c r="J39" s="219"/>
      <c r="K39" s="219"/>
      <c r="L39" s="219"/>
      <c r="M39" s="219"/>
      <c r="N39" s="219"/>
    </row>
    <row r="40" spans="6:14">
      <c r="F40" s="446"/>
      <c r="G40" s="219"/>
      <c r="H40" s="219"/>
      <c r="I40" s="219"/>
      <c r="J40" s="219"/>
      <c r="K40" s="219"/>
      <c r="L40" s="219"/>
      <c r="M40" s="219"/>
      <c r="N40" s="219"/>
    </row>
    <row r="41" spans="6:14">
      <c r="F41" s="446"/>
      <c r="G41" s="219"/>
      <c r="H41" s="219"/>
      <c r="I41" s="219"/>
      <c r="J41" s="219"/>
      <c r="K41" s="219"/>
      <c r="L41" s="219"/>
      <c r="M41" s="219"/>
      <c r="N41" s="219"/>
    </row>
  </sheetData>
  <dataValidations count="1">
    <dataValidation type="list" allowBlank="1" showInputMessage="1" showErrorMessage="1" sqref="E11:E19" xr:uid="{00000000-0002-0000-0500-000000000000}">
      <formula1>$AD$1:$AD$5</formula1>
    </dataValidation>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9998168889431442"/>
  </sheetPr>
  <dimension ref="A1:Q24"/>
  <sheetViews>
    <sheetView zoomScale="90" zoomScaleNormal="90" workbookViewId="0">
      <pane xSplit="5" ySplit="9" topLeftCell="F10" activePane="bottomRight" state="frozen"/>
      <selection pane="topRight" activeCell="F1" sqref="F1"/>
      <selection pane="bottomLeft" activeCell="A9" sqref="A9"/>
      <selection pane="bottomRight" activeCell="D7" sqref="D7"/>
    </sheetView>
  </sheetViews>
  <sheetFormatPr baseColWidth="10" defaultColWidth="9" defaultRowHeight="15" outlineLevelRow="1"/>
  <cols>
    <col min="1" max="1" width="2.625" style="78" customWidth="1"/>
    <col min="2" max="2" width="5.625" style="152" customWidth="1"/>
    <col min="3" max="3" width="15.625" style="78" customWidth="1"/>
    <col min="4" max="4" width="45.625" style="78" customWidth="1"/>
    <col min="5" max="5" width="15.625" style="153" customWidth="1"/>
    <col min="6" max="6" width="60.625" style="154" customWidth="1"/>
    <col min="7" max="8" width="60.625" style="78" customWidth="1"/>
    <col min="9" max="9" width="5.625" style="78" customWidth="1"/>
    <col min="10" max="13" width="10.625" style="78" customWidth="1"/>
    <col min="14" max="16384" width="9" style="78"/>
  </cols>
  <sheetData>
    <row r="1" spans="1:17" s="6" customFormat="1" ht="15" customHeight="1" outlineLevel="1">
      <c r="A1" s="134"/>
      <c r="B1" s="135"/>
      <c r="C1" s="136"/>
      <c r="D1" s="137"/>
      <c r="E1" s="132" t="s">
        <v>237</v>
      </c>
      <c r="F1" s="92"/>
      <c r="G1" s="91"/>
      <c r="H1" s="91"/>
      <c r="I1" s="8"/>
      <c r="J1" s="325" t="s">
        <v>447</v>
      </c>
      <c r="L1" s="93" t="s">
        <v>93</v>
      </c>
    </row>
    <row r="2" spans="1:17" s="6" customFormat="1" ht="15" customHeight="1" outlineLevel="1">
      <c r="A2" s="138"/>
      <c r="B2" s="139"/>
      <c r="C2" s="140"/>
      <c r="D2" s="141"/>
      <c r="E2" s="142" t="s">
        <v>100</v>
      </c>
      <c r="F2" s="615" t="str">
        <f>'Whole life model'!F2</f>
        <v>ARGENTINA</v>
      </c>
      <c r="G2" s="242"/>
      <c r="H2" s="243"/>
      <c r="I2" s="8"/>
      <c r="L2" s="80" t="s">
        <v>86</v>
      </c>
      <c r="M2" s="80"/>
      <c r="N2" s="89" t="s">
        <v>137</v>
      </c>
      <c r="O2" s="90"/>
    </row>
    <row r="3" spans="1:17" s="6" customFormat="1" ht="15" customHeight="1" outlineLevel="1">
      <c r="A3" s="138"/>
      <c r="B3" s="143"/>
      <c r="C3" s="140"/>
      <c r="D3" s="141"/>
      <c r="E3" s="142" t="s">
        <v>235</v>
      </c>
      <c r="F3" s="615" t="str">
        <f>'Whole life model'!F3</f>
        <v>AFCP</v>
      </c>
      <c r="G3" s="242"/>
      <c r="H3" s="243"/>
      <c r="I3" s="8"/>
      <c r="L3" s="81" t="s">
        <v>1</v>
      </c>
      <c r="M3" s="82"/>
      <c r="N3" s="85" t="s">
        <v>3</v>
      </c>
      <c r="O3" s="86"/>
    </row>
    <row r="4" spans="1:17" s="6" customFormat="1" ht="15" customHeight="1" outlineLevel="1">
      <c r="A4" s="138"/>
      <c r="B4" s="143"/>
      <c r="C4" s="140"/>
      <c r="D4" s="141"/>
      <c r="E4" s="452" t="s">
        <v>461</v>
      </c>
      <c r="F4" s="242" t="str">
        <f>'Whole life model'!F4</f>
        <v>FICEM and AFCP</v>
      </c>
      <c r="G4" s="242"/>
      <c r="H4" s="243"/>
      <c r="I4" s="8"/>
      <c r="L4" s="83" t="s">
        <v>2</v>
      </c>
      <c r="M4" s="84"/>
      <c r="N4" s="87" t="s">
        <v>0</v>
      </c>
      <c r="O4" s="88"/>
      <c r="P4" s="79"/>
      <c r="Q4" s="79"/>
    </row>
    <row r="5" spans="1:17" s="6" customFormat="1" ht="15" customHeight="1" outlineLevel="1">
      <c r="A5" s="138"/>
      <c r="B5" s="143"/>
      <c r="C5" s="140"/>
      <c r="D5" s="141"/>
      <c r="E5" s="142" t="s">
        <v>102</v>
      </c>
      <c r="F5" s="242" t="str">
        <f>'Whole life model'!F5</f>
        <v>maria.lefevre@afcp.org.ar</v>
      </c>
      <c r="G5" s="242"/>
      <c r="H5" s="243"/>
      <c r="I5" s="8"/>
      <c r="L5" s="324" t="s">
        <v>391</v>
      </c>
      <c r="P5" s="79"/>
      <c r="Q5" s="79"/>
    </row>
    <row r="6" spans="1:17" s="6" customFormat="1" ht="15" customHeight="1" outlineLevel="1">
      <c r="A6" s="138"/>
      <c r="B6" s="143"/>
      <c r="C6" s="140"/>
      <c r="D6" s="141"/>
      <c r="E6" s="142" t="s">
        <v>101</v>
      </c>
      <c r="F6" s="242" t="str">
        <f>'Whole life model'!F6</f>
        <v>Phone</v>
      </c>
      <c r="G6" s="242"/>
      <c r="H6" s="243"/>
      <c r="I6" s="8"/>
    </row>
    <row r="7" spans="1:17" s="6" customFormat="1" ht="24.95" customHeight="1">
      <c r="A7" s="144"/>
      <c r="B7" s="125" t="str">
        <f>'Whole life model'!B7</f>
        <v xml:space="preserve">GCCA Roadmap Template </v>
      </c>
      <c r="C7" s="145"/>
      <c r="D7" s="125" t="str">
        <f>'Whole life model'!D7</f>
        <v>Version 202, 19.07.2022, ECRA</v>
      </c>
      <c r="E7" s="142" t="s">
        <v>98</v>
      </c>
      <c r="F7" s="34">
        <f>'Whole life model'!F7</f>
        <v>2020</v>
      </c>
      <c r="G7" s="34">
        <f>'Whole life model'!G7</f>
        <v>2030</v>
      </c>
      <c r="H7" s="34">
        <f>'Whole life model'!H7</f>
        <v>2050</v>
      </c>
      <c r="I7" s="9"/>
    </row>
    <row r="8" spans="1:17" s="76" customFormat="1" ht="24.95" customHeight="1" thickBot="1">
      <c r="A8" s="130"/>
      <c r="B8" s="155" t="s">
        <v>154</v>
      </c>
      <c r="C8" s="156" t="s">
        <v>96</v>
      </c>
      <c r="D8" s="130" t="s">
        <v>97</v>
      </c>
      <c r="E8" s="157" t="s">
        <v>90</v>
      </c>
      <c r="F8" s="19" t="s">
        <v>383</v>
      </c>
      <c r="G8" s="19" t="s">
        <v>384</v>
      </c>
      <c r="H8" s="19" t="s">
        <v>385</v>
      </c>
      <c r="I8" s="130"/>
      <c r="P8" s="131"/>
      <c r="Q8" s="130"/>
    </row>
    <row r="9" spans="1:17" s="76" customFormat="1" ht="24.95" customHeight="1" thickTop="1" thickBot="1">
      <c r="A9" s="130"/>
      <c r="B9" s="304" t="s">
        <v>375</v>
      </c>
      <c r="C9" s="301"/>
      <c r="D9" s="302"/>
      <c r="E9" s="303"/>
      <c r="F9" s="308" t="s">
        <v>396</v>
      </c>
      <c r="G9" s="309"/>
      <c r="H9" s="310"/>
      <c r="I9" s="130"/>
      <c r="P9" s="131"/>
      <c r="Q9" s="130"/>
    </row>
    <row r="10" spans="1:17" s="46" customFormat="1" ht="39.950000000000003" customHeight="1" thickTop="1">
      <c r="A10" s="15"/>
      <c r="B10" s="305" t="s">
        <v>81</v>
      </c>
      <c r="C10" s="311" t="s">
        <v>11</v>
      </c>
      <c r="D10" s="306" t="s">
        <v>393</v>
      </c>
      <c r="E10" s="307" t="s">
        <v>376</v>
      </c>
      <c r="F10" s="306" t="s">
        <v>394</v>
      </c>
      <c r="G10" s="306"/>
      <c r="H10" s="306" t="s">
        <v>395</v>
      </c>
      <c r="I10" s="15"/>
      <c r="J10" s="360" t="s">
        <v>392</v>
      </c>
      <c r="P10" s="181"/>
      <c r="Q10" s="15"/>
    </row>
    <row r="11" spans="1:17" s="166" customFormat="1" ht="39.950000000000003" customHeight="1">
      <c r="B11" s="312" t="s">
        <v>377</v>
      </c>
      <c r="C11" s="313" t="s">
        <v>378</v>
      </c>
      <c r="D11" s="314" t="s">
        <v>379</v>
      </c>
      <c r="E11" s="315" t="s">
        <v>90</v>
      </c>
      <c r="F11" s="314" t="s">
        <v>381</v>
      </c>
      <c r="G11" s="314" t="s">
        <v>380</v>
      </c>
      <c r="H11" s="314" t="s">
        <v>382</v>
      </c>
      <c r="J11" s="360" t="s">
        <v>449</v>
      </c>
    </row>
    <row r="12" spans="1:17" s="166" customFormat="1" ht="39.950000000000003" customHeight="1">
      <c r="B12" s="312"/>
      <c r="C12" s="313"/>
      <c r="D12" s="314"/>
      <c r="E12" s="315"/>
      <c r="F12" s="314"/>
      <c r="G12" s="314"/>
      <c r="H12" s="314"/>
      <c r="J12" s="360" t="s">
        <v>450</v>
      </c>
    </row>
    <row r="13" spans="1:17" s="166" customFormat="1" ht="39.950000000000003" customHeight="1">
      <c r="B13" s="312"/>
      <c r="C13" s="313"/>
      <c r="D13" s="314"/>
      <c r="E13" s="315"/>
      <c r="F13" s="314"/>
      <c r="G13" s="314"/>
      <c r="H13" s="314"/>
      <c r="J13" s="360" t="s">
        <v>451</v>
      </c>
    </row>
    <row r="14" spans="1:17" s="166" customFormat="1" ht="39.950000000000003" customHeight="1">
      <c r="B14" s="312"/>
      <c r="C14" s="313"/>
      <c r="D14" s="314"/>
      <c r="E14" s="315"/>
      <c r="F14" s="314"/>
      <c r="G14" s="314"/>
      <c r="H14" s="314"/>
    </row>
    <row r="15" spans="1:17" s="166" customFormat="1" ht="39.950000000000003" customHeight="1">
      <c r="B15" s="312"/>
      <c r="C15" s="313"/>
      <c r="D15" s="314"/>
      <c r="E15" s="315"/>
      <c r="F15" s="314"/>
      <c r="G15" s="314"/>
      <c r="H15" s="314"/>
    </row>
    <row r="16" spans="1:17" s="166" customFormat="1" ht="39.950000000000003" customHeight="1">
      <c r="B16" s="312"/>
      <c r="C16" s="313"/>
      <c r="D16" s="314"/>
      <c r="E16" s="315"/>
      <c r="F16" s="314"/>
      <c r="G16" s="314"/>
      <c r="H16" s="314"/>
    </row>
    <row r="17" spans="1:8" s="166" customFormat="1" ht="39.950000000000003" customHeight="1">
      <c r="B17" s="312"/>
      <c r="C17" s="313"/>
      <c r="D17" s="314"/>
      <c r="E17" s="315"/>
      <c r="F17" s="314"/>
      <c r="G17" s="314"/>
      <c r="H17" s="314"/>
    </row>
    <row r="18" spans="1:8" s="146" customFormat="1" ht="39.950000000000003" customHeight="1">
      <c r="A18" s="166"/>
      <c r="B18" s="312"/>
      <c r="C18" s="313"/>
      <c r="D18" s="314"/>
      <c r="E18" s="315"/>
      <c r="F18" s="314"/>
      <c r="G18" s="314"/>
      <c r="H18" s="314"/>
    </row>
    <row r="19" spans="1:8" s="146" customFormat="1" ht="39.950000000000003" customHeight="1">
      <c r="A19" s="166"/>
      <c r="B19" s="312"/>
      <c r="C19" s="313"/>
      <c r="D19" s="314"/>
      <c r="E19" s="315"/>
      <c r="F19" s="314"/>
      <c r="G19" s="314"/>
      <c r="H19" s="314"/>
    </row>
    <row r="20" spans="1:8" s="146" customFormat="1" ht="39.950000000000003" customHeight="1">
      <c r="A20" s="166"/>
      <c r="B20" s="312"/>
      <c r="C20" s="313"/>
      <c r="D20" s="314"/>
      <c r="E20" s="315"/>
      <c r="F20" s="314"/>
      <c r="G20" s="314"/>
      <c r="H20" s="314"/>
    </row>
    <row r="21" spans="1:8">
      <c r="F21" s="162"/>
      <c r="G21" s="163"/>
      <c r="H21" s="163"/>
    </row>
    <row r="22" spans="1:8">
      <c r="F22" s="162"/>
      <c r="G22" s="163"/>
      <c r="H22" s="163"/>
    </row>
    <row r="23" spans="1:8">
      <c r="F23" s="162"/>
      <c r="G23" s="163"/>
      <c r="H23" s="163"/>
    </row>
    <row r="24" spans="1:8">
      <c r="F24" s="162"/>
      <c r="G24" s="163"/>
      <c r="H24" s="163"/>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40BF-DFC7-44F4-ADBC-30CBD10E3DBA}">
  <dimension ref="B2:O79"/>
  <sheetViews>
    <sheetView showGridLines="0" zoomScale="90" zoomScaleNormal="90" workbookViewId="0">
      <selection activeCell="C79" sqref="C79"/>
    </sheetView>
  </sheetViews>
  <sheetFormatPr baseColWidth="10" defaultRowHeight="14.25"/>
  <cols>
    <col min="1" max="1" width="2.5" customWidth="1"/>
    <col min="2" max="2" width="8.125" customWidth="1"/>
    <col min="3" max="3" width="37.625" customWidth="1"/>
    <col min="4" max="4" width="11.375" customWidth="1"/>
    <col min="6" max="6" width="11.5" customWidth="1"/>
    <col min="7" max="7" width="10.875" customWidth="1"/>
    <col min="9" max="9" width="11.375" customWidth="1"/>
    <col min="10" max="10" width="10.875" customWidth="1"/>
    <col min="12" max="12" width="11" customWidth="1"/>
    <col min="15" max="15" width="11.5" customWidth="1"/>
  </cols>
  <sheetData>
    <row r="2" spans="2:15" ht="18">
      <c r="B2" s="1522" t="s">
        <v>1173</v>
      </c>
      <c r="C2" s="1522"/>
      <c r="D2" s="1522"/>
      <c r="E2" s="1522"/>
      <c r="F2" s="1522"/>
      <c r="G2" s="1522"/>
      <c r="H2" s="1522"/>
      <c r="I2" s="1522"/>
      <c r="J2" s="1522"/>
      <c r="K2" s="1522"/>
      <c r="L2" s="1522"/>
    </row>
    <row r="3" spans="2:15" ht="15" thickBot="1"/>
    <row r="4" spans="2:15">
      <c r="B4" s="1221"/>
      <c r="C4" s="1222"/>
      <c r="D4" s="1515" t="s">
        <v>1174</v>
      </c>
      <c r="E4" s="1516"/>
      <c r="F4" s="1516"/>
      <c r="G4" s="1516"/>
      <c r="H4" s="1516"/>
      <c r="I4" s="1516"/>
      <c r="J4" s="1516"/>
      <c r="K4" s="1516"/>
      <c r="L4" s="1517"/>
    </row>
    <row r="5" spans="2:15">
      <c r="B5" s="1223"/>
      <c r="C5" s="1224"/>
      <c r="D5" s="1506">
        <v>2020</v>
      </c>
      <c r="E5" s="1507"/>
      <c r="F5" s="1508"/>
      <c r="G5" s="1506">
        <v>2030</v>
      </c>
      <c r="H5" s="1507"/>
      <c r="I5" s="1508"/>
      <c r="J5" s="1507">
        <v>2050</v>
      </c>
      <c r="K5" s="1507"/>
      <c r="L5" s="1508"/>
    </row>
    <row r="6" spans="2:15" ht="29.25" customHeight="1">
      <c r="B6" s="1223"/>
      <c r="C6" s="1224"/>
      <c r="D6" s="1225" t="s">
        <v>913</v>
      </c>
      <c r="E6" s="1226" t="s">
        <v>1175</v>
      </c>
      <c r="F6" s="1227" t="s">
        <v>1176</v>
      </c>
      <c r="G6" s="1225" t="s">
        <v>913</v>
      </c>
      <c r="H6" s="1226" t="s">
        <v>1175</v>
      </c>
      <c r="I6" s="1227" t="s">
        <v>1176</v>
      </c>
      <c r="J6" s="1228" t="s">
        <v>913</v>
      </c>
      <c r="K6" s="1226" t="s">
        <v>1175</v>
      </c>
      <c r="L6" s="1229" t="s">
        <v>1176</v>
      </c>
      <c r="N6" s="1230" t="s">
        <v>976</v>
      </c>
      <c r="O6" s="1231"/>
    </row>
    <row r="7" spans="2:15" ht="24">
      <c r="B7" s="1223"/>
      <c r="C7" s="1232" t="s">
        <v>1177</v>
      </c>
      <c r="D7" s="1233">
        <v>0</v>
      </c>
      <c r="E7" s="1234">
        <v>0</v>
      </c>
      <c r="F7" s="1235">
        <f>100%-D7-E7</f>
        <v>1</v>
      </c>
      <c r="G7" s="1236" t="s">
        <v>1014</v>
      </c>
      <c r="H7" s="1237" t="s">
        <v>1014</v>
      </c>
      <c r="I7" s="1238" t="s">
        <v>1014</v>
      </c>
      <c r="J7" s="1239" t="s">
        <v>1014</v>
      </c>
      <c r="K7" s="1240" t="s">
        <v>1014</v>
      </c>
      <c r="L7" s="1241" t="s">
        <v>1014</v>
      </c>
      <c r="N7" s="1520" t="s">
        <v>1178</v>
      </c>
      <c r="O7" s="1521"/>
    </row>
    <row r="8" spans="2:15" ht="24" customHeight="1">
      <c r="B8" s="1242"/>
      <c r="C8" s="1243" t="s">
        <v>1179</v>
      </c>
      <c r="D8" s="1239" t="s">
        <v>1014</v>
      </c>
      <c r="E8" s="1240" t="s">
        <v>1014</v>
      </c>
      <c r="F8" s="1241" t="s">
        <v>1014</v>
      </c>
      <c r="G8" s="1244"/>
      <c r="H8" s="1245"/>
      <c r="I8" s="1246"/>
      <c r="J8" s="1244"/>
      <c r="K8" s="1245"/>
      <c r="L8" s="1246"/>
      <c r="N8" s="1230" t="s">
        <v>977</v>
      </c>
      <c r="O8" s="1247"/>
    </row>
    <row r="9" spans="2:15">
      <c r="B9" s="1509" t="s">
        <v>1180</v>
      </c>
      <c r="C9" s="1248" t="s">
        <v>1181</v>
      </c>
      <c r="D9" s="1249" t="s">
        <v>1014</v>
      </c>
      <c r="E9" s="1250" t="s">
        <v>1014</v>
      </c>
      <c r="F9" s="1251" t="s">
        <v>1014</v>
      </c>
      <c r="G9" s="1252"/>
      <c r="H9" s="1253"/>
      <c r="I9" s="1254"/>
      <c r="J9" s="1252"/>
      <c r="K9" s="1253"/>
      <c r="L9" s="1254"/>
      <c r="N9" s="1518" t="s">
        <v>1182</v>
      </c>
      <c r="O9" s="1519"/>
    </row>
    <row r="10" spans="2:15" ht="15" customHeight="1">
      <c r="B10" s="1510"/>
      <c r="C10" s="1255" t="s">
        <v>1183</v>
      </c>
      <c r="D10" s="1256" t="s">
        <v>1014</v>
      </c>
      <c r="E10" s="1257" t="s">
        <v>1014</v>
      </c>
      <c r="F10" s="1258" t="s">
        <v>1014</v>
      </c>
      <c r="G10" s="1259"/>
      <c r="H10" s="1260"/>
      <c r="I10" s="1261"/>
      <c r="J10" s="1259"/>
      <c r="K10" s="1260"/>
      <c r="L10" s="1261"/>
      <c r="N10" s="1520"/>
      <c r="O10" s="1521"/>
    </row>
    <row r="11" spans="2:15">
      <c r="B11" s="1510"/>
      <c r="C11" s="1255" t="s">
        <v>1184</v>
      </c>
      <c r="D11" s="1256" t="s">
        <v>1014</v>
      </c>
      <c r="E11" s="1257" t="s">
        <v>1014</v>
      </c>
      <c r="F11" s="1258" t="s">
        <v>1014</v>
      </c>
      <c r="G11" s="1259"/>
      <c r="H11" s="1260"/>
      <c r="I11" s="1261"/>
      <c r="J11" s="1259"/>
      <c r="K11" s="1260"/>
      <c r="L11" s="1261"/>
    </row>
    <row r="12" spans="2:15" ht="15" thickBot="1">
      <c r="B12" s="1511"/>
      <c r="C12" s="1262" t="s">
        <v>1185</v>
      </c>
      <c r="D12" s="1263" t="s">
        <v>1014</v>
      </c>
      <c r="E12" s="1264" t="s">
        <v>1014</v>
      </c>
      <c r="F12" s="1265" t="s">
        <v>1014</v>
      </c>
      <c r="G12" s="1266"/>
      <c r="H12" s="1267"/>
      <c r="I12" s="1268"/>
      <c r="J12" s="1266"/>
      <c r="K12" s="1267"/>
      <c r="L12" s="1268"/>
      <c r="M12" s="852"/>
      <c r="N12" s="852"/>
    </row>
    <row r="13" spans="2:15">
      <c r="B13" s="1222"/>
      <c r="C13" s="1269" t="s">
        <v>1186</v>
      </c>
      <c r="D13" s="1270" t="s">
        <v>1014</v>
      </c>
      <c r="E13" s="1271" t="s">
        <v>1014</v>
      </c>
      <c r="F13" s="1272" t="s">
        <v>1014</v>
      </c>
      <c r="G13" s="1273">
        <f>+(1-(1-G9)*(1-G10)*(1-G11)*(1-G12))</f>
        <v>0</v>
      </c>
      <c r="H13" s="1274">
        <f t="shared" ref="H13:L13" si="0">+(1-(1-H9)*(1-H10)*(1-H11)*(1-H12))</f>
        <v>0</v>
      </c>
      <c r="I13" s="1275">
        <f t="shared" si="0"/>
        <v>0</v>
      </c>
      <c r="J13" s="1273">
        <f t="shared" si="0"/>
        <v>0</v>
      </c>
      <c r="K13" s="1274">
        <f t="shared" si="0"/>
        <v>0</v>
      </c>
      <c r="L13" s="1275">
        <f t="shared" si="0"/>
        <v>0</v>
      </c>
    </row>
    <row r="14" spans="2:15">
      <c r="B14" s="1224"/>
      <c r="C14" s="1276" t="s">
        <v>1187</v>
      </c>
      <c r="D14" s="1277" t="s">
        <v>1014</v>
      </c>
      <c r="E14" s="1278" t="s">
        <v>1014</v>
      </c>
      <c r="F14" s="1279" t="s">
        <v>1014</v>
      </c>
      <c r="G14" s="1512">
        <f>+G8*G13+H8*H13+I8*I13</f>
        <v>0</v>
      </c>
      <c r="H14" s="1513"/>
      <c r="I14" s="1514"/>
      <c r="J14" s="1512">
        <f>+J8*J13+K8*K13+L8*L13</f>
        <v>0</v>
      </c>
      <c r="K14" s="1513"/>
      <c r="L14" s="1514"/>
    </row>
    <row r="15" spans="2:15" ht="15.75" thickBot="1">
      <c r="B15" s="1280"/>
      <c r="C15" s="1281" t="s">
        <v>1188</v>
      </c>
      <c r="D15" s="1282" t="s">
        <v>1014</v>
      </c>
      <c r="E15" s="1283" t="s">
        <v>1014</v>
      </c>
      <c r="F15" s="1284" t="s">
        <v>1014</v>
      </c>
      <c r="G15" s="1505">
        <f>1-G14</f>
        <v>1</v>
      </c>
      <c r="H15" s="1505"/>
      <c r="I15" s="1505"/>
      <c r="J15" s="1505">
        <f>1-J14</f>
        <v>1</v>
      </c>
      <c r="K15" s="1505"/>
      <c r="L15" s="1505"/>
    </row>
    <row r="16" spans="2:15" ht="15" thickBot="1">
      <c r="C16" s="1285"/>
    </row>
    <row r="17" spans="2:14">
      <c r="B17" s="1221"/>
      <c r="C17" s="1222"/>
      <c r="D17" s="1515" t="s">
        <v>1189</v>
      </c>
      <c r="E17" s="1516"/>
      <c r="F17" s="1516"/>
      <c r="G17" s="1516"/>
      <c r="H17" s="1516"/>
      <c r="I17" s="1516"/>
      <c r="J17" s="1516"/>
      <c r="K17" s="1516"/>
      <c r="L17" s="1517"/>
    </row>
    <row r="18" spans="2:14">
      <c r="B18" s="1223"/>
      <c r="C18" s="1224"/>
      <c r="D18" s="1506">
        <v>2020</v>
      </c>
      <c r="E18" s="1507"/>
      <c r="F18" s="1508"/>
      <c r="G18" s="1506">
        <v>2030</v>
      </c>
      <c r="H18" s="1507"/>
      <c r="I18" s="1508"/>
      <c r="J18" s="1507">
        <v>2050</v>
      </c>
      <c r="K18" s="1507"/>
      <c r="L18" s="1508"/>
    </row>
    <row r="19" spans="2:14" ht="29.25" customHeight="1">
      <c r="B19" s="1223"/>
      <c r="C19" s="1224"/>
      <c r="D19" s="1225" t="s">
        <v>913</v>
      </c>
      <c r="E19" s="1226" t="s">
        <v>1175</v>
      </c>
      <c r="F19" s="1227" t="s">
        <v>1176</v>
      </c>
      <c r="G19" s="1225" t="s">
        <v>913</v>
      </c>
      <c r="H19" s="1226" t="s">
        <v>1175</v>
      </c>
      <c r="I19" s="1227" t="s">
        <v>1176</v>
      </c>
      <c r="J19" s="1228" t="s">
        <v>913</v>
      </c>
      <c r="K19" s="1226" t="s">
        <v>1175</v>
      </c>
      <c r="L19" s="1229" t="s">
        <v>1176</v>
      </c>
    </row>
    <row r="20" spans="2:14" ht="24">
      <c r="B20" s="1223"/>
      <c r="C20" s="1232" t="s">
        <v>1177</v>
      </c>
      <c r="D20" s="1233">
        <v>0</v>
      </c>
      <c r="E20" s="1234">
        <v>0</v>
      </c>
      <c r="F20" s="1235">
        <f>100%-D20-E20</f>
        <v>1</v>
      </c>
      <c r="G20" s="1236" t="s">
        <v>1014</v>
      </c>
      <c r="H20" s="1237" t="s">
        <v>1014</v>
      </c>
      <c r="I20" s="1238" t="s">
        <v>1014</v>
      </c>
      <c r="J20" s="1239" t="s">
        <v>1014</v>
      </c>
      <c r="K20" s="1240" t="s">
        <v>1014</v>
      </c>
      <c r="L20" s="1241" t="s">
        <v>1014</v>
      </c>
    </row>
    <row r="21" spans="2:14" ht="24">
      <c r="B21" s="1242"/>
      <c r="C21" s="1243" t="s">
        <v>1179</v>
      </c>
      <c r="D21" s="1239" t="s">
        <v>1014</v>
      </c>
      <c r="E21" s="1240" t="s">
        <v>1014</v>
      </c>
      <c r="F21" s="1241" t="s">
        <v>1014</v>
      </c>
      <c r="G21" s="1244"/>
      <c r="H21" s="1245"/>
      <c r="I21" s="1246"/>
      <c r="J21" s="1244"/>
      <c r="K21" s="1245"/>
      <c r="L21" s="1246"/>
    </row>
    <row r="22" spans="2:14">
      <c r="B22" s="1509" t="s">
        <v>1180</v>
      </c>
      <c r="C22" s="1248" t="s">
        <v>1181</v>
      </c>
      <c r="D22" s="1249" t="s">
        <v>1014</v>
      </c>
      <c r="E22" s="1250" t="s">
        <v>1014</v>
      </c>
      <c r="F22" s="1251" t="s">
        <v>1014</v>
      </c>
      <c r="G22" s="1252"/>
      <c r="H22" s="1253"/>
      <c r="I22" s="1254"/>
      <c r="J22" s="1252"/>
      <c r="K22" s="1253"/>
      <c r="L22" s="1254"/>
    </row>
    <row r="23" spans="2:14">
      <c r="B23" s="1510"/>
      <c r="C23" s="1255" t="s">
        <v>1183</v>
      </c>
      <c r="D23" s="1256" t="s">
        <v>1014</v>
      </c>
      <c r="E23" s="1257" t="s">
        <v>1014</v>
      </c>
      <c r="F23" s="1258" t="s">
        <v>1014</v>
      </c>
      <c r="G23" s="1259"/>
      <c r="H23" s="1260"/>
      <c r="I23" s="1261"/>
      <c r="J23" s="1259"/>
      <c r="K23" s="1260"/>
      <c r="L23" s="1261"/>
    </row>
    <row r="24" spans="2:14">
      <c r="B24" s="1510"/>
      <c r="C24" s="1255" t="s">
        <v>1184</v>
      </c>
      <c r="D24" s="1256" t="s">
        <v>1014</v>
      </c>
      <c r="E24" s="1257" t="s">
        <v>1014</v>
      </c>
      <c r="F24" s="1258" t="s">
        <v>1014</v>
      </c>
      <c r="G24" s="1259"/>
      <c r="H24" s="1260"/>
      <c r="I24" s="1261"/>
      <c r="J24" s="1259"/>
      <c r="K24" s="1260"/>
      <c r="L24" s="1261"/>
    </row>
    <row r="25" spans="2:14" ht="15" thickBot="1">
      <c r="B25" s="1511"/>
      <c r="C25" s="1262" t="s">
        <v>1185</v>
      </c>
      <c r="D25" s="1263" t="s">
        <v>1014</v>
      </c>
      <c r="E25" s="1264" t="s">
        <v>1014</v>
      </c>
      <c r="F25" s="1265" t="s">
        <v>1014</v>
      </c>
      <c r="G25" s="1266"/>
      <c r="H25" s="1267"/>
      <c r="I25" s="1268"/>
      <c r="J25" s="1266"/>
      <c r="K25" s="1267"/>
      <c r="L25" s="1268"/>
      <c r="M25" s="852"/>
      <c r="N25" s="852"/>
    </row>
    <row r="26" spans="2:14">
      <c r="B26" s="1222"/>
      <c r="C26" s="1269" t="s">
        <v>1186</v>
      </c>
      <c r="D26" s="1270" t="s">
        <v>1014</v>
      </c>
      <c r="E26" s="1271" t="s">
        <v>1014</v>
      </c>
      <c r="F26" s="1272" t="s">
        <v>1014</v>
      </c>
      <c r="G26" s="1273">
        <f>+(1-(1-G22)*(1-G23)*(1-G24)*(1-G25))</f>
        <v>0</v>
      </c>
      <c r="H26" s="1274">
        <f t="shared" ref="H26:L26" si="1">+(1-(1-H22)*(1-H23)*(1-H24)*(1-H25))</f>
        <v>0</v>
      </c>
      <c r="I26" s="1275">
        <f t="shared" si="1"/>
        <v>0</v>
      </c>
      <c r="J26" s="1273">
        <f t="shared" si="1"/>
        <v>0</v>
      </c>
      <c r="K26" s="1274">
        <f t="shared" si="1"/>
        <v>0</v>
      </c>
      <c r="L26" s="1286">
        <f t="shared" si="1"/>
        <v>0</v>
      </c>
    </row>
    <row r="27" spans="2:14">
      <c r="B27" s="1224"/>
      <c r="C27" s="1276" t="s">
        <v>1187</v>
      </c>
      <c r="D27" s="1277" t="s">
        <v>1014</v>
      </c>
      <c r="E27" s="1278" t="s">
        <v>1014</v>
      </c>
      <c r="F27" s="1279" t="s">
        <v>1014</v>
      </c>
      <c r="G27" s="1512">
        <f>+G21*G26+H21*H26+I21*I26</f>
        <v>0</v>
      </c>
      <c r="H27" s="1513"/>
      <c r="I27" s="1514"/>
      <c r="J27" s="1512">
        <f>+J21*J26+K21*K26+L21*L26</f>
        <v>0</v>
      </c>
      <c r="K27" s="1513"/>
      <c r="L27" s="1514"/>
    </row>
    <row r="28" spans="2:14" ht="15.75" thickBot="1">
      <c r="B28" s="1280"/>
      <c r="C28" s="1281" t="s">
        <v>1188</v>
      </c>
      <c r="D28" s="1282" t="s">
        <v>1014</v>
      </c>
      <c r="E28" s="1283" t="s">
        <v>1014</v>
      </c>
      <c r="F28" s="1284" t="s">
        <v>1014</v>
      </c>
      <c r="G28" s="1505">
        <f>1-G27</f>
        <v>1</v>
      </c>
      <c r="H28" s="1505"/>
      <c r="I28" s="1505"/>
      <c r="J28" s="1505">
        <f>1-J27</f>
        <v>1</v>
      </c>
      <c r="K28" s="1505"/>
      <c r="L28" s="1505"/>
    </row>
    <row r="29" spans="2:14" ht="15" thickBot="1"/>
    <row r="30" spans="2:14">
      <c r="B30" s="1221"/>
      <c r="C30" s="1222"/>
      <c r="D30" s="1515" t="s">
        <v>1190</v>
      </c>
      <c r="E30" s="1516"/>
      <c r="F30" s="1516"/>
      <c r="G30" s="1516"/>
      <c r="H30" s="1516"/>
      <c r="I30" s="1516"/>
      <c r="J30" s="1516"/>
      <c r="K30" s="1516"/>
      <c r="L30" s="1517"/>
    </row>
    <row r="31" spans="2:14">
      <c r="B31" s="1223"/>
      <c r="C31" s="1224"/>
      <c r="D31" s="1506">
        <v>2020</v>
      </c>
      <c r="E31" s="1507"/>
      <c r="F31" s="1508"/>
      <c r="G31" s="1506">
        <v>2030</v>
      </c>
      <c r="H31" s="1507"/>
      <c r="I31" s="1508"/>
      <c r="J31" s="1507">
        <v>2050</v>
      </c>
      <c r="K31" s="1507"/>
      <c r="L31" s="1508"/>
    </row>
    <row r="32" spans="2:14" ht="29.25" customHeight="1">
      <c r="B32" s="1223"/>
      <c r="C32" s="1224"/>
      <c r="D32" s="1225" t="s">
        <v>913</v>
      </c>
      <c r="E32" s="1226" t="s">
        <v>1175</v>
      </c>
      <c r="F32" s="1227" t="s">
        <v>1176</v>
      </c>
      <c r="G32" s="1225" t="s">
        <v>913</v>
      </c>
      <c r="H32" s="1226" t="s">
        <v>1175</v>
      </c>
      <c r="I32" s="1227" t="s">
        <v>1176</v>
      </c>
      <c r="J32" s="1228" t="s">
        <v>913</v>
      </c>
      <c r="K32" s="1226" t="s">
        <v>1175</v>
      </c>
      <c r="L32" s="1229" t="s">
        <v>1176</v>
      </c>
    </row>
    <row r="33" spans="2:14" ht="24">
      <c r="B33" s="1223"/>
      <c r="C33" s="1232" t="s">
        <v>1177</v>
      </c>
      <c r="D33" s="1233">
        <v>0</v>
      </c>
      <c r="E33" s="1234">
        <v>0</v>
      </c>
      <c r="F33" s="1235">
        <f>100%-D33-E33</f>
        <v>1</v>
      </c>
      <c r="G33" s="1236" t="s">
        <v>1014</v>
      </c>
      <c r="H33" s="1237" t="s">
        <v>1014</v>
      </c>
      <c r="I33" s="1238" t="s">
        <v>1014</v>
      </c>
      <c r="J33" s="1239" t="s">
        <v>1014</v>
      </c>
      <c r="K33" s="1240" t="s">
        <v>1014</v>
      </c>
      <c r="L33" s="1241" t="s">
        <v>1014</v>
      </c>
    </row>
    <row r="34" spans="2:14" ht="24">
      <c r="B34" s="1242"/>
      <c r="C34" s="1243" t="s">
        <v>1179</v>
      </c>
      <c r="D34" s="1239" t="s">
        <v>1014</v>
      </c>
      <c r="E34" s="1240" t="s">
        <v>1014</v>
      </c>
      <c r="F34" s="1241" t="s">
        <v>1014</v>
      </c>
      <c r="G34" s="1244"/>
      <c r="H34" s="1245"/>
      <c r="I34" s="1246"/>
      <c r="J34" s="1244"/>
      <c r="K34" s="1245"/>
      <c r="L34" s="1246"/>
    </row>
    <row r="35" spans="2:14">
      <c r="B35" s="1509" t="s">
        <v>1180</v>
      </c>
      <c r="C35" s="1248" t="s">
        <v>1181</v>
      </c>
      <c r="D35" s="1249" t="s">
        <v>1014</v>
      </c>
      <c r="E35" s="1250" t="s">
        <v>1014</v>
      </c>
      <c r="F35" s="1251" t="s">
        <v>1014</v>
      </c>
      <c r="G35" s="1252"/>
      <c r="H35" s="1253"/>
      <c r="I35" s="1254"/>
      <c r="J35" s="1252"/>
      <c r="K35" s="1253"/>
      <c r="L35" s="1254"/>
    </row>
    <row r="36" spans="2:14">
      <c r="B36" s="1510"/>
      <c r="C36" s="1255" t="s">
        <v>1183</v>
      </c>
      <c r="D36" s="1256" t="s">
        <v>1014</v>
      </c>
      <c r="E36" s="1257" t="s">
        <v>1014</v>
      </c>
      <c r="F36" s="1258" t="s">
        <v>1014</v>
      </c>
      <c r="G36" s="1259"/>
      <c r="H36" s="1260"/>
      <c r="I36" s="1261"/>
      <c r="J36" s="1259"/>
      <c r="K36" s="1260"/>
      <c r="L36" s="1261"/>
    </row>
    <row r="37" spans="2:14">
      <c r="B37" s="1510"/>
      <c r="C37" s="1255" t="s">
        <v>1184</v>
      </c>
      <c r="D37" s="1256" t="s">
        <v>1014</v>
      </c>
      <c r="E37" s="1257" t="s">
        <v>1014</v>
      </c>
      <c r="F37" s="1258" t="s">
        <v>1014</v>
      </c>
      <c r="G37" s="1259"/>
      <c r="H37" s="1260"/>
      <c r="I37" s="1261"/>
      <c r="J37" s="1259"/>
      <c r="K37" s="1260"/>
      <c r="L37" s="1261"/>
    </row>
    <row r="38" spans="2:14" ht="15" thickBot="1">
      <c r="B38" s="1511"/>
      <c r="C38" s="1262" t="s">
        <v>1185</v>
      </c>
      <c r="D38" s="1263" t="s">
        <v>1014</v>
      </c>
      <c r="E38" s="1264" t="s">
        <v>1014</v>
      </c>
      <c r="F38" s="1265" t="s">
        <v>1014</v>
      </c>
      <c r="G38" s="1266"/>
      <c r="H38" s="1267"/>
      <c r="I38" s="1268"/>
      <c r="J38" s="1266"/>
      <c r="K38" s="1267"/>
      <c r="L38" s="1268"/>
      <c r="M38" s="852"/>
      <c r="N38" s="852"/>
    </row>
    <row r="39" spans="2:14">
      <c r="B39" s="1222"/>
      <c r="C39" s="1269" t="s">
        <v>1186</v>
      </c>
      <c r="D39" s="1270" t="s">
        <v>1014</v>
      </c>
      <c r="E39" s="1271" t="s">
        <v>1014</v>
      </c>
      <c r="F39" s="1272" t="s">
        <v>1014</v>
      </c>
      <c r="G39" s="1273">
        <f>+(1-(1-G35)*(1-G36)*(1-G37)*(1-G38))</f>
        <v>0</v>
      </c>
      <c r="H39" s="1274">
        <f t="shared" ref="H39:L39" si="2">+(1-(1-H35)*(1-H36)*(1-H37)*(1-H38))</f>
        <v>0</v>
      </c>
      <c r="I39" s="1275">
        <f t="shared" si="2"/>
        <v>0</v>
      </c>
      <c r="J39" s="1273">
        <f t="shared" si="2"/>
        <v>0</v>
      </c>
      <c r="K39" s="1274">
        <f t="shared" si="2"/>
        <v>0</v>
      </c>
      <c r="L39" s="1275">
        <f t="shared" si="2"/>
        <v>0</v>
      </c>
    </row>
    <row r="40" spans="2:14">
      <c r="B40" s="1224"/>
      <c r="C40" s="1276" t="s">
        <v>1187</v>
      </c>
      <c r="D40" s="1277" t="s">
        <v>1014</v>
      </c>
      <c r="E40" s="1278" t="s">
        <v>1014</v>
      </c>
      <c r="F40" s="1279" t="s">
        <v>1014</v>
      </c>
      <c r="G40" s="1512">
        <f>+G34*G39+H34*H39+I34*I39</f>
        <v>0</v>
      </c>
      <c r="H40" s="1513"/>
      <c r="I40" s="1514"/>
      <c r="J40" s="1512">
        <f>+J34*J39+K34*K39+L34*L39</f>
        <v>0</v>
      </c>
      <c r="K40" s="1513"/>
      <c r="L40" s="1514"/>
    </row>
    <row r="41" spans="2:14" ht="15.75" thickBot="1">
      <c r="B41" s="1280"/>
      <c r="C41" s="1281" t="s">
        <v>1188</v>
      </c>
      <c r="D41" s="1282" t="s">
        <v>1014</v>
      </c>
      <c r="E41" s="1283" t="s">
        <v>1014</v>
      </c>
      <c r="F41" s="1284" t="s">
        <v>1014</v>
      </c>
      <c r="G41" s="1505">
        <f>1-G40</f>
        <v>1</v>
      </c>
      <c r="H41" s="1505"/>
      <c r="I41" s="1505"/>
      <c r="J41" s="1505">
        <f>1-J40</f>
        <v>1</v>
      </c>
      <c r="K41" s="1505"/>
      <c r="L41" s="1505"/>
    </row>
    <row r="42" spans="2:14" ht="15" thickBot="1"/>
    <row r="43" spans="2:14">
      <c r="B43" s="1221"/>
      <c r="C43" s="1222"/>
      <c r="D43" s="1515" t="s">
        <v>940</v>
      </c>
      <c r="E43" s="1516"/>
      <c r="F43" s="1516"/>
      <c r="G43" s="1516"/>
      <c r="H43" s="1516"/>
      <c r="I43" s="1516"/>
      <c r="J43" s="1516"/>
      <c r="K43" s="1516"/>
      <c r="L43" s="1517"/>
    </row>
    <row r="44" spans="2:14">
      <c r="B44" s="1223"/>
      <c r="C44" s="1224"/>
      <c r="D44" s="1506">
        <v>2020</v>
      </c>
      <c r="E44" s="1507"/>
      <c r="F44" s="1508"/>
      <c r="G44" s="1506">
        <v>2030</v>
      </c>
      <c r="H44" s="1507"/>
      <c r="I44" s="1508"/>
      <c r="J44" s="1507">
        <v>2050</v>
      </c>
      <c r="K44" s="1507"/>
      <c r="L44" s="1508"/>
    </row>
    <row r="45" spans="2:14" ht="29.25" customHeight="1">
      <c r="B45" s="1223"/>
      <c r="C45" s="1224"/>
      <c r="D45" s="1225" t="s">
        <v>913</v>
      </c>
      <c r="E45" s="1226" t="s">
        <v>1175</v>
      </c>
      <c r="F45" s="1227" t="s">
        <v>1176</v>
      </c>
      <c r="G45" s="1225" t="s">
        <v>913</v>
      </c>
      <c r="H45" s="1226" t="s">
        <v>1175</v>
      </c>
      <c r="I45" s="1227" t="s">
        <v>1176</v>
      </c>
      <c r="J45" s="1228" t="s">
        <v>913</v>
      </c>
      <c r="K45" s="1226" t="s">
        <v>1175</v>
      </c>
      <c r="L45" s="1229" t="s">
        <v>1176</v>
      </c>
    </row>
    <row r="46" spans="2:14" ht="24">
      <c r="B46" s="1223"/>
      <c r="C46" s="1232" t="s">
        <v>1177</v>
      </c>
      <c r="D46" s="1233">
        <v>0</v>
      </c>
      <c r="E46" s="1234">
        <v>0</v>
      </c>
      <c r="F46" s="1235">
        <f>100%-D46-E46</f>
        <v>1</v>
      </c>
      <c r="G46" s="1236" t="s">
        <v>1014</v>
      </c>
      <c r="H46" s="1237" t="s">
        <v>1014</v>
      </c>
      <c r="I46" s="1238" t="s">
        <v>1014</v>
      </c>
      <c r="J46" s="1239" t="s">
        <v>1014</v>
      </c>
      <c r="K46" s="1240" t="s">
        <v>1014</v>
      </c>
      <c r="L46" s="1241" t="s">
        <v>1014</v>
      </c>
    </row>
    <row r="47" spans="2:14" ht="24">
      <c r="B47" s="1242"/>
      <c r="C47" s="1243" t="s">
        <v>1179</v>
      </c>
      <c r="D47" s="1239" t="s">
        <v>1014</v>
      </c>
      <c r="E47" s="1240" t="s">
        <v>1014</v>
      </c>
      <c r="F47" s="1241" t="s">
        <v>1014</v>
      </c>
      <c r="G47" s="1244"/>
      <c r="H47" s="1245"/>
      <c r="I47" s="1246"/>
      <c r="J47" s="1244"/>
      <c r="K47" s="1245"/>
      <c r="L47" s="1246"/>
    </row>
    <row r="48" spans="2:14">
      <c r="B48" s="1509" t="s">
        <v>1180</v>
      </c>
      <c r="C48" s="1248" t="s">
        <v>1181</v>
      </c>
      <c r="D48" s="1249" t="s">
        <v>1014</v>
      </c>
      <c r="E48" s="1250" t="s">
        <v>1014</v>
      </c>
      <c r="F48" s="1251" t="s">
        <v>1014</v>
      </c>
      <c r="G48" s="1252"/>
      <c r="H48" s="1253"/>
      <c r="I48" s="1254"/>
      <c r="J48" s="1252"/>
      <c r="K48" s="1253"/>
      <c r="L48" s="1254"/>
    </row>
    <row r="49" spans="2:15">
      <c r="B49" s="1510"/>
      <c r="C49" s="1255" t="s">
        <v>1183</v>
      </c>
      <c r="D49" s="1256" t="s">
        <v>1014</v>
      </c>
      <c r="E49" s="1257" t="s">
        <v>1014</v>
      </c>
      <c r="F49" s="1258" t="s">
        <v>1014</v>
      </c>
      <c r="G49" s="1259"/>
      <c r="H49" s="1260"/>
      <c r="I49" s="1261"/>
      <c r="J49" s="1259"/>
      <c r="K49" s="1260"/>
      <c r="L49" s="1261"/>
    </row>
    <row r="50" spans="2:15">
      <c r="B50" s="1510"/>
      <c r="C50" s="1255" t="s">
        <v>1184</v>
      </c>
      <c r="D50" s="1256" t="s">
        <v>1014</v>
      </c>
      <c r="E50" s="1257" t="s">
        <v>1014</v>
      </c>
      <c r="F50" s="1258" t="s">
        <v>1014</v>
      </c>
      <c r="G50" s="1259"/>
      <c r="H50" s="1260"/>
      <c r="I50" s="1261"/>
      <c r="J50" s="1259"/>
      <c r="K50" s="1260"/>
      <c r="L50" s="1261"/>
    </row>
    <row r="51" spans="2:15" ht="15" thickBot="1">
      <c r="B51" s="1511"/>
      <c r="C51" s="1262" t="s">
        <v>1185</v>
      </c>
      <c r="D51" s="1263" t="s">
        <v>1014</v>
      </c>
      <c r="E51" s="1264" t="s">
        <v>1014</v>
      </c>
      <c r="F51" s="1265" t="s">
        <v>1014</v>
      </c>
      <c r="G51" s="1266"/>
      <c r="H51" s="1267"/>
      <c r="I51" s="1268"/>
      <c r="J51" s="1266"/>
      <c r="K51" s="1267"/>
      <c r="L51" s="1268"/>
      <c r="M51" s="852"/>
      <c r="N51" s="852"/>
    </row>
    <row r="52" spans="2:15">
      <c r="B52" s="1222"/>
      <c r="C52" s="1269" t="s">
        <v>1186</v>
      </c>
      <c r="D52" s="1270" t="s">
        <v>1014</v>
      </c>
      <c r="E52" s="1271" t="s">
        <v>1014</v>
      </c>
      <c r="F52" s="1272" t="s">
        <v>1014</v>
      </c>
      <c r="G52" s="1273">
        <f>+(1-(1-G48)*(1-G49)*(1-G50)*(1-G51))</f>
        <v>0</v>
      </c>
      <c r="H52" s="1274">
        <f t="shared" ref="H52:L52" si="3">+(1-(1-H48)*(1-H49)*(1-H50)*(1-H51))</f>
        <v>0</v>
      </c>
      <c r="I52" s="1275">
        <f t="shared" si="3"/>
        <v>0</v>
      </c>
      <c r="J52" s="1273">
        <f t="shared" si="3"/>
        <v>0</v>
      </c>
      <c r="K52" s="1274">
        <f t="shared" si="3"/>
        <v>0</v>
      </c>
      <c r="L52" s="1275">
        <f t="shared" si="3"/>
        <v>0</v>
      </c>
    </row>
    <row r="53" spans="2:15">
      <c r="B53" s="1224"/>
      <c r="C53" s="1276" t="s">
        <v>1187</v>
      </c>
      <c r="D53" s="1277" t="s">
        <v>1014</v>
      </c>
      <c r="E53" s="1278" t="s">
        <v>1014</v>
      </c>
      <c r="F53" s="1279" t="s">
        <v>1014</v>
      </c>
      <c r="G53" s="1512">
        <f>+G47*G52+H47*H52+I47*I52</f>
        <v>0</v>
      </c>
      <c r="H53" s="1513"/>
      <c r="I53" s="1514"/>
      <c r="J53" s="1512">
        <f>+J47*J52+K47*K52+L47*L52</f>
        <v>0</v>
      </c>
      <c r="K53" s="1513"/>
      <c r="L53" s="1514"/>
    </row>
    <row r="54" spans="2:15" ht="15.75" thickBot="1">
      <c r="B54" s="1280"/>
      <c r="C54" s="1281" t="s">
        <v>1188</v>
      </c>
      <c r="D54" s="1282" t="s">
        <v>1014</v>
      </c>
      <c r="E54" s="1283" t="s">
        <v>1014</v>
      </c>
      <c r="F54" s="1284" t="s">
        <v>1014</v>
      </c>
      <c r="G54" s="1505">
        <f>1-G53</f>
        <v>1</v>
      </c>
      <c r="H54" s="1505"/>
      <c r="I54" s="1505"/>
      <c r="J54" s="1505">
        <f>1-J53</f>
        <v>1</v>
      </c>
      <c r="K54" s="1505"/>
      <c r="L54" s="1505"/>
    </row>
    <row r="55" spans="2:15">
      <c r="F55" s="1287"/>
    </row>
    <row r="57" spans="2:15" ht="18">
      <c r="B57" s="1501" t="s">
        <v>1191</v>
      </c>
      <c r="C57" s="1501"/>
      <c r="D57" s="1501"/>
      <c r="E57" s="1501"/>
      <c r="F57" s="1501"/>
      <c r="G57" s="1501"/>
      <c r="H57" s="1501"/>
      <c r="I57" s="1501"/>
      <c r="J57" s="1501"/>
      <c r="K57" s="1501"/>
      <c r="L57" s="1501"/>
      <c r="M57" s="1501"/>
      <c r="N57" s="1501"/>
      <c r="O57" s="1501"/>
    </row>
    <row r="58" spans="2:15" ht="15" thickBot="1">
      <c r="F58" s="1287"/>
    </row>
    <row r="59" spans="2:15">
      <c r="C59" s="1221"/>
      <c r="D59" s="1502" t="s">
        <v>6</v>
      </c>
      <c r="E59" s="1503"/>
      <c r="F59" s="1504"/>
      <c r="G59" s="1503" t="s">
        <v>1189</v>
      </c>
      <c r="H59" s="1503"/>
      <c r="I59" s="1503"/>
      <c r="J59" s="1502" t="s">
        <v>1190</v>
      </c>
      <c r="K59" s="1503"/>
      <c r="L59" s="1504"/>
      <c r="M59" s="1503" t="s">
        <v>940</v>
      </c>
      <c r="N59" s="1503"/>
      <c r="O59" s="1504"/>
    </row>
    <row r="60" spans="2:15">
      <c r="C60" s="1223"/>
      <c r="D60" s="1289">
        <v>2020</v>
      </c>
      <c r="E60" s="1290">
        <v>2030</v>
      </c>
      <c r="F60" s="1291">
        <v>2050</v>
      </c>
      <c r="G60" s="1289">
        <v>2020</v>
      </c>
      <c r="H60" s="1290">
        <v>2030</v>
      </c>
      <c r="I60" s="1291">
        <v>2050</v>
      </c>
      <c r="J60" s="1289">
        <v>2020</v>
      </c>
      <c r="K60" s="1290">
        <v>2030</v>
      </c>
      <c r="L60" s="1291">
        <v>2050</v>
      </c>
      <c r="M60" s="1289">
        <v>2020</v>
      </c>
      <c r="N60" s="1290">
        <v>2030</v>
      </c>
      <c r="O60" s="1291">
        <v>2050</v>
      </c>
    </row>
    <row r="61" spans="2:15">
      <c r="C61" s="1292" t="s">
        <v>1192</v>
      </c>
      <c r="D61" s="1293">
        <v>0.21</v>
      </c>
      <c r="E61" s="1294"/>
      <c r="F61" s="1295"/>
      <c r="G61" s="1293">
        <v>0.7</v>
      </c>
      <c r="H61" s="1294"/>
      <c r="I61" s="1295"/>
      <c r="J61" s="1293">
        <v>0.06</v>
      </c>
      <c r="K61" s="1294"/>
      <c r="L61" s="1295"/>
      <c r="M61" s="1293">
        <v>0.03</v>
      </c>
      <c r="N61" s="1294"/>
      <c r="O61" s="1295"/>
    </row>
    <row r="62" spans="2:15">
      <c r="C62" s="1296" t="s">
        <v>1193</v>
      </c>
      <c r="D62" s="1297" t="s">
        <v>1014</v>
      </c>
      <c r="E62" s="1298">
        <f>+E61-D61</f>
        <v>-0.21</v>
      </c>
      <c r="F62" s="1299">
        <f>+F61-D61</f>
        <v>-0.21</v>
      </c>
      <c r="G62" s="1300" t="s">
        <v>1014</v>
      </c>
      <c r="H62" s="1298">
        <f>+H61-G61</f>
        <v>-0.7</v>
      </c>
      <c r="I62" s="1299">
        <f>+I61-G61</f>
        <v>-0.7</v>
      </c>
      <c r="J62" s="1300" t="s">
        <v>1014</v>
      </c>
      <c r="K62" s="1298">
        <f>+K61-J61</f>
        <v>-0.06</v>
      </c>
      <c r="L62" s="1299">
        <f>+L61-J61</f>
        <v>-0.06</v>
      </c>
      <c r="M62" s="1300" t="s">
        <v>1014</v>
      </c>
      <c r="N62" s="1298">
        <f>+N61-M61</f>
        <v>-0.03</v>
      </c>
      <c r="O62" s="1299">
        <f>+O61-M61</f>
        <v>-0.03</v>
      </c>
    </row>
    <row r="63" spans="2:15" ht="15" thickBot="1">
      <c r="C63" s="1301" t="s">
        <v>1194</v>
      </c>
      <c r="D63" s="1302" t="s">
        <v>1014</v>
      </c>
      <c r="E63" s="1303"/>
      <c r="F63" s="1303"/>
      <c r="G63" s="1302" t="s">
        <v>1014</v>
      </c>
      <c r="H63" s="1304">
        <f>+H61-G61</f>
        <v>-0.7</v>
      </c>
      <c r="I63" s="1305">
        <f>+I61-G61</f>
        <v>-0.7</v>
      </c>
      <c r="J63" s="1302" t="s">
        <v>1014</v>
      </c>
      <c r="K63" s="1306"/>
      <c r="L63" s="1303"/>
      <c r="M63" s="1302" t="s">
        <v>1014</v>
      </c>
      <c r="N63" s="1307"/>
      <c r="O63" s="1308"/>
    </row>
    <row r="65" spans="2:15" ht="15">
      <c r="D65" s="1309" t="s">
        <v>1195</v>
      </c>
      <c r="E65" s="1310" t="s">
        <v>1196</v>
      </c>
      <c r="F65" t="s">
        <v>1197</v>
      </c>
    </row>
    <row r="66" spans="2:15" ht="15">
      <c r="D66" s="1311" t="s">
        <v>1198</v>
      </c>
      <c r="E66" s="1310" t="s">
        <v>1196</v>
      </c>
      <c r="F66" t="s">
        <v>1199</v>
      </c>
    </row>
    <row r="68" spans="2:15" ht="18">
      <c r="B68" s="1501" t="s">
        <v>1200</v>
      </c>
      <c r="C68" s="1501"/>
      <c r="D68" s="1501"/>
      <c r="E68" s="1501"/>
      <c r="F68" s="1501"/>
      <c r="G68" s="1501"/>
      <c r="H68" s="1501"/>
      <c r="I68" s="1501"/>
      <c r="J68" s="1501"/>
      <c r="K68" s="1501"/>
      <c r="L68" s="1501"/>
      <c r="M68" s="1501"/>
      <c r="N68" s="1501"/>
      <c r="O68" s="1501"/>
    </row>
    <row r="69" spans="2:15" ht="18.75" thickBot="1">
      <c r="B69" s="1288"/>
      <c r="C69" s="1288"/>
      <c r="D69" s="1288"/>
      <c r="E69" s="1288"/>
      <c r="F69" s="1288"/>
      <c r="G69" s="1288"/>
      <c r="H69" s="1288"/>
      <c r="I69" s="1288"/>
      <c r="J69" s="1288"/>
      <c r="K69" s="1288"/>
      <c r="L69" s="1288"/>
      <c r="M69" s="1288"/>
      <c r="N69" s="1288"/>
      <c r="O69" s="1288"/>
    </row>
    <row r="70" spans="2:15">
      <c r="C70" s="1221"/>
      <c r="D70" s="1502" t="s">
        <v>6</v>
      </c>
      <c r="E70" s="1503"/>
      <c r="F70" s="1503"/>
      <c r="G70" s="1502" t="s">
        <v>1189</v>
      </c>
      <c r="H70" s="1503"/>
      <c r="I70" s="1504"/>
      <c r="J70" s="1503" t="s">
        <v>1190</v>
      </c>
      <c r="K70" s="1503"/>
      <c r="L70" s="1503"/>
      <c r="M70" s="1502" t="s">
        <v>940</v>
      </c>
      <c r="N70" s="1503"/>
      <c r="O70" s="1504"/>
    </row>
    <row r="71" spans="2:15">
      <c r="C71" s="1223"/>
      <c r="D71" s="1289">
        <v>2020</v>
      </c>
      <c r="E71" s="1290">
        <v>2030</v>
      </c>
      <c r="F71" s="1312">
        <v>2050</v>
      </c>
      <c r="G71" s="1289">
        <v>2020</v>
      </c>
      <c r="H71" s="1290">
        <v>2030</v>
      </c>
      <c r="I71" s="1291">
        <v>2050</v>
      </c>
      <c r="J71" s="1313">
        <v>2020</v>
      </c>
      <c r="K71" s="1290">
        <v>2030</v>
      </c>
      <c r="L71" s="1312">
        <v>2050</v>
      </c>
      <c r="M71" s="1289">
        <v>2020</v>
      </c>
      <c r="N71" s="1290">
        <v>2030</v>
      </c>
      <c r="O71" s="1291">
        <v>2050</v>
      </c>
    </row>
    <row r="72" spans="2:15">
      <c r="C72" s="1314" t="s">
        <v>1201</v>
      </c>
      <c r="D72" s="1315">
        <v>0</v>
      </c>
      <c r="E72" s="1316"/>
      <c r="F72" s="1317"/>
      <c r="G72" s="1315">
        <v>0</v>
      </c>
      <c r="H72" s="1316"/>
      <c r="I72" s="1318"/>
      <c r="J72" s="1319">
        <v>0</v>
      </c>
      <c r="K72" s="1316"/>
      <c r="L72" s="1317"/>
      <c r="M72" s="1315">
        <v>0</v>
      </c>
      <c r="N72" s="1316"/>
      <c r="O72" s="1318"/>
    </row>
    <row r="73" spans="2:15">
      <c r="C73" s="1320" t="s">
        <v>1202</v>
      </c>
      <c r="D73" s="1321">
        <v>0</v>
      </c>
      <c r="E73" s="1322"/>
      <c r="F73" s="1323"/>
      <c r="G73" s="1321">
        <v>0</v>
      </c>
      <c r="H73" s="1324"/>
      <c r="I73" s="1325"/>
      <c r="J73" s="1326">
        <v>0</v>
      </c>
      <c r="K73" s="1322"/>
      <c r="L73" s="1323"/>
      <c r="M73" s="1321">
        <v>0</v>
      </c>
      <c r="N73" s="1322"/>
      <c r="O73" s="1327"/>
    </row>
    <row r="74" spans="2:15">
      <c r="C74" s="1320" t="s">
        <v>1203</v>
      </c>
      <c r="D74" s="1328">
        <v>0</v>
      </c>
      <c r="E74" s="1329"/>
      <c r="F74" s="1330"/>
      <c r="G74" s="1328">
        <v>0</v>
      </c>
      <c r="H74" s="1329">
        <v>0.05</v>
      </c>
      <c r="I74" s="1331">
        <v>0.1</v>
      </c>
      <c r="J74" s="1332">
        <v>0</v>
      </c>
      <c r="K74" s="1329"/>
      <c r="L74" s="1330"/>
      <c r="M74" s="1328">
        <v>0</v>
      </c>
      <c r="N74" s="1329"/>
      <c r="O74" s="1331"/>
    </row>
    <row r="75" spans="2:15" ht="15" thickBot="1">
      <c r="C75" s="1333" t="s">
        <v>1204</v>
      </c>
      <c r="D75" s="1334">
        <v>1</v>
      </c>
      <c r="E75" s="1335">
        <f>1-E73-E74</f>
        <v>1</v>
      </c>
      <c r="F75" s="1336">
        <f>1-F73-F74</f>
        <v>1</v>
      </c>
      <c r="G75" s="1334">
        <v>1</v>
      </c>
      <c r="H75" s="1337">
        <f>1-H73-H74</f>
        <v>0.95</v>
      </c>
      <c r="I75" s="1338">
        <f>1-I73-I74</f>
        <v>0.9</v>
      </c>
      <c r="J75" s="1339">
        <v>1</v>
      </c>
      <c r="K75" s="1335">
        <f>1-K73-K74</f>
        <v>1</v>
      </c>
      <c r="L75" s="1336">
        <f>1-L73-L74</f>
        <v>1</v>
      </c>
      <c r="M75" s="1334">
        <v>1</v>
      </c>
      <c r="N75" s="1335">
        <f>1-N73-N74</f>
        <v>1</v>
      </c>
      <c r="O75" s="1340">
        <f>1-O73-O74</f>
        <v>1</v>
      </c>
    </row>
    <row r="78" spans="2:15" ht="15">
      <c r="D78" s="1341" t="s">
        <v>1205</v>
      </c>
      <c r="E78" s="1310" t="s">
        <v>1196</v>
      </c>
      <c r="F78" t="s">
        <v>1206</v>
      </c>
    </row>
    <row r="79" spans="2:15" ht="15">
      <c r="D79" s="1342" t="s">
        <v>1207</v>
      </c>
      <c r="E79" s="1310" t="s">
        <v>1196</v>
      </c>
      <c r="F79" t="s">
        <v>1208</v>
      </c>
    </row>
  </sheetData>
  <mergeCells count="49">
    <mergeCell ref="N7:O7"/>
    <mergeCell ref="B2:L2"/>
    <mergeCell ref="D4:L4"/>
    <mergeCell ref="D5:F5"/>
    <mergeCell ref="G5:I5"/>
    <mergeCell ref="J5:L5"/>
    <mergeCell ref="G27:I27"/>
    <mergeCell ref="J27:L27"/>
    <mergeCell ref="B9:B12"/>
    <mergeCell ref="N9:O10"/>
    <mergeCell ref="G14:I14"/>
    <mergeCell ref="J14:L14"/>
    <mergeCell ref="G15:I15"/>
    <mergeCell ref="J15:L15"/>
    <mergeCell ref="D17:L17"/>
    <mergeCell ref="D18:F18"/>
    <mergeCell ref="G18:I18"/>
    <mergeCell ref="J18:L18"/>
    <mergeCell ref="B22:B25"/>
    <mergeCell ref="D43:L43"/>
    <mergeCell ref="G28:I28"/>
    <mergeCell ref="J28:L28"/>
    <mergeCell ref="D30:L30"/>
    <mergeCell ref="D31:F31"/>
    <mergeCell ref="G31:I31"/>
    <mergeCell ref="J31:L31"/>
    <mergeCell ref="B35:B38"/>
    <mergeCell ref="G40:I40"/>
    <mergeCell ref="J40:L40"/>
    <mergeCell ref="G41:I41"/>
    <mergeCell ref="J41:L41"/>
    <mergeCell ref="D44:F44"/>
    <mergeCell ref="G44:I44"/>
    <mergeCell ref="J44:L44"/>
    <mergeCell ref="B48:B51"/>
    <mergeCell ref="G53:I53"/>
    <mergeCell ref="J53:L53"/>
    <mergeCell ref="G54:I54"/>
    <mergeCell ref="J54:L54"/>
    <mergeCell ref="B57:O57"/>
    <mergeCell ref="D59:F59"/>
    <mergeCell ref="G59:I59"/>
    <mergeCell ref="J59:L59"/>
    <mergeCell ref="M59:O59"/>
    <mergeCell ref="B68:O68"/>
    <mergeCell ref="D70:F70"/>
    <mergeCell ref="G70:I70"/>
    <mergeCell ref="J70:L70"/>
    <mergeCell ref="M70:O70"/>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D959-9632-459B-BB05-98CEBA6DD422}">
  <dimension ref="B2:AA43"/>
  <sheetViews>
    <sheetView zoomScaleNormal="100" workbookViewId="0">
      <selection activeCell="B39" sqref="B39"/>
    </sheetView>
  </sheetViews>
  <sheetFormatPr baseColWidth="10" defaultColWidth="11" defaultRowHeight="14.25"/>
  <cols>
    <col min="1" max="1" width="11" style="1167"/>
    <col min="2" max="2" width="44.125" style="1167" customWidth="1"/>
    <col min="3" max="16384" width="11" style="1167"/>
  </cols>
  <sheetData>
    <row r="2" spans="2:27" ht="15">
      <c r="B2" s="1178" t="s">
        <v>1123</v>
      </c>
    </row>
    <row r="4" spans="2:27" ht="89.25" customHeight="1">
      <c r="B4" s="1184" t="s">
        <v>1142</v>
      </c>
    </row>
    <row r="5" spans="2:27" ht="15" thickBot="1"/>
    <row r="6" spans="2:27" ht="104.25">
      <c r="B6" s="1184" t="s">
        <v>1143</v>
      </c>
      <c r="V6" s="1528" t="s">
        <v>1126</v>
      </c>
      <c r="W6" s="1529"/>
      <c r="X6" s="1529"/>
      <c r="Y6" s="1530"/>
      <c r="Z6" s="1534" t="s">
        <v>1132</v>
      </c>
      <c r="AA6" s="1536" t="s">
        <v>1133</v>
      </c>
    </row>
    <row r="7" spans="2:27">
      <c r="V7" s="1531"/>
      <c r="W7" s="1532"/>
      <c r="X7" s="1532"/>
      <c r="Y7" s="1533"/>
      <c r="Z7" s="1535"/>
      <c r="AA7" s="1537"/>
    </row>
    <row r="8" spans="2:27">
      <c r="V8" s="1539" t="s">
        <v>1129</v>
      </c>
      <c r="W8" s="1540"/>
      <c r="X8" s="1540"/>
      <c r="Y8" s="1541"/>
      <c r="Z8" s="1538" t="s">
        <v>1134</v>
      </c>
      <c r="AA8" s="1525" t="s">
        <v>1136</v>
      </c>
    </row>
    <row r="9" spans="2:27" s="1185" customFormat="1">
      <c r="V9" s="1542"/>
      <c r="W9" s="1543"/>
      <c r="X9" s="1543"/>
      <c r="Y9" s="1544"/>
      <c r="Z9" s="1523"/>
      <c r="AA9" s="1526"/>
    </row>
    <row r="10" spans="2:27" ht="15">
      <c r="B10" s="1178" t="s">
        <v>1124</v>
      </c>
      <c r="V10" s="1542" t="s">
        <v>1130</v>
      </c>
      <c r="W10" s="1543"/>
      <c r="X10" s="1543"/>
      <c r="Y10" s="1544"/>
      <c r="Z10" s="1523" t="s">
        <v>1134</v>
      </c>
      <c r="AA10" s="1526" t="s">
        <v>1135</v>
      </c>
    </row>
    <row r="11" spans="2:27">
      <c r="V11" s="1542"/>
      <c r="W11" s="1543"/>
      <c r="X11" s="1543"/>
      <c r="Y11" s="1544"/>
      <c r="Z11" s="1523"/>
      <c r="AA11" s="1526"/>
    </row>
    <row r="12" spans="2:27" ht="119.25" customHeight="1">
      <c r="B12" s="1184" t="s">
        <v>1125</v>
      </c>
      <c r="V12" s="1542"/>
      <c r="W12" s="1543"/>
      <c r="X12" s="1543"/>
      <c r="Y12" s="1544"/>
      <c r="Z12" s="1523"/>
      <c r="AA12" s="1526"/>
    </row>
    <row r="13" spans="2:27">
      <c r="V13" s="1180" t="s">
        <v>1127</v>
      </c>
      <c r="W13" s="1179"/>
      <c r="X13" s="1179"/>
      <c r="Y13" s="1181"/>
      <c r="Z13" s="1182" t="s">
        <v>1135</v>
      </c>
      <c r="AA13" s="1183" t="s">
        <v>1135</v>
      </c>
    </row>
    <row r="14" spans="2:27" ht="119.25" customHeight="1">
      <c r="B14" s="1184" t="s">
        <v>1137</v>
      </c>
      <c r="V14" s="1180" t="s">
        <v>1128</v>
      </c>
      <c r="W14" s="1179"/>
      <c r="X14" s="1179"/>
      <c r="Y14" s="1181"/>
      <c r="Z14" s="1182" t="s">
        <v>1135</v>
      </c>
      <c r="AA14" s="1183" t="s">
        <v>1134</v>
      </c>
    </row>
    <row r="15" spans="2:27">
      <c r="V15" s="1545" t="s">
        <v>1131</v>
      </c>
      <c r="W15" s="1546"/>
      <c r="X15" s="1546"/>
      <c r="Y15" s="1547"/>
      <c r="Z15" s="1523" t="s">
        <v>1135</v>
      </c>
      <c r="AA15" s="1526" t="s">
        <v>1135</v>
      </c>
    </row>
    <row r="16" spans="2:27" s="1185" customFormat="1" ht="14.25" customHeight="1">
      <c r="V16" s="1545"/>
      <c r="W16" s="1546"/>
      <c r="X16" s="1546"/>
      <c r="Y16" s="1547"/>
      <c r="Z16" s="1523"/>
      <c r="AA16" s="1526"/>
    </row>
    <row r="17" spans="2:27" ht="15">
      <c r="B17" s="1178" t="s">
        <v>1138</v>
      </c>
      <c r="V17" s="1545"/>
      <c r="W17" s="1546"/>
      <c r="X17" s="1546"/>
      <c r="Y17" s="1547"/>
      <c r="Z17" s="1523"/>
      <c r="AA17" s="1526"/>
    </row>
    <row r="18" spans="2:27" ht="14.25" customHeight="1" thickBot="1">
      <c r="V18" s="1548"/>
      <c r="W18" s="1549"/>
      <c r="X18" s="1549"/>
      <c r="Y18" s="1550"/>
      <c r="Z18" s="1524"/>
      <c r="AA18" s="1527"/>
    </row>
    <row r="20" spans="2:27" ht="85.5">
      <c r="B20" s="1168" t="s">
        <v>1139</v>
      </c>
    </row>
    <row r="21" spans="2:27" ht="132">
      <c r="B21" s="1168" t="s">
        <v>1144</v>
      </c>
    </row>
    <row r="22" spans="2:27">
      <c r="B22" s="1168"/>
    </row>
    <row r="23" spans="2:27">
      <c r="B23" s="1168"/>
    </row>
    <row r="25" spans="2:27" s="1185" customFormat="1"/>
    <row r="26" spans="2:27" ht="15">
      <c r="B26" s="1178" t="s">
        <v>1140</v>
      </c>
    </row>
    <row r="27" spans="2:27" ht="14.25" customHeight="1"/>
    <row r="28" spans="2:27" ht="116.25">
      <c r="B28" s="1168" t="s">
        <v>1145</v>
      </c>
    </row>
    <row r="30" spans="2:27" ht="128.25">
      <c r="B30" s="1168" t="s">
        <v>1141</v>
      </c>
    </row>
    <row r="34" spans="2:2" s="1185" customFormat="1"/>
    <row r="35" spans="2:2" ht="15">
      <c r="B35" s="1178" t="s">
        <v>1108</v>
      </c>
    </row>
    <row r="37" spans="2:2" ht="114">
      <c r="B37" s="1168" t="s">
        <v>1146</v>
      </c>
    </row>
    <row r="39" spans="2:2" ht="156.75">
      <c r="B39" s="1168" t="s">
        <v>1147</v>
      </c>
    </row>
    <row r="42" spans="2:2" s="1185" customFormat="1"/>
    <row r="43" spans="2:2" ht="15">
      <c r="B43" s="1178" t="s">
        <v>1148</v>
      </c>
    </row>
  </sheetData>
  <mergeCells count="12">
    <mergeCell ref="Z15:Z18"/>
    <mergeCell ref="AA8:AA9"/>
    <mergeCell ref="AA10:AA12"/>
    <mergeCell ref="AA15:AA18"/>
    <mergeCell ref="V6:Y7"/>
    <mergeCell ref="Z6:Z7"/>
    <mergeCell ref="AA6:AA7"/>
    <mergeCell ref="Z8:Z9"/>
    <mergeCell ref="Z10:Z12"/>
    <mergeCell ref="V8:Y9"/>
    <mergeCell ref="V10:Y12"/>
    <mergeCell ref="V15:Y1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4CF7-0834-4D11-AABE-617305488714}">
  <dimension ref="C1:AQ44"/>
  <sheetViews>
    <sheetView topLeftCell="K1" zoomScale="50" zoomScaleNormal="50" workbookViewId="0">
      <selection activeCell="AM1" sqref="AM1:AU1048576"/>
    </sheetView>
  </sheetViews>
  <sheetFormatPr baseColWidth="10" defaultColWidth="10" defaultRowHeight="14.25"/>
  <cols>
    <col min="1" max="1" width="2" style="1138" customWidth="1"/>
    <col min="2" max="2" width="10" style="1138"/>
    <col min="3" max="3" width="18.5" style="1138" customWidth="1"/>
    <col min="4" max="21" width="10" style="1138"/>
    <col min="22" max="22" width="25.125" style="1138" customWidth="1"/>
    <col min="23" max="31" width="10" style="1138"/>
    <col min="32" max="32" width="28.5" style="1138" customWidth="1"/>
    <col min="33" max="39" width="10" style="1138"/>
    <col min="40" max="40" width="26.5" style="1138" customWidth="1"/>
    <col min="41" max="16384" width="10" style="1138"/>
  </cols>
  <sheetData>
    <row r="1" spans="3:40" ht="6" customHeight="1"/>
    <row r="2" spans="3:40" ht="26.25">
      <c r="C2" s="1139" t="s">
        <v>1105</v>
      </c>
      <c r="M2" s="1139" t="s">
        <v>1106</v>
      </c>
      <c r="V2" s="1139" t="s">
        <v>1107</v>
      </c>
      <c r="AE2" s="1139" t="s">
        <v>1108</v>
      </c>
      <c r="AN2" s="1139" t="s">
        <v>1109</v>
      </c>
    </row>
    <row r="20" spans="7:7" ht="15">
      <c r="G20" s="1140"/>
    </row>
    <row r="21" spans="7:7" ht="15">
      <c r="G21" s="1140"/>
    </row>
    <row r="22" spans="7:7" ht="15">
      <c r="G22" s="1140"/>
    </row>
    <row r="23" spans="7:7" ht="15">
      <c r="G23" s="1140"/>
    </row>
    <row r="38" spans="3:43" s="1169" customFormat="1" ht="20.25">
      <c r="C38" s="1169" t="s">
        <v>1110</v>
      </c>
      <c r="D38" s="1169">
        <v>2020</v>
      </c>
      <c r="E38" s="1169">
        <v>2030</v>
      </c>
      <c r="F38" s="1169">
        <v>2040</v>
      </c>
      <c r="G38" s="1169">
        <v>2050</v>
      </c>
      <c r="M38" s="1169" t="s">
        <v>953</v>
      </c>
      <c r="N38" s="1169">
        <v>2020</v>
      </c>
      <c r="O38" s="1169">
        <v>2030</v>
      </c>
      <c r="P38" s="1169">
        <v>2040</v>
      </c>
      <c r="Q38" s="1169">
        <v>2050</v>
      </c>
      <c r="V38" s="1169" t="s">
        <v>1111</v>
      </c>
      <c r="W38" s="1169">
        <v>2020</v>
      </c>
      <c r="X38" s="1169">
        <v>2030</v>
      </c>
      <c r="Y38" s="1169">
        <v>2040</v>
      </c>
      <c r="Z38" s="1169">
        <v>2050</v>
      </c>
      <c r="AF38" s="1169" t="s">
        <v>1112</v>
      </c>
      <c r="AG38" s="1169">
        <v>2020</v>
      </c>
      <c r="AH38" s="1169">
        <v>2030</v>
      </c>
      <c r="AI38" s="1169">
        <v>2040</v>
      </c>
      <c r="AJ38" s="1169">
        <v>2050</v>
      </c>
      <c r="AN38" s="1169" t="s">
        <v>1104</v>
      </c>
      <c r="AO38" s="1169">
        <v>2030</v>
      </c>
      <c r="AP38" s="1169">
        <v>2040</v>
      </c>
      <c r="AQ38" s="1169">
        <v>2050</v>
      </c>
    </row>
    <row r="39" spans="3:43" s="1169" customFormat="1" ht="20.25">
      <c r="C39" s="1170" t="s">
        <v>581</v>
      </c>
      <c r="D39" s="1171">
        <v>67</v>
      </c>
      <c r="E39" s="1171">
        <v>66</v>
      </c>
      <c r="F39" s="1171">
        <f>AVERAGE(E39,G39)</f>
        <v>63</v>
      </c>
      <c r="G39" s="1171">
        <v>60</v>
      </c>
      <c r="M39" s="1170" t="s">
        <v>581</v>
      </c>
      <c r="N39" s="1171">
        <v>14</v>
      </c>
      <c r="O39" s="1171">
        <v>28</v>
      </c>
      <c r="P39" s="1171">
        <f>AVERAGE(O39,Q39)</f>
        <v>44</v>
      </c>
      <c r="Q39" s="1171">
        <v>60</v>
      </c>
      <c r="V39" s="1170" t="s">
        <v>581</v>
      </c>
      <c r="W39" s="1171">
        <v>64</v>
      </c>
      <c r="X39" s="1171">
        <v>59</v>
      </c>
      <c r="Y39" s="1171">
        <f>AVERAGE(X39,Z39)</f>
        <v>49.5</v>
      </c>
      <c r="Z39" s="1171">
        <v>40</v>
      </c>
      <c r="AF39" s="1170" t="s">
        <v>581</v>
      </c>
      <c r="AG39" s="1172">
        <v>3.6</v>
      </c>
      <c r="AH39" s="1172">
        <v>3.5</v>
      </c>
      <c r="AI39" s="1172">
        <f>AVERAGE(AH39,AJ39)</f>
        <v>3.45</v>
      </c>
      <c r="AJ39" s="1172">
        <v>3.4</v>
      </c>
      <c r="AN39" s="1170" t="s">
        <v>581</v>
      </c>
      <c r="AO39" s="1171">
        <v>20</v>
      </c>
      <c r="AP39" s="1171">
        <f>AVERAGE(AO39,AQ39)</f>
        <v>45</v>
      </c>
      <c r="AQ39" s="1171">
        <v>70</v>
      </c>
    </row>
    <row r="40" spans="3:43" s="1169" customFormat="1" ht="20.25">
      <c r="C40" s="1169" t="s">
        <v>1113</v>
      </c>
      <c r="D40" s="1173">
        <v>75</v>
      </c>
      <c r="E40" s="1173">
        <v>70</v>
      </c>
      <c r="F40" s="1173">
        <f t="shared" ref="F40:F43" si="0">AVERAGE(E40,G40)</f>
        <v>68.5</v>
      </c>
      <c r="G40" s="1173">
        <v>67</v>
      </c>
      <c r="M40" s="1169" t="s">
        <v>1113</v>
      </c>
      <c r="N40" s="1173">
        <v>0</v>
      </c>
      <c r="O40" s="1173">
        <v>12</v>
      </c>
      <c r="P40" s="1173">
        <f>+AVERAGE(O40,Q40)</f>
        <v>21</v>
      </c>
      <c r="Q40" s="1173">
        <v>30</v>
      </c>
      <c r="V40" s="1174" t="s">
        <v>1113</v>
      </c>
      <c r="W40" s="1175">
        <v>78.099999999999994</v>
      </c>
      <c r="X40" s="1175">
        <v>75</v>
      </c>
      <c r="Y40" s="1175">
        <f>+AVERAGE(X40,Z40)</f>
        <v>72.5</v>
      </c>
      <c r="Z40" s="1175">
        <v>70</v>
      </c>
      <c r="AF40" s="1169" t="s">
        <v>1113</v>
      </c>
      <c r="AG40" s="1176">
        <v>3.4</v>
      </c>
      <c r="AH40" s="1176">
        <v>3.2</v>
      </c>
      <c r="AI40" s="1176">
        <f>AVERAGE(AH40,AJ40)</f>
        <v>3.1500000000000004</v>
      </c>
      <c r="AJ40" s="1176">
        <v>3.1</v>
      </c>
      <c r="AN40" s="1169" t="s">
        <v>1113</v>
      </c>
      <c r="AO40" s="1173">
        <v>20</v>
      </c>
      <c r="AP40" s="1173">
        <f>AVERAGE(AO40,AQ40)</f>
        <v>50</v>
      </c>
      <c r="AQ40" s="1173">
        <v>80</v>
      </c>
    </row>
    <row r="41" spans="3:43" s="1169" customFormat="1" ht="20.25">
      <c r="C41" s="1169" t="s">
        <v>618</v>
      </c>
      <c r="D41" s="1173">
        <v>69</v>
      </c>
      <c r="E41" s="1173">
        <v>64</v>
      </c>
      <c r="F41" s="1173">
        <f t="shared" si="0"/>
        <v>59.5</v>
      </c>
      <c r="G41" s="1173">
        <v>55</v>
      </c>
      <c r="M41" s="1169" t="s">
        <v>618</v>
      </c>
      <c r="N41" s="1173">
        <v>9</v>
      </c>
      <c r="O41" s="1173">
        <v>18</v>
      </c>
      <c r="P41" s="1173">
        <f t="shared" ref="P41:P43" si="1">AVERAGE(O41,Q41)</f>
        <v>29</v>
      </c>
      <c r="Q41" s="1173">
        <v>40</v>
      </c>
      <c r="V41" s="1169" t="s">
        <v>618</v>
      </c>
      <c r="W41" s="1173">
        <v>69</v>
      </c>
      <c r="X41" s="1173">
        <v>64</v>
      </c>
      <c r="Y41" s="1173">
        <f t="shared" ref="Y41:Y42" si="2">AVERAGE(X41,Z41)</f>
        <v>57</v>
      </c>
      <c r="Z41" s="1173">
        <v>50</v>
      </c>
      <c r="AF41" s="1169" t="s">
        <v>618</v>
      </c>
      <c r="AG41" s="1176">
        <v>4.0999999999999996</v>
      </c>
      <c r="AH41" s="1176">
        <v>3.8</v>
      </c>
      <c r="AI41" s="1176">
        <f t="shared" ref="AI41:AI42" si="3">AVERAGE(AH41,AJ41)</f>
        <v>3.65</v>
      </c>
      <c r="AJ41" s="1176">
        <v>3.5</v>
      </c>
      <c r="AN41" s="1169" t="s">
        <v>618</v>
      </c>
      <c r="AO41" s="1173">
        <v>20</v>
      </c>
      <c r="AP41" s="1173">
        <f t="shared" ref="AP41:AP43" si="4">AVERAGE(AO41,AQ41)</f>
        <v>35</v>
      </c>
      <c r="AQ41" s="1173">
        <v>50</v>
      </c>
    </row>
    <row r="42" spans="3:43" s="1169" customFormat="1" ht="20.25">
      <c r="C42" s="1169" t="s">
        <v>612</v>
      </c>
      <c r="D42" s="1173">
        <v>71</v>
      </c>
      <c r="E42" s="1173">
        <v>68</v>
      </c>
      <c r="F42" s="1173">
        <f t="shared" si="0"/>
        <v>65.5</v>
      </c>
      <c r="G42" s="1173">
        <v>63</v>
      </c>
      <c r="M42" s="1169" t="s">
        <v>612</v>
      </c>
      <c r="N42" s="1173">
        <v>16</v>
      </c>
      <c r="O42" s="1173">
        <v>37</v>
      </c>
      <c r="P42" s="1173">
        <f t="shared" si="1"/>
        <v>62.5</v>
      </c>
      <c r="Q42" s="1173">
        <v>88</v>
      </c>
      <c r="V42" s="1169" t="s">
        <v>612</v>
      </c>
      <c r="W42" s="1173">
        <v>30</v>
      </c>
      <c r="X42" s="1173">
        <v>25</v>
      </c>
      <c r="Y42" s="1173">
        <f t="shared" si="2"/>
        <v>17.5</v>
      </c>
      <c r="Z42" s="1173">
        <v>10</v>
      </c>
      <c r="AF42" s="1169" t="s">
        <v>612</v>
      </c>
      <c r="AG42" s="1176">
        <v>3.9</v>
      </c>
      <c r="AH42" s="1176">
        <v>3.5</v>
      </c>
      <c r="AI42" s="1176">
        <f t="shared" si="3"/>
        <v>3.4</v>
      </c>
      <c r="AJ42" s="1176">
        <v>3.3</v>
      </c>
      <c r="AN42" s="1169" t="s">
        <v>612</v>
      </c>
      <c r="AO42" s="1173">
        <v>10</v>
      </c>
      <c r="AP42" s="1173">
        <f t="shared" si="4"/>
        <v>25</v>
      </c>
      <c r="AQ42" s="1173">
        <v>40</v>
      </c>
    </row>
    <row r="43" spans="3:43" s="1169" customFormat="1" ht="20.25">
      <c r="C43" s="1174" t="s">
        <v>588</v>
      </c>
      <c r="D43" s="1175">
        <v>68</v>
      </c>
      <c r="E43" s="1175">
        <v>65</v>
      </c>
      <c r="F43" s="1175">
        <f t="shared" si="0"/>
        <v>63</v>
      </c>
      <c r="G43" s="1175">
        <v>61</v>
      </c>
      <c r="M43" s="1174" t="s">
        <v>588</v>
      </c>
      <c r="N43" s="1175">
        <v>7</v>
      </c>
      <c r="O43" s="1175">
        <v>10</v>
      </c>
      <c r="P43" s="1175">
        <f t="shared" si="1"/>
        <v>14</v>
      </c>
      <c r="Q43" s="1175">
        <v>18</v>
      </c>
      <c r="V43" s="1188" t="s">
        <v>1149</v>
      </c>
      <c r="AF43" s="1174" t="s">
        <v>588</v>
      </c>
      <c r="AG43" s="1177">
        <v>3.42</v>
      </c>
      <c r="AH43" s="1177">
        <v>3.4</v>
      </c>
      <c r="AI43" s="1177">
        <f>AVERAGE(AH43,AJ43)</f>
        <v>3.3499999999999996</v>
      </c>
      <c r="AJ43" s="1177">
        <v>3.3</v>
      </c>
      <c r="AN43" s="1174" t="s">
        <v>588</v>
      </c>
      <c r="AO43" s="1175">
        <v>18</v>
      </c>
      <c r="AP43" s="1175">
        <f t="shared" si="4"/>
        <v>36.5</v>
      </c>
      <c r="AQ43" s="1175">
        <v>55</v>
      </c>
    </row>
    <row r="44" spans="3:43" ht="20.25">
      <c r="C44" s="1188" t="s">
        <v>1149</v>
      </c>
      <c r="M44" s="1188" t="s">
        <v>1149</v>
      </c>
      <c r="AF44" s="1188" t="s">
        <v>1149</v>
      </c>
      <c r="AN44" s="1188" t="s">
        <v>1149</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A1:T12"/>
  <sheetViews>
    <sheetView zoomScale="90" zoomScaleNormal="90" workbookViewId="0">
      <pane ySplit="8" topLeftCell="A9" activePane="bottomLeft" state="frozen"/>
      <selection pane="bottomLeft" activeCell="P67" sqref="P67"/>
    </sheetView>
  </sheetViews>
  <sheetFormatPr baseColWidth="10" defaultColWidth="9" defaultRowHeight="15" outlineLevelRow="1"/>
  <cols>
    <col min="1" max="1" width="2.625" style="562" customWidth="1"/>
    <col min="2" max="5" width="10.625" style="563" customWidth="1"/>
    <col min="6" max="16" width="10.625" style="562" customWidth="1"/>
    <col min="17" max="16384" width="9" style="562"/>
  </cols>
  <sheetData>
    <row r="1" spans="1:20" s="557" customFormat="1" ht="15" customHeight="1" outlineLevel="1">
      <c r="A1" s="555"/>
      <c r="B1" s="143"/>
      <c r="C1" s="143"/>
      <c r="D1" s="143"/>
      <c r="E1" s="143"/>
      <c r="F1" s="140"/>
      <c r="G1" s="556" t="s">
        <v>237</v>
      </c>
      <c r="I1" s="558"/>
      <c r="J1" s="558"/>
      <c r="K1" s="558"/>
      <c r="L1" s="559"/>
      <c r="M1" s="559"/>
      <c r="N1" s="559"/>
      <c r="O1" s="559"/>
      <c r="P1" s="559"/>
      <c r="Q1" s="559"/>
      <c r="R1" s="559"/>
      <c r="S1" s="559"/>
      <c r="T1" s="559"/>
    </row>
    <row r="2" spans="1:20" s="557" customFormat="1" ht="15" customHeight="1" outlineLevel="1">
      <c r="A2" s="555"/>
      <c r="B2" s="139"/>
      <c r="C2" s="139"/>
      <c r="D2" s="139"/>
      <c r="E2" s="139"/>
      <c r="F2" s="140"/>
      <c r="G2" s="571" t="s">
        <v>100</v>
      </c>
      <c r="H2" s="51"/>
      <c r="I2" s="616" t="str">
        <f>'Whole life model'!F2</f>
        <v>ARGENTINA</v>
      </c>
      <c r="J2" s="242"/>
      <c r="K2" s="243"/>
      <c r="L2" s="559"/>
      <c r="M2" s="559"/>
      <c r="N2" s="559"/>
      <c r="O2" s="559"/>
      <c r="P2" s="559"/>
      <c r="Q2" s="559"/>
      <c r="R2" s="559"/>
      <c r="S2" s="559"/>
      <c r="T2" s="559"/>
    </row>
    <row r="3" spans="1:20" s="557" customFormat="1" ht="15" customHeight="1" outlineLevel="1">
      <c r="A3" s="555"/>
      <c r="B3" s="143"/>
      <c r="C3" s="143"/>
      <c r="D3" s="143"/>
      <c r="E3" s="143"/>
      <c r="F3" s="140"/>
      <c r="G3" s="571" t="s">
        <v>235</v>
      </c>
      <c r="H3" s="51"/>
      <c r="I3" s="616" t="str">
        <f>'Whole life model'!F3</f>
        <v>AFCP</v>
      </c>
      <c r="J3" s="242"/>
      <c r="K3" s="243"/>
      <c r="L3" s="559"/>
      <c r="M3" s="559"/>
      <c r="N3" s="559"/>
      <c r="O3" s="559"/>
      <c r="P3" s="559"/>
      <c r="Q3" s="559"/>
      <c r="R3" s="559"/>
      <c r="S3" s="559"/>
      <c r="T3" s="559"/>
    </row>
    <row r="4" spans="1:20" s="557" customFormat="1" ht="15" customHeight="1" outlineLevel="1">
      <c r="A4" s="555"/>
      <c r="B4" s="143"/>
      <c r="C4" s="143"/>
      <c r="D4" s="143"/>
      <c r="E4" s="143"/>
      <c r="F4" s="140"/>
      <c r="G4" s="572" t="s">
        <v>461</v>
      </c>
      <c r="H4" s="51"/>
      <c r="I4" s="573" t="str">
        <f>'Whole life model'!F4</f>
        <v>FICEM and AFCP</v>
      </c>
      <c r="J4" s="242"/>
      <c r="K4" s="243"/>
      <c r="L4" s="559"/>
      <c r="M4" s="559"/>
      <c r="N4" s="559"/>
      <c r="O4" s="559"/>
      <c r="P4" s="559"/>
      <c r="Q4" s="559"/>
      <c r="R4" s="559"/>
      <c r="S4" s="559"/>
      <c r="T4" s="559"/>
    </row>
    <row r="5" spans="1:20" s="557" customFormat="1" ht="15" customHeight="1" outlineLevel="1">
      <c r="A5" s="555"/>
      <c r="B5" s="143"/>
      <c r="C5" s="143"/>
      <c r="D5" s="143"/>
      <c r="E5" s="143"/>
      <c r="F5" s="140"/>
      <c r="G5" s="571" t="s">
        <v>102</v>
      </c>
      <c r="H5" s="51"/>
      <c r="I5" s="573" t="str">
        <f>'Whole life model'!F5</f>
        <v>maria.lefevre@afcp.org.ar</v>
      </c>
      <c r="J5" s="242"/>
      <c r="K5" s="243"/>
      <c r="L5" s="559"/>
      <c r="M5" s="559"/>
      <c r="N5" s="559"/>
      <c r="O5" s="559"/>
      <c r="P5" s="559"/>
      <c r="Q5" s="559"/>
      <c r="R5" s="559"/>
      <c r="S5" s="559"/>
      <c r="T5" s="559"/>
    </row>
    <row r="6" spans="1:20" s="557" customFormat="1" ht="15" customHeight="1" outlineLevel="1">
      <c r="A6" s="555"/>
      <c r="B6" s="560" t="str">
        <f>'Whole life model'!B7</f>
        <v xml:space="preserve">GCCA Roadmap Template </v>
      </c>
      <c r="C6" s="560"/>
      <c r="D6" s="560" t="str">
        <f>'Whole life model'!D7</f>
        <v>Version 202, 19.07.2022, ECRA</v>
      </c>
      <c r="E6" s="560"/>
      <c r="F6" s="140"/>
      <c r="G6" s="571" t="s">
        <v>101</v>
      </c>
      <c r="H6" s="51"/>
      <c r="I6" s="573" t="str">
        <f>'Whole life model'!F6</f>
        <v>Phone</v>
      </c>
      <c r="J6" s="242"/>
      <c r="K6" s="243"/>
      <c r="L6" s="559"/>
      <c r="M6" s="559"/>
      <c r="N6" s="559"/>
      <c r="O6" s="559"/>
      <c r="P6" s="559"/>
      <c r="Q6" s="559"/>
      <c r="R6" s="559"/>
      <c r="S6" s="559"/>
      <c r="T6" s="559"/>
    </row>
    <row r="7" spans="1:20" s="557" customFormat="1" ht="24.95" customHeight="1">
      <c r="A7" s="555"/>
      <c r="B7" s="140" t="s">
        <v>527</v>
      </c>
      <c r="C7" s="603"/>
      <c r="D7" s="603"/>
      <c r="E7" s="603"/>
      <c r="F7" s="140"/>
      <c r="H7" s="559"/>
      <c r="I7" s="561"/>
      <c r="J7" s="561"/>
      <c r="K7" s="561"/>
      <c r="L7" s="561"/>
    </row>
    <row r="8" spans="1:20" s="566" customFormat="1" ht="24.95" customHeight="1" thickBot="1">
      <c r="A8" s="565"/>
      <c r="B8" s="155" t="s">
        <v>528</v>
      </c>
      <c r="C8" s="155" t="s">
        <v>154</v>
      </c>
      <c r="D8" s="156" t="s">
        <v>96</v>
      </c>
      <c r="E8" s="570" t="s">
        <v>530</v>
      </c>
      <c r="F8" s="567"/>
      <c r="H8" s="568"/>
      <c r="I8" s="569"/>
      <c r="J8" s="569"/>
      <c r="K8" s="569"/>
      <c r="L8" s="569"/>
    </row>
    <row r="9" spans="1:20" ht="15.75" thickTop="1">
      <c r="I9" s="564"/>
      <c r="J9" s="564"/>
      <c r="K9" s="564"/>
    </row>
    <row r="10" spans="1:20">
      <c r="E10" s="562" t="s">
        <v>529</v>
      </c>
      <c r="I10" s="564"/>
      <c r="J10" s="564"/>
      <c r="K10" s="564"/>
    </row>
    <row r="11" spans="1:20">
      <c r="I11" s="564"/>
      <c r="J11" s="564"/>
      <c r="K11" s="564"/>
    </row>
    <row r="12" spans="1:20">
      <c r="I12" s="564"/>
      <c r="J12" s="564"/>
      <c r="K12" s="564"/>
    </row>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AB5B-0A72-4158-9421-B594D5DAB2E4}">
  <sheetPr>
    <tabColor rgb="FFFFC000"/>
  </sheetPr>
  <dimension ref="A9:M40"/>
  <sheetViews>
    <sheetView workbookViewId="0">
      <selection activeCell="D23" sqref="D23"/>
    </sheetView>
  </sheetViews>
  <sheetFormatPr baseColWidth="10" defaultColWidth="11" defaultRowHeight="12.75"/>
  <cols>
    <col min="1" max="1" width="11" style="852"/>
    <col min="2" max="2" width="16.875" style="852" bestFit="1" customWidth="1"/>
    <col min="3" max="3" width="18" style="852" bestFit="1" customWidth="1"/>
    <col min="4" max="4" width="11" style="852"/>
    <col min="5" max="5" width="13.875" style="852" bestFit="1" customWidth="1"/>
    <col min="6" max="6" width="11.5" style="852" bestFit="1" customWidth="1"/>
    <col min="7" max="9" width="11" style="852"/>
    <col min="10" max="10" width="14" style="852" bestFit="1" customWidth="1"/>
    <col min="11" max="11" width="11" style="852"/>
    <col min="12" max="12" width="17.375" style="852" bestFit="1" customWidth="1"/>
    <col min="13" max="13" width="13" style="852" bestFit="1" customWidth="1"/>
    <col min="14" max="16384" width="11" style="852"/>
  </cols>
  <sheetData>
    <row r="9" spans="1:13" ht="15.75">
      <c r="A9" s="846" t="s">
        <v>864</v>
      </c>
      <c r="B9" s="116" t="s">
        <v>865</v>
      </c>
      <c r="C9" s="116" t="s">
        <v>866</v>
      </c>
      <c r="D9" s="846" t="s">
        <v>142</v>
      </c>
      <c r="E9" s="116" t="s">
        <v>836</v>
      </c>
      <c r="F9" s="116" t="s">
        <v>12</v>
      </c>
      <c r="G9" s="859" t="s">
        <v>11</v>
      </c>
      <c r="H9" s="116" t="s">
        <v>834</v>
      </c>
      <c r="I9" s="116" t="s">
        <v>148</v>
      </c>
      <c r="J9" s="859" t="s">
        <v>246</v>
      </c>
      <c r="K9" s="116" t="s">
        <v>10</v>
      </c>
      <c r="L9" s="116" t="s">
        <v>9</v>
      </c>
      <c r="M9" s="859" t="s">
        <v>831</v>
      </c>
    </row>
    <row r="10" spans="1:13">
      <c r="A10" s="846">
        <v>2020</v>
      </c>
      <c r="B10" s="856">
        <f>'Waterfall data'!Q10-'Whole life model'!F34</f>
        <v>4.9135975314749984</v>
      </c>
      <c r="C10" s="855">
        <f>'Waterfall data'!R10</f>
        <v>0.42043473466135456</v>
      </c>
      <c r="D10" s="854">
        <v>0</v>
      </c>
      <c r="E10" s="853">
        <v>0</v>
      </c>
      <c r="F10" s="855">
        <f>'Whole life model'!F34</f>
        <v>1.2791283749999998</v>
      </c>
      <c r="G10" s="861">
        <v>0</v>
      </c>
      <c r="H10" s="853">
        <v>0</v>
      </c>
      <c r="I10" s="853">
        <v>0</v>
      </c>
      <c r="J10" s="861">
        <v>0</v>
      </c>
      <c r="K10" s="853">
        <v>0</v>
      </c>
      <c r="L10" s="853">
        <v>0</v>
      </c>
      <c r="M10" s="860">
        <f>B10+C10+F10</f>
        <v>6.6131606411363526</v>
      </c>
    </row>
    <row r="11" spans="1:13">
      <c r="A11" s="846"/>
      <c r="B11" s="856">
        <f t="shared" ref="B11:M11" si="0">B10+((B$20-B$10)/($A$20-$A$10))</f>
        <v>4.9483475651453084</v>
      </c>
      <c r="C11" s="856">
        <f t="shared" si="0"/>
        <v>0.41193840456604858</v>
      </c>
      <c r="D11" s="857">
        <f t="shared" si="0"/>
        <v>0</v>
      </c>
      <c r="E11" s="856">
        <f t="shared" si="0"/>
        <v>1.2925332930439648E-2</v>
      </c>
      <c r="F11" s="856">
        <f t="shared" si="0"/>
        <v>1.2917785331185307</v>
      </c>
      <c r="G11" s="860" t="e">
        <f t="shared" si="0"/>
        <v>#VALUE!</v>
      </c>
      <c r="H11" s="856">
        <f t="shared" si="0"/>
        <v>1.3827738585317207E-2</v>
      </c>
      <c r="I11" s="856">
        <f t="shared" si="0"/>
        <v>0</v>
      </c>
      <c r="J11" s="860">
        <f t="shared" si="0"/>
        <v>1.7284106650704522E-2</v>
      </c>
      <c r="K11" s="856">
        <f t="shared" si="0"/>
        <v>7.2725528174002465E-4</v>
      </c>
      <c r="L11" s="856">
        <f t="shared" si="0"/>
        <v>3.4450102587308698E-2</v>
      </c>
      <c r="M11" s="860">
        <f t="shared" si="0"/>
        <v>6.7321975326768069</v>
      </c>
    </row>
    <row r="12" spans="1:13">
      <c r="A12" s="846"/>
      <c r="B12" s="856">
        <f t="shared" ref="B12:B19" si="1">B11+((B$20-B$10)/($A$20-$A$10))</f>
        <v>4.9830975988156183</v>
      </c>
      <c r="C12" s="856">
        <f t="shared" ref="C12:C19" si="2">C11+((C$20-C$10)/($A$20-$A$10))</f>
        <v>0.4034420744707426</v>
      </c>
      <c r="D12" s="857">
        <f t="shared" ref="D12:D19" si="3">D11+((D$20-D$10)/($A$20-$A$10))</f>
        <v>0</v>
      </c>
      <c r="E12" s="856">
        <f t="shared" ref="E12:E19" si="4">E11+((E$20-E$10)/($A$20-$A$10))</f>
        <v>2.5850665860879297E-2</v>
      </c>
      <c r="F12" s="856">
        <f t="shared" ref="F12:F19" si="5">F11+((F$20-F$10)/($A$20-$A$10))</f>
        <v>1.3044286912370617</v>
      </c>
      <c r="G12" s="860" t="e">
        <f t="shared" ref="G12:G19" si="6">G11+((G$20-G$10)/($A$20-$A$10))</f>
        <v>#VALUE!</v>
      </c>
      <c r="H12" s="856">
        <f t="shared" ref="H12:H19" si="7">H11+((H$20-H$10)/($A$20-$A$10))</f>
        <v>2.7655477170634414E-2</v>
      </c>
      <c r="I12" s="856">
        <f t="shared" ref="I12:I19" si="8">I11+((I$20-I$10)/($A$20-$A$10))</f>
        <v>0</v>
      </c>
      <c r="J12" s="860">
        <f t="shared" ref="J12:J19" si="9">J11+((J$20-J$10)/($A$20-$A$10))</f>
        <v>3.4568213301409044E-2</v>
      </c>
      <c r="K12" s="856">
        <f t="shared" ref="K12:K19" si="10">K11+((K$20-K$10)/($A$20-$A$10))</f>
        <v>1.4545105634800493E-3</v>
      </c>
      <c r="L12" s="856">
        <f t="shared" ref="L12:L19" si="11">L11+((L$20-L$10)/($A$20-$A$10))</f>
        <v>6.8900205174617396E-2</v>
      </c>
      <c r="M12" s="860">
        <f t="shared" ref="M12:M19" si="12">M11+((M$20-M$10)/($A$20-$A$10))</f>
        <v>6.8512344242172611</v>
      </c>
    </row>
    <row r="13" spans="1:13">
      <c r="A13" s="846"/>
      <c r="B13" s="856">
        <f t="shared" si="1"/>
        <v>5.0178476324859282</v>
      </c>
      <c r="C13" s="856">
        <f t="shared" si="2"/>
        <v>0.39494574437543661</v>
      </c>
      <c r="D13" s="857">
        <f t="shared" si="3"/>
        <v>0</v>
      </c>
      <c r="E13" s="856">
        <f t="shared" si="4"/>
        <v>3.8775998791318947E-2</v>
      </c>
      <c r="F13" s="856">
        <f t="shared" si="5"/>
        <v>1.3170788493555927</v>
      </c>
      <c r="G13" s="860" t="e">
        <f t="shared" si="6"/>
        <v>#VALUE!</v>
      </c>
      <c r="H13" s="856">
        <f t="shared" si="7"/>
        <v>4.1483215755951625E-2</v>
      </c>
      <c r="I13" s="856">
        <f t="shared" si="8"/>
        <v>0</v>
      </c>
      <c r="J13" s="860">
        <f t="shared" si="9"/>
        <v>5.1852319952113562E-2</v>
      </c>
      <c r="K13" s="856">
        <f t="shared" si="10"/>
        <v>2.1817658452200741E-3</v>
      </c>
      <c r="L13" s="856">
        <f t="shared" si="11"/>
        <v>0.10335030776192609</v>
      </c>
      <c r="M13" s="860">
        <f t="shared" si="12"/>
        <v>6.9702713157577154</v>
      </c>
    </row>
    <row r="14" spans="1:13">
      <c r="A14" s="846"/>
      <c r="B14" s="856">
        <f t="shared" si="1"/>
        <v>5.0525976661562382</v>
      </c>
      <c r="C14" s="856">
        <f t="shared" si="2"/>
        <v>0.38644941428013063</v>
      </c>
      <c r="D14" s="857">
        <f t="shared" si="3"/>
        <v>0</v>
      </c>
      <c r="E14" s="856">
        <f t="shared" si="4"/>
        <v>5.1701331721758594E-2</v>
      </c>
      <c r="F14" s="856">
        <f t="shared" si="5"/>
        <v>1.3297290074741237</v>
      </c>
      <c r="G14" s="860" t="e">
        <f t="shared" si="6"/>
        <v>#VALUE!</v>
      </c>
      <c r="H14" s="856">
        <f t="shared" si="7"/>
        <v>5.5310954341268828E-2</v>
      </c>
      <c r="I14" s="856">
        <f t="shared" si="8"/>
        <v>0</v>
      </c>
      <c r="J14" s="860">
        <f t="shared" si="9"/>
        <v>6.9136426602818088E-2</v>
      </c>
      <c r="K14" s="856">
        <f t="shared" si="10"/>
        <v>2.9090211269600986E-3</v>
      </c>
      <c r="L14" s="856">
        <f t="shared" si="11"/>
        <v>0.13780041034923479</v>
      </c>
      <c r="M14" s="860">
        <f t="shared" si="12"/>
        <v>7.0893082072981697</v>
      </c>
    </row>
    <row r="15" spans="1:13">
      <c r="A15" s="846"/>
      <c r="B15" s="856">
        <f t="shared" si="1"/>
        <v>5.0873476998265481</v>
      </c>
      <c r="C15" s="856">
        <f t="shared" si="2"/>
        <v>0.37795308418482465</v>
      </c>
      <c r="D15" s="857">
        <f t="shared" si="3"/>
        <v>0</v>
      </c>
      <c r="E15" s="856">
        <f t="shared" si="4"/>
        <v>6.462666465219824E-2</v>
      </c>
      <c r="F15" s="856">
        <f t="shared" si="5"/>
        <v>1.3423791655926547</v>
      </c>
      <c r="G15" s="860" t="e">
        <f t="shared" si="6"/>
        <v>#VALUE!</v>
      </c>
      <c r="H15" s="856">
        <f t="shared" si="7"/>
        <v>6.9138692926586032E-2</v>
      </c>
      <c r="I15" s="856">
        <f t="shared" si="8"/>
        <v>0</v>
      </c>
      <c r="J15" s="860">
        <f t="shared" si="9"/>
        <v>8.6420533253522613E-2</v>
      </c>
      <c r="K15" s="856">
        <f t="shared" si="10"/>
        <v>3.6362764087001231E-3</v>
      </c>
      <c r="L15" s="856">
        <f t="shared" si="11"/>
        <v>0.17225051293654348</v>
      </c>
      <c r="M15" s="860">
        <f t="shared" si="12"/>
        <v>7.208345098838624</v>
      </c>
    </row>
    <row r="16" spans="1:13">
      <c r="A16" s="846"/>
      <c r="B16" s="856">
        <f t="shared" si="1"/>
        <v>5.122097733496858</v>
      </c>
      <c r="C16" s="856">
        <f t="shared" si="2"/>
        <v>0.36945675408951867</v>
      </c>
      <c r="D16" s="857">
        <f t="shared" si="3"/>
        <v>0</v>
      </c>
      <c r="E16" s="856">
        <f t="shared" si="4"/>
        <v>7.7551997582637894E-2</v>
      </c>
      <c r="F16" s="856">
        <f t="shared" si="5"/>
        <v>1.3550293237111857</v>
      </c>
      <c r="G16" s="860" t="e">
        <f t="shared" si="6"/>
        <v>#VALUE!</v>
      </c>
      <c r="H16" s="856">
        <f t="shared" si="7"/>
        <v>8.2966431511903235E-2</v>
      </c>
      <c r="I16" s="856">
        <f t="shared" si="8"/>
        <v>0</v>
      </c>
      <c r="J16" s="860">
        <f t="shared" si="9"/>
        <v>0.10370463990422714</v>
      </c>
      <c r="K16" s="856">
        <f t="shared" si="10"/>
        <v>4.3635316904401481E-3</v>
      </c>
      <c r="L16" s="856">
        <f t="shared" si="11"/>
        <v>0.20670061552385216</v>
      </c>
      <c r="M16" s="860">
        <f t="shared" si="12"/>
        <v>7.3273819903790782</v>
      </c>
    </row>
    <row r="17" spans="1:13">
      <c r="A17" s="846"/>
      <c r="B17" s="856">
        <f t="shared" si="1"/>
        <v>5.156847767167168</v>
      </c>
      <c r="C17" s="856">
        <f t="shared" si="2"/>
        <v>0.36096042399421269</v>
      </c>
      <c r="D17" s="857">
        <f t="shared" si="3"/>
        <v>0</v>
      </c>
      <c r="E17" s="856">
        <f t="shared" si="4"/>
        <v>9.0477330513077547E-2</v>
      </c>
      <c r="F17" s="856">
        <f t="shared" si="5"/>
        <v>1.3676794818297167</v>
      </c>
      <c r="G17" s="860" t="e">
        <f t="shared" si="6"/>
        <v>#VALUE!</v>
      </c>
      <c r="H17" s="856">
        <f t="shared" si="7"/>
        <v>9.6794170097220439E-2</v>
      </c>
      <c r="I17" s="856">
        <f t="shared" si="8"/>
        <v>0</v>
      </c>
      <c r="J17" s="860">
        <f t="shared" si="9"/>
        <v>0.12098874655493166</v>
      </c>
      <c r="K17" s="856">
        <f t="shared" si="10"/>
        <v>5.0907869721801731E-3</v>
      </c>
      <c r="L17" s="856">
        <f t="shared" si="11"/>
        <v>0.24115071811116084</v>
      </c>
      <c r="M17" s="860">
        <f t="shared" si="12"/>
        <v>7.4464188819195325</v>
      </c>
    </row>
    <row r="18" spans="1:13">
      <c r="A18" s="846"/>
      <c r="B18" s="856">
        <f t="shared" si="1"/>
        <v>5.1915978008374779</v>
      </c>
      <c r="C18" s="856">
        <f t="shared" si="2"/>
        <v>0.35246409389890671</v>
      </c>
      <c r="D18" s="857">
        <f t="shared" si="3"/>
        <v>0</v>
      </c>
      <c r="E18" s="856">
        <f t="shared" si="4"/>
        <v>0.1034026634435172</v>
      </c>
      <c r="F18" s="856">
        <f t="shared" si="5"/>
        <v>1.3803296399482476</v>
      </c>
      <c r="G18" s="860" t="e">
        <f t="shared" si="6"/>
        <v>#VALUE!</v>
      </c>
      <c r="H18" s="856">
        <f t="shared" si="7"/>
        <v>0.11062190868253764</v>
      </c>
      <c r="I18" s="856">
        <f t="shared" si="8"/>
        <v>0</v>
      </c>
      <c r="J18" s="860">
        <f t="shared" si="9"/>
        <v>0.13827285320563618</v>
      </c>
      <c r="K18" s="856">
        <f t="shared" si="10"/>
        <v>5.8180422539201981E-3</v>
      </c>
      <c r="L18" s="856">
        <f t="shared" si="11"/>
        <v>0.27560082069846953</v>
      </c>
      <c r="M18" s="860">
        <f t="shared" si="12"/>
        <v>7.5654557734599868</v>
      </c>
    </row>
    <row r="19" spans="1:13">
      <c r="A19" s="846"/>
      <c r="B19" s="856">
        <f t="shared" si="1"/>
        <v>5.2263478345077878</v>
      </c>
      <c r="C19" s="856">
        <f t="shared" si="2"/>
        <v>0.34396776380360072</v>
      </c>
      <c r="D19" s="857">
        <f t="shared" si="3"/>
        <v>0</v>
      </c>
      <c r="E19" s="856">
        <f t="shared" si="4"/>
        <v>0.11632799637395685</v>
      </c>
      <c r="F19" s="856">
        <f t="shared" si="5"/>
        <v>1.3929797980667786</v>
      </c>
      <c r="G19" s="860" t="e">
        <f t="shared" si="6"/>
        <v>#VALUE!</v>
      </c>
      <c r="H19" s="856">
        <f t="shared" si="7"/>
        <v>0.12444964726785485</v>
      </c>
      <c r="I19" s="856">
        <f t="shared" si="8"/>
        <v>0</v>
      </c>
      <c r="J19" s="860">
        <f t="shared" si="9"/>
        <v>0.15555695985634069</v>
      </c>
      <c r="K19" s="856">
        <f t="shared" si="10"/>
        <v>6.545297535660223E-3</v>
      </c>
      <c r="L19" s="856">
        <f t="shared" si="11"/>
        <v>0.31005092328577821</v>
      </c>
      <c r="M19" s="860">
        <f t="shared" si="12"/>
        <v>7.684492665000441</v>
      </c>
    </row>
    <row r="20" spans="1:13">
      <c r="A20" s="846">
        <v>2030</v>
      </c>
      <c r="B20" s="855">
        <f>'Waterfall data'!Q21</f>
        <v>5.2610978681780951</v>
      </c>
      <c r="C20" s="855">
        <f>'Waterfall data'!R21</f>
        <v>0.33547143370829452</v>
      </c>
      <c r="D20" s="858">
        <v>0</v>
      </c>
      <c r="E20" s="855">
        <f>'Waterfall data'!T19</f>
        <v>0.12925332930439648</v>
      </c>
      <c r="F20" s="855">
        <f>'Waterfall data'!T18</f>
        <v>1.4056299561853089</v>
      </c>
      <c r="G20" s="862" t="str">
        <f>'Waterfall data'!T17</f>
        <v/>
      </c>
      <c r="H20" s="855">
        <f>'Waterfall data'!T16</f>
        <v>0.13827738585317206</v>
      </c>
      <c r="I20" s="855">
        <v>0</v>
      </c>
      <c r="J20" s="862">
        <f>'Waterfall data'!T14</f>
        <v>0.17284106650704523</v>
      </c>
      <c r="K20" s="855">
        <f>'Waterfall data'!T13</f>
        <v>7.2725528174002463E-3</v>
      </c>
      <c r="L20" s="855">
        <f>'Waterfall data'!T12</f>
        <v>0.34450102587308695</v>
      </c>
      <c r="M20" s="860">
        <f>M10+'Waterfall data'!S11</f>
        <v>7.8035295565408953</v>
      </c>
    </row>
    <row r="21" spans="1:13">
      <c r="A21" s="846"/>
      <c r="B21" s="856">
        <f>B20+((B$40-B$20)/($A$40-$A$20))</f>
        <v>4.9980429747691906</v>
      </c>
      <c r="C21" s="856">
        <f t="shared" ref="C21:M36" si="13">C20+((C$40-C$20)/($A$40-$A$20))</f>
        <v>0.32130198237475821</v>
      </c>
      <c r="D21" s="857">
        <f t="shared" si="13"/>
        <v>0.27534370109139433</v>
      </c>
      <c r="E21" s="856">
        <f t="shared" si="13"/>
        <v>0.13383059238525793</v>
      </c>
      <c r="F21" s="856">
        <f t="shared" si="13"/>
        <v>1.4149331777600811</v>
      </c>
      <c r="G21" s="860" t="e">
        <f t="shared" si="13"/>
        <v>#VALUE!</v>
      </c>
      <c r="H21" s="856">
        <f t="shared" si="13"/>
        <v>0.15708987742433728</v>
      </c>
      <c r="I21" s="856">
        <f t="shared" si="13"/>
        <v>0</v>
      </c>
      <c r="J21" s="860">
        <f t="shared" si="13"/>
        <v>0.19618970120507279</v>
      </c>
      <c r="K21" s="856">
        <f t="shared" si="13"/>
        <v>3.1687138121341316E-2</v>
      </c>
      <c r="L21" s="856">
        <f t="shared" si="13"/>
        <v>0.36939795663938024</v>
      </c>
      <c r="M21" s="860">
        <f t="shared" si="13"/>
        <v>7.9258730284019183</v>
      </c>
    </row>
    <row r="22" spans="1:13">
      <c r="A22" s="846"/>
      <c r="B22" s="856">
        <f t="shared" ref="B22:B39" si="14">B21+((B$40-B$20)/($A$40-$A$20))</f>
        <v>4.734988081360286</v>
      </c>
      <c r="C22" s="856">
        <f t="shared" si="13"/>
        <v>0.3071325310412219</v>
      </c>
      <c r="D22" s="857">
        <f t="shared" si="13"/>
        <v>0.55068740218278867</v>
      </c>
      <c r="E22" s="856">
        <f t="shared" si="13"/>
        <v>0.13840785546611939</v>
      </c>
      <c r="F22" s="856">
        <f t="shared" si="13"/>
        <v>1.4242363993348532</v>
      </c>
      <c r="G22" s="860" t="e">
        <f t="shared" si="13"/>
        <v>#VALUE!</v>
      </c>
      <c r="H22" s="856">
        <f t="shared" si="13"/>
        <v>0.17590236899550249</v>
      </c>
      <c r="I22" s="856">
        <f t="shared" si="13"/>
        <v>0</v>
      </c>
      <c r="J22" s="860">
        <f t="shared" si="13"/>
        <v>0.21953833590310035</v>
      </c>
      <c r="K22" s="856">
        <f t="shared" si="13"/>
        <v>5.6101723425282385E-2</v>
      </c>
      <c r="L22" s="856">
        <f t="shared" si="13"/>
        <v>0.39429488740567353</v>
      </c>
      <c r="M22" s="860">
        <f t="shared" si="13"/>
        <v>8.0482165002629404</v>
      </c>
    </row>
    <row r="23" spans="1:13">
      <c r="A23" s="846"/>
      <c r="B23" s="856">
        <f t="shared" si="14"/>
        <v>4.4719331879513815</v>
      </c>
      <c r="C23" s="856">
        <f t="shared" si="13"/>
        <v>0.29296307970768559</v>
      </c>
      <c r="D23" s="857">
        <f t="shared" si="13"/>
        <v>0.82603110327418294</v>
      </c>
      <c r="E23" s="856">
        <f t="shared" si="13"/>
        <v>0.14298511854698084</v>
      </c>
      <c r="F23" s="856">
        <f t="shared" si="13"/>
        <v>1.4335396209096254</v>
      </c>
      <c r="G23" s="860" t="e">
        <f t="shared" si="13"/>
        <v>#VALUE!</v>
      </c>
      <c r="H23" s="856">
        <f t="shared" si="13"/>
        <v>0.1947148605666677</v>
      </c>
      <c r="I23" s="856">
        <f t="shared" si="13"/>
        <v>0</v>
      </c>
      <c r="J23" s="860">
        <f t="shared" si="13"/>
        <v>0.24288697060112791</v>
      </c>
      <c r="K23" s="856">
        <f t="shared" si="13"/>
        <v>8.0516308729223454E-2</v>
      </c>
      <c r="L23" s="856">
        <f t="shared" si="13"/>
        <v>0.41919181817196682</v>
      </c>
      <c r="M23" s="860">
        <f t="shared" si="13"/>
        <v>8.1705599721239626</v>
      </c>
    </row>
    <row r="24" spans="1:13">
      <c r="A24" s="846"/>
      <c r="B24" s="856">
        <f t="shared" si="14"/>
        <v>4.208878294542477</v>
      </c>
      <c r="C24" s="856">
        <f t="shared" si="13"/>
        <v>0.27879362837414928</v>
      </c>
      <c r="D24" s="857">
        <f t="shared" si="13"/>
        <v>1.1013748043655773</v>
      </c>
      <c r="E24" s="856">
        <f t="shared" si="13"/>
        <v>0.1475623816278423</v>
      </c>
      <c r="F24" s="856">
        <f t="shared" si="13"/>
        <v>1.4428428424843975</v>
      </c>
      <c r="G24" s="860" t="e">
        <f t="shared" si="13"/>
        <v>#VALUE!</v>
      </c>
      <c r="H24" s="856">
        <f t="shared" si="13"/>
        <v>0.21352735213783292</v>
      </c>
      <c r="I24" s="856">
        <f t="shared" si="13"/>
        <v>0</v>
      </c>
      <c r="J24" s="860">
        <f t="shared" si="13"/>
        <v>0.26623560529915546</v>
      </c>
      <c r="K24" s="856">
        <f t="shared" si="13"/>
        <v>0.10493089403316452</v>
      </c>
      <c r="L24" s="856">
        <f t="shared" si="13"/>
        <v>0.44408874893826011</v>
      </c>
      <c r="M24" s="860">
        <f t="shared" si="13"/>
        <v>8.2929034439849847</v>
      </c>
    </row>
    <row r="25" spans="1:13">
      <c r="A25" s="846"/>
      <c r="B25" s="856">
        <f t="shared" si="14"/>
        <v>3.945823401133572</v>
      </c>
      <c r="C25" s="856">
        <f t="shared" si="13"/>
        <v>0.26462417704061297</v>
      </c>
      <c r="D25" s="857">
        <f t="shared" si="13"/>
        <v>1.3767185054569717</v>
      </c>
      <c r="E25" s="856">
        <f t="shared" si="13"/>
        <v>0.15213964470870375</v>
      </c>
      <c r="F25" s="856">
        <f t="shared" si="13"/>
        <v>1.4521460640591697</v>
      </c>
      <c r="G25" s="860" t="e">
        <f t="shared" si="13"/>
        <v>#VALUE!</v>
      </c>
      <c r="H25" s="856">
        <f t="shared" si="13"/>
        <v>0.23233984370899813</v>
      </c>
      <c r="I25" s="856">
        <f t="shared" si="13"/>
        <v>0</v>
      </c>
      <c r="J25" s="860">
        <f t="shared" si="13"/>
        <v>0.28958423999718302</v>
      </c>
      <c r="K25" s="856">
        <f t="shared" si="13"/>
        <v>0.12934547933710561</v>
      </c>
      <c r="L25" s="856">
        <f t="shared" si="13"/>
        <v>0.4689856797045534</v>
      </c>
      <c r="M25" s="860">
        <f t="shared" si="13"/>
        <v>8.4152469158460068</v>
      </c>
    </row>
    <row r="26" spans="1:13">
      <c r="A26" s="846"/>
      <c r="B26" s="856">
        <f t="shared" si="14"/>
        <v>3.682768507724667</v>
      </c>
      <c r="C26" s="856">
        <f t="shared" si="13"/>
        <v>0.25045472570707666</v>
      </c>
      <c r="D26" s="857">
        <f t="shared" si="13"/>
        <v>1.6520622065483661</v>
      </c>
      <c r="E26" s="856">
        <f t="shared" si="13"/>
        <v>0.15671690778956521</v>
      </c>
      <c r="F26" s="856">
        <f t="shared" si="13"/>
        <v>1.4614492856339418</v>
      </c>
      <c r="G26" s="860" t="e">
        <f t="shared" si="13"/>
        <v>#VALUE!</v>
      </c>
      <c r="H26" s="856">
        <f t="shared" si="13"/>
        <v>0.25115233528016334</v>
      </c>
      <c r="I26" s="856">
        <f t="shared" si="13"/>
        <v>0</v>
      </c>
      <c r="J26" s="860">
        <f t="shared" si="13"/>
        <v>0.31293287469521058</v>
      </c>
      <c r="K26" s="856">
        <f t="shared" si="13"/>
        <v>0.15376006464104669</v>
      </c>
      <c r="L26" s="856">
        <f t="shared" si="13"/>
        <v>0.49388261047084669</v>
      </c>
      <c r="M26" s="860">
        <f t="shared" si="13"/>
        <v>8.5375903877070289</v>
      </c>
    </row>
    <row r="27" spans="1:13">
      <c r="A27" s="846"/>
      <c r="B27" s="856">
        <f t="shared" si="14"/>
        <v>3.419713614315762</v>
      </c>
      <c r="C27" s="856">
        <f t="shared" si="13"/>
        <v>0.23628527437354035</v>
      </c>
      <c r="D27" s="857">
        <f t="shared" si="13"/>
        <v>1.9274059076397605</v>
      </c>
      <c r="E27" s="856">
        <f t="shared" si="13"/>
        <v>0.16129417087042666</v>
      </c>
      <c r="F27" s="856">
        <f t="shared" si="13"/>
        <v>1.470752507208714</v>
      </c>
      <c r="G27" s="860" t="e">
        <f t="shared" si="13"/>
        <v>#VALUE!</v>
      </c>
      <c r="H27" s="856">
        <f t="shared" si="13"/>
        <v>0.26996482685132855</v>
      </c>
      <c r="I27" s="856">
        <f t="shared" si="13"/>
        <v>0</v>
      </c>
      <c r="J27" s="860">
        <f t="shared" si="13"/>
        <v>0.33628150939323814</v>
      </c>
      <c r="K27" s="856">
        <f t="shared" si="13"/>
        <v>0.17817464994498777</v>
      </c>
      <c r="L27" s="856">
        <f t="shared" si="13"/>
        <v>0.51877954123713999</v>
      </c>
      <c r="M27" s="860">
        <f t="shared" si="13"/>
        <v>8.6599338595680511</v>
      </c>
    </row>
    <row r="28" spans="1:13">
      <c r="A28" s="846"/>
      <c r="B28" s="856">
        <f t="shared" si="14"/>
        <v>3.1566587209068571</v>
      </c>
      <c r="C28" s="856">
        <f t="shared" si="13"/>
        <v>0.22211582304000405</v>
      </c>
      <c r="D28" s="857">
        <f t="shared" si="13"/>
        <v>2.2027496087311547</v>
      </c>
      <c r="E28" s="856">
        <f t="shared" si="13"/>
        <v>0.16587143395128812</v>
      </c>
      <c r="F28" s="856">
        <f t="shared" si="13"/>
        <v>1.4800557287834861</v>
      </c>
      <c r="G28" s="860" t="e">
        <f t="shared" si="13"/>
        <v>#VALUE!</v>
      </c>
      <c r="H28" s="856">
        <f t="shared" si="13"/>
        <v>0.28877731842249377</v>
      </c>
      <c r="I28" s="856">
        <f t="shared" si="13"/>
        <v>0</v>
      </c>
      <c r="J28" s="860">
        <f t="shared" si="13"/>
        <v>0.3596301440912657</v>
      </c>
      <c r="K28" s="856">
        <f t="shared" si="13"/>
        <v>0.20258923524892886</v>
      </c>
      <c r="L28" s="856">
        <f t="shared" si="13"/>
        <v>0.54367647200343328</v>
      </c>
      <c r="M28" s="860">
        <f t="shared" si="13"/>
        <v>8.7822773314290732</v>
      </c>
    </row>
    <row r="29" spans="1:13">
      <c r="A29" s="846"/>
      <c r="B29" s="856">
        <f t="shared" si="14"/>
        <v>2.8936038274979521</v>
      </c>
      <c r="C29" s="856">
        <f t="shared" si="13"/>
        <v>0.20794637170646774</v>
      </c>
      <c r="D29" s="857">
        <f t="shared" si="13"/>
        <v>2.4780933098225488</v>
      </c>
      <c r="E29" s="856">
        <f t="shared" si="13"/>
        <v>0.17044869703214957</v>
      </c>
      <c r="F29" s="856">
        <f t="shared" si="13"/>
        <v>1.4893589503582583</v>
      </c>
      <c r="G29" s="860" t="e">
        <f t="shared" si="13"/>
        <v>#VALUE!</v>
      </c>
      <c r="H29" s="856">
        <f t="shared" si="13"/>
        <v>0.30758980999365898</v>
      </c>
      <c r="I29" s="856">
        <f t="shared" si="13"/>
        <v>0</v>
      </c>
      <c r="J29" s="860">
        <f t="shared" si="13"/>
        <v>0.38297877878929326</v>
      </c>
      <c r="K29" s="856">
        <f t="shared" si="13"/>
        <v>0.22700382055286994</v>
      </c>
      <c r="L29" s="856">
        <f t="shared" si="13"/>
        <v>0.56857340276972657</v>
      </c>
      <c r="M29" s="860">
        <f t="shared" si="13"/>
        <v>8.9046208032900953</v>
      </c>
    </row>
    <row r="30" spans="1:13">
      <c r="A30" s="846"/>
      <c r="B30" s="856">
        <f t="shared" si="14"/>
        <v>2.6305489340890471</v>
      </c>
      <c r="C30" s="856">
        <f t="shared" si="13"/>
        <v>0.19377692037293143</v>
      </c>
      <c r="D30" s="857">
        <f t="shared" si="13"/>
        <v>2.753437010913943</v>
      </c>
      <c r="E30" s="856">
        <f t="shared" si="13"/>
        <v>0.17502596011301103</v>
      </c>
      <c r="F30" s="856">
        <f t="shared" si="13"/>
        <v>1.4986621719330304</v>
      </c>
      <c r="G30" s="860" t="e">
        <f t="shared" si="13"/>
        <v>#VALUE!</v>
      </c>
      <c r="H30" s="856">
        <f t="shared" si="13"/>
        <v>0.32640230156482419</v>
      </c>
      <c r="I30" s="856">
        <f t="shared" si="13"/>
        <v>0</v>
      </c>
      <c r="J30" s="860">
        <f t="shared" si="13"/>
        <v>0.40632741348732082</v>
      </c>
      <c r="K30" s="856">
        <f t="shared" si="13"/>
        <v>0.25141840585681102</v>
      </c>
      <c r="L30" s="856">
        <f t="shared" si="13"/>
        <v>0.59347033353601986</v>
      </c>
      <c r="M30" s="860">
        <f t="shared" si="13"/>
        <v>9.0269642751511174</v>
      </c>
    </row>
    <row r="31" spans="1:13">
      <c r="A31" s="846"/>
      <c r="B31" s="856">
        <f t="shared" si="14"/>
        <v>2.3674940406801421</v>
      </c>
      <c r="C31" s="856">
        <f t="shared" si="13"/>
        <v>0.17960746903939512</v>
      </c>
      <c r="D31" s="857">
        <f t="shared" si="13"/>
        <v>3.0287807120053372</v>
      </c>
      <c r="E31" s="856">
        <f t="shared" si="13"/>
        <v>0.17960322319387248</v>
      </c>
      <c r="F31" s="856">
        <f t="shared" si="13"/>
        <v>1.5079653935078026</v>
      </c>
      <c r="G31" s="860" t="e">
        <f t="shared" si="13"/>
        <v>#VALUE!</v>
      </c>
      <c r="H31" s="856">
        <f t="shared" si="13"/>
        <v>0.34521479313598941</v>
      </c>
      <c r="I31" s="856">
        <f t="shared" si="13"/>
        <v>0</v>
      </c>
      <c r="J31" s="860">
        <f t="shared" si="13"/>
        <v>0.42967604818534838</v>
      </c>
      <c r="K31" s="856">
        <f t="shared" si="13"/>
        <v>0.27583299116075211</v>
      </c>
      <c r="L31" s="856">
        <f t="shared" si="13"/>
        <v>0.61836726430231315</v>
      </c>
      <c r="M31" s="860">
        <f t="shared" si="13"/>
        <v>9.1493077470121396</v>
      </c>
    </row>
    <row r="32" spans="1:13">
      <c r="A32" s="846"/>
      <c r="B32" s="856">
        <f t="shared" si="14"/>
        <v>2.1044391472712372</v>
      </c>
      <c r="C32" s="856">
        <f t="shared" si="13"/>
        <v>0.16543801770585881</v>
      </c>
      <c r="D32" s="857">
        <f t="shared" si="13"/>
        <v>3.3041244130967313</v>
      </c>
      <c r="E32" s="856">
        <f t="shared" si="13"/>
        <v>0.18418048627473393</v>
      </c>
      <c r="F32" s="856">
        <f t="shared" si="13"/>
        <v>1.5172686150825747</v>
      </c>
      <c r="G32" s="860" t="e">
        <f t="shared" si="13"/>
        <v>#VALUE!</v>
      </c>
      <c r="H32" s="856">
        <f t="shared" si="13"/>
        <v>0.36402728470715462</v>
      </c>
      <c r="I32" s="856">
        <f t="shared" si="13"/>
        <v>0</v>
      </c>
      <c r="J32" s="860">
        <f t="shared" si="13"/>
        <v>0.45302468288337594</v>
      </c>
      <c r="K32" s="856">
        <f t="shared" si="13"/>
        <v>0.30024757646469319</v>
      </c>
      <c r="L32" s="856">
        <f t="shared" si="13"/>
        <v>0.64326419506860644</v>
      </c>
      <c r="M32" s="860">
        <f t="shared" si="13"/>
        <v>9.2716512188731617</v>
      </c>
    </row>
    <row r="33" spans="1:13">
      <c r="A33" s="846"/>
      <c r="B33" s="856">
        <f t="shared" si="14"/>
        <v>1.8413842538623322</v>
      </c>
      <c r="C33" s="856">
        <f t="shared" si="13"/>
        <v>0.1512685663723225</v>
      </c>
      <c r="D33" s="857">
        <f t="shared" si="13"/>
        <v>3.5794681141881255</v>
      </c>
      <c r="E33" s="856">
        <f t="shared" si="13"/>
        <v>0.18875774935559539</v>
      </c>
      <c r="F33" s="856">
        <f t="shared" si="13"/>
        <v>1.5265718366573469</v>
      </c>
      <c r="G33" s="860" t="e">
        <f t="shared" si="13"/>
        <v>#VALUE!</v>
      </c>
      <c r="H33" s="856">
        <f t="shared" si="13"/>
        <v>0.38283977627831983</v>
      </c>
      <c r="I33" s="856">
        <f t="shared" si="13"/>
        <v>0</v>
      </c>
      <c r="J33" s="860">
        <f t="shared" si="13"/>
        <v>0.4763733175814035</v>
      </c>
      <c r="K33" s="856">
        <f t="shared" si="13"/>
        <v>0.32466216176863427</v>
      </c>
      <c r="L33" s="856">
        <f t="shared" si="13"/>
        <v>0.66816112583489973</v>
      </c>
      <c r="M33" s="860">
        <f t="shared" si="13"/>
        <v>9.3939946907341838</v>
      </c>
    </row>
    <row r="34" spans="1:13">
      <c r="A34" s="846"/>
      <c r="B34" s="856">
        <f t="shared" si="14"/>
        <v>1.5783293604534272</v>
      </c>
      <c r="C34" s="856">
        <f t="shared" si="13"/>
        <v>0.13709911503878619</v>
      </c>
      <c r="D34" s="857">
        <f t="shared" si="13"/>
        <v>3.8548118152795197</v>
      </c>
      <c r="E34" s="856">
        <f t="shared" si="13"/>
        <v>0.19333501243645684</v>
      </c>
      <c r="F34" s="856">
        <f t="shared" si="13"/>
        <v>1.535875058232119</v>
      </c>
      <c r="G34" s="860" t="e">
        <f t="shared" si="13"/>
        <v>#VALUE!</v>
      </c>
      <c r="H34" s="856">
        <f t="shared" si="13"/>
        <v>0.40165226784948505</v>
      </c>
      <c r="I34" s="856">
        <f t="shared" si="13"/>
        <v>0</v>
      </c>
      <c r="J34" s="860">
        <f t="shared" si="13"/>
        <v>0.49972195227943106</v>
      </c>
      <c r="K34" s="856">
        <f t="shared" si="13"/>
        <v>0.34907674707257536</v>
      </c>
      <c r="L34" s="856">
        <f t="shared" si="13"/>
        <v>0.69305805660119302</v>
      </c>
      <c r="M34" s="860">
        <f t="shared" si="13"/>
        <v>9.5163381625952059</v>
      </c>
    </row>
    <row r="35" spans="1:13">
      <c r="A35" s="846"/>
      <c r="B35" s="856">
        <f t="shared" si="14"/>
        <v>1.3152744670445222</v>
      </c>
      <c r="C35" s="856">
        <f t="shared" si="13"/>
        <v>0.12292966370524989</v>
      </c>
      <c r="D35" s="857">
        <f t="shared" si="13"/>
        <v>4.1301555163709143</v>
      </c>
      <c r="E35" s="856">
        <f t="shared" si="13"/>
        <v>0.1979122755173183</v>
      </c>
      <c r="F35" s="856">
        <f t="shared" si="13"/>
        <v>1.5451782798068912</v>
      </c>
      <c r="G35" s="860" t="e">
        <f t="shared" si="13"/>
        <v>#VALUE!</v>
      </c>
      <c r="H35" s="856">
        <f t="shared" si="13"/>
        <v>0.42046475942065026</v>
      </c>
      <c r="I35" s="856">
        <f t="shared" si="13"/>
        <v>0</v>
      </c>
      <c r="J35" s="860">
        <f t="shared" si="13"/>
        <v>0.52307058697745867</v>
      </c>
      <c r="K35" s="856">
        <f t="shared" si="13"/>
        <v>0.37349133237651644</v>
      </c>
      <c r="L35" s="856">
        <f t="shared" si="13"/>
        <v>0.71795498736748631</v>
      </c>
      <c r="M35" s="860">
        <f t="shared" si="13"/>
        <v>9.6386816344562281</v>
      </c>
    </row>
    <row r="36" spans="1:13">
      <c r="A36" s="846"/>
      <c r="B36" s="856">
        <f t="shared" si="14"/>
        <v>1.0522195736356172</v>
      </c>
      <c r="C36" s="856">
        <f t="shared" si="13"/>
        <v>0.1087602123717136</v>
      </c>
      <c r="D36" s="857">
        <f t="shared" si="13"/>
        <v>4.4054992174623084</v>
      </c>
      <c r="E36" s="856">
        <f t="shared" si="13"/>
        <v>0.20248953859817975</v>
      </c>
      <c r="F36" s="856">
        <f t="shared" si="13"/>
        <v>1.5544815013816633</v>
      </c>
      <c r="G36" s="860" t="e">
        <f t="shared" si="13"/>
        <v>#VALUE!</v>
      </c>
      <c r="H36" s="856">
        <f t="shared" si="13"/>
        <v>0.43927725099181547</v>
      </c>
      <c r="I36" s="856">
        <f t="shared" si="13"/>
        <v>0</v>
      </c>
      <c r="J36" s="860">
        <f t="shared" si="13"/>
        <v>0.54641922167548629</v>
      </c>
      <c r="K36" s="856">
        <f t="shared" si="13"/>
        <v>0.39790591768045752</v>
      </c>
      <c r="L36" s="856">
        <f t="shared" si="13"/>
        <v>0.7428519181337796</v>
      </c>
      <c r="M36" s="860">
        <f t="shared" si="13"/>
        <v>9.7610251063172502</v>
      </c>
    </row>
    <row r="37" spans="1:13">
      <c r="A37" s="846"/>
      <c r="B37" s="856">
        <f t="shared" si="14"/>
        <v>0.78916468022671238</v>
      </c>
      <c r="C37" s="856">
        <f t="shared" ref="C37:K39" si="15">C36+((C$40-C$20)/($A$40-$A$20))</f>
        <v>9.4590761038177304E-2</v>
      </c>
      <c r="D37" s="857">
        <f t="shared" si="15"/>
        <v>4.6808429185537026</v>
      </c>
      <c r="E37" s="856">
        <f t="shared" si="15"/>
        <v>0.20706680167904121</v>
      </c>
      <c r="F37" s="856">
        <f t="shared" si="15"/>
        <v>1.5637847229564354</v>
      </c>
      <c r="G37" s="860" t="e">
        <f t="shared" si="15"/>
        <v>#VALUE!</v>
      </c>
      <c r="H37" s="856">
        <f t="shared" si="15"/>
        <v>0.45808974256298068</v>
      </c>
      <c r="I37" s="856">
        <f t="shared" si="15"/>
        <v>0</v>
      </c>
      <c r="J37" s="860">
        <f t="shared" si="15"/>
        <v>0.5697678563735139</v>
      </c>
      <c r="K37" s="856">
        <f t="shared" si="15"/>
        <v>0.4223205029843986</v>
      </c>
      <c r="L37" s="856">
        <f t="shared" ref="L37:M39" si="16">L36+((L$40-L$20)/($A$40-$A$20))</f>
        <v>0.76774884890007289</v>
      </c>
      <c r="M37" s="860">
        <f t="shared" si="16"/>
        <v>9.8833685781782723</v>
      </c>
    </row>
    <row r="38" spans="1:13">
      <c r="A38" s="846"/>
      <c r="B38" s="856">
        <f t="shared" si="14"/>
        <v>0.52610978681780751</v>
      </c>
      <c r="C38" s="856">
        <f t="shared" si="15"/>
        <v>8.0421309704641009E-2</v>
      </c>
      <c r="D38" s="857">
        <f t="shared" si="15"/>
        <v>4.9561866196450968</v>
      </c>
      <c r="E38" s="856">
        <f t="shared" si="15"/>
        <v>0.21164406475990266</v>
      </c>
      <c r="F38" s="856">
        <f t="shared" si="15"/>
        <v>1.5730879445312076</v>
      </c>
      <c r="G38" s="860" t="e">
        <f t="shared" si="15"/>
        <v>#VALUE!</v>
      </c>
      <c r="H38" s="856">
        <f t="shared" si="15"/>
        <v>0.4769022341341459</v>
      </c>
      <c r="I38" s="856">
        <f t="shared" si="15"/>
        <v>0</v>
      </c>
      <c r="J38" s="860">
        <f t="shared" si="15"/>
        <v>0.59311649107154152</v>
      </c>
      <c r="K38" s="856">
        <f t="shared" si="15"/>
        <v>0.44673508828833969</v>
      </c>
      <c r="L38" s="856">
        <f t="shared" si="16"/>
        <v>0.79264577966636618</v>
      </c>
      <c r="M38" s="860">
        <f t="shared" si="16"/>
        <v>10.005712050039294</v>
      </c>
    </row>
    <row r="39" spans="1:13">
      <c r="A39" s="846"/>
      <c r="B39" s="856">
        <f t="shared" si="14"/>
        <v>0.26305489340890265</v>
      </c>
      <c r="C39" s="856">
        <f t="shared" si="15"/>
        <v>6.6251858371104713E-2</v>
      </c>
      <c r="D39" s="857">
        <f t="shared" si="15"/>
        <v>5.2315303207364909</v>
      </c>
      <c r="E39" s="856">
        <f t="shared" si="15"/>
        <v>0.21622132784076412</v>
      </c>
      <c r="F39" s="856">
        <f t="shared" si="15"/>
        <v>1.5823911661059797</v>
      </c>
      <c r="G39" s="860" t="e">
        <f t="shared" si="15"/>
        <v>#VALUE!</v>
      </c>
      <c r="H39" s="856">
        <f t="shared" si="15"/>
        <v>0.49571472570531111</v>
      </c>
      <c r="I39" s="856">
        <f t="shared" si="15"/>
        <v>0</v>
      </c>
      <c r="J39" s="860">
        <f t="shared" si="15"/>
        <v>0.61646512576956913</v>
      </c>
      <c r="K39" s="856">
        <f t="shared" si="15"/>
        <v>0.47114967359228077</v>
      </c>
      <c r="L39" s="856">
        <f t="shared" si="16"/>
        <v>0.81754271043265947</v>
      </c>
      <c r="M39" s="860">
        <f t="shared" si="16"/>
        <v>10.128055521900317</v>
      </c>
    </row>
    <row r="40" spans="1:13">
      <c r="A40" s="846">
        <v>2050</v>
      </c>
      <c r="B40" s="855">
        <f>'Waterfall data'!Z21</f>
        <v>-2.9976021664879227E-15</v>
      </c>
      <c r="C40" s="855">
        <f>'Waterfall data'!AA21</f>
        <v>5.2082407037568494E-2</v>
      </c>
      <c r="D40" s="858">
        <f>'Waterfall data'!AC20</f>
        <v>5.5068740218278869</v>
      </c>
      <c r="E40" s="855">
        <f>'Waterfall data'!AC19</f>
        <v>0.22079859092162568</v>
      </c>
      <c r="F40" s="855">
        <f>'Waterfall data'!AC18</f>
        <v>1.591694387680751</v>
      </c>
      <c r="G40" s="862">
        <f>'Waterfall data'!AC17</f>
        <v>0.36101286893949514</v>
      </c>
      <c r="H40" s="855">
        <f>'Waterfall data'!AC16</f>
        <v>0.5145272172764761</v>
      </c>
      <c r="I40" s="855">
        <v>0</v>
      </c>
      <c r="J40" s="862">
        <f>'Waterfall data'!AC14</f>
        <v>0.63981376046759664</v>
      </c>
      <c r="K40" s="855">
        <f>'Waterfall data'!AC13</f>
        <v>0.49556425889622169</v>
      </c>
      <c r="L40" s="855">
        <f>'Waterfall data'!AC12</f>
        <v>0.84243964119895232</v>
      </c>
      <c r="M40" s="860">
        <f>M10+'Waterfall data'!AB11</f>
        <v>10.250398993761348</v>
      </c>
    </row>
  </sheetData>
  <pageMargins left="0.7" right="0.7" top="0.78740157499999996" bottom="0.78740157499999996"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C3BEC-383F-4892-9BC7-B4CBC9BD2A17}">
  <sheetPr>
    <tabColor theme="9" tint="0.39997558519241921"/>
  </sheetPr>
  <dimension ref="A9:O20"/>
  <sheetViews>
    <sheetView workbookViewId="0">
      <selection activeCell="D39" sqref="D39"/>
    </sheetView>
  </sheetViews>
  <sheetFormatPr baseColWidth="10" defaultColWidth="11" defaultRowHeight="12.75"/>
  <cols>
    <col min="1" max="1" width="14.125" style="852" bestFit="1" customWidth="1"/>
    <col min="2" max="2" width="16.625" style="852" bestFit="1" customWidth="1"/>
    <col min="3" max="3" width="17.625" style="852" bestFit="1" customWidth="1"/>
    <col min="4" max="4" width="11" style="852"/>
    <col min="5" max="5" width="13.875" style="852" bestFit="1" customWidth="1"/>
    <col min="6" max="6" width="23.625" style="852" bestFit="1" customWidth="1"/>
    <col min="7" max="7" width="11" style="852"/>
    <col min="8" max="8" width="28.125" style="852" bestFit="1" customWidth="1"/>
    <col min="9" max="9" width="9.875" style="852" bestFit="1" customWidth="1"/>
    <col min="10" max="10" width="14" style="852" bestFit="1" customWidth="1"/>
    <col min="11" max="12" width="17.375" style="852" bestFit="1" customWidth="1"/>
    <col min="13" max="13" width="13" style="852" bestFit="1" customWidth="1"/>
    <col min="14" max="16384" width="11" style="852"/>
  </cols>
  <sheetData>
    <row r="9" spans="1:15" ht="15.75">
      <c r="A9" s="116" t="s">
        <v>867</v>
      </c>
      <c r="B9" s="116" t="s">
        <v>865</v>
      </c>
      <c r="C9" s="116" t="s">
        <v>866</v>
      </c>
      <c r="D9" s="846" t="s">
        <v>142</v>
      </c>
      <c r="E9" s="116" t="s">
        <v>836</v>
      </c>
      <c r="F9" s="116" t="s">
        <v>12</v>
      </c>
      <c r="G9" s="859" t="s">
        <v>11</v>
      </c>
      <c r="H9" s="116" t="s">
        <v>834</v>
      </c>
      <c r="I9" s="116" t="s">
        <v>148</v>
      </c>
      <c r="J9" s="859" t="s">
        <v>870</v>
      </c>
      <c r="K9" s="116" t="s">
        <v>10</v>
      </c>
      <c r="L9" s="116" t="s">
        <v>9</v>
      </c>
      <c r="M9" s="859" t="s">
        <v>831</v>
      </c>
    </row>
    <row r="10" spans="1:15">
      <c r="A10" s="90">
        <v>2020</v>
      </c>
      <c r="B10" s="863">
        <f>'Stacked areas data'!B10</f>
        <v>4.9135975314749984</v>
      </c>
      <c r="C10" s="863">
        <f>'Stacked areas data'!C10</f>
        <v>0.42043473466135456</v>
      </c>
      <c r="D10" s="863">
        <f>'Stacked areas data'!D10</f>
        <v>0</v>
      </c>
      <c r="E10" s="863">
        <f>'Stacked areas data'!E10</f>
        <v>0</v>
      </c>
      <c r="F10" s="863">
        <f>'Stacked areas data'!F10</f>
        <v>1.2791283749999998</v>
      </c>
      <c r="G10" s="863">
        <f>'Stacked areas data'!G10</f>
        <v>0</v>
      </c>
      <c r="H10" s="863">
        <f>'Stacked areas data'!H10</f>
        <v>0</v>
      </c>
      <c r="I10" s="863">
        <f>'Stacked areas data'!I10</f>
        <v>0</v>
      </c>
      <c r="J10" s="863">
        <f>'Stacked areas data'!J10</f>
        <v>0</v>
      </c>
      <c r="K10" s="863">
        <f>'Stacked areas data'!K10</f>
        <v>0</v>
      </c>
      <c r="L10" s="863">
        <f>'Stacked areas data'!L10</f>
        <v>0</v>
      </c>
      <c r="M10" s="863">
        <f>'Stacked areas data'!M10</f>
        <v>6.6131606411363526</v>
      </c>
    </row>
    <row r="11" spans="1:15">
      <c r="A11" s="90">
        <v>2030</v>
      </c>
      <c r="B11" s="863">
        <f>'Stacked areas data'!B20</f>
        <v>5.2610978681780951</v>
      </c>
      <c r="C11" s="863">
        <f>'Stacked areas data'!C20</f>
        <v>0.33547143370829452</v>
      </c>
      <c r="D11" s="863">
        <f>'Stacked areas data'!D20</f>
        <v>0</v>
      </c>
      <c r="E11" s="863">
        <f>'Stacked areas data'!E20</f>
        <v>0.12925332930439648</v>
      </c>
      <c r="F11" s="863">
        <f>'Stacked areas data'!F20</f>
        <v>1.4056299561853089</v>
      </c>
      <c r="G11" s="863" t="str">
        <f>'Stacked areas data'!G20</f>
        <v/>
      </c>
      <c r="H11" s="863">
        <f>'Stacked areas data'!H20</f>
        <v>0.13827738585317206</v>
      </c>
      <c r="I11" s="863">
        <f>'Stacked areas data'!I20</f>
        <v>0</v>
      </c>
      <c r="J11" s="863">
        <f>'Stacked areas data'!J20</f>
        <v>0.17284106650704523</v>
      </c>
      <c r="K11" s="863">
        <f>'Stacked areas data'!K20</f>
        <v>7.2725528174002463E-3</v>
      </c>
      <c r="L11" s="863">
        <f>'Stacked areas data'!L20</f>
        <v>0.34450102587308695</v>
      </c>
      <c r="M11" s="863">
        <f>'Stacked areas data'!M20</f>
        <v>7.8035295565408953</v>
      </c>
    </row>
    <row r="12" spans="1:15">
      <c r="A12" s="90">
        <v>2050</v>
      </c>
      <c r="B12" s="863">
        <f>'Stacked areas data'!B40</f>
        <v>-2.9976021664879227E-15</v>
      </c>
      <c r="C12" s="863">
        <f>'Stacked areas data'!C40</f>
        <v>5.2082407037568494E-2</v>
      </c>
      <c r="D12" s="863">
        <f>'Stacked areas data'!D40</f>
        <v>5.5068740218278869</v>
      </c>
      <c r="E12" s="863">
        <f>'Stacked areas data'!E40</f>
        <v>0.22079859092162568</v>
      </c>
      <c r="F12" s="863">
        <f>'Stacked areas data'!F40</f>
        <v>1.591694387680751</v>
      </c>
      <c r="G12" s="863">
        <f>'Stacked areas data'!G40</f>
        <v>0.36101286893949514</v>
      </c>
      <c r="H12" s="863">
        <f>'Stacked areas data'!H40</f>
        <v>0.5145272172764761</v>
      </c>
      <c r="I12" s="863">
        <f>'Stacked areas data'!I40</f>
        <v>0</v>
      </c>
      <c r="J12" s="863">
        <f>'Stacked areas data'!J40</f>
        <v>0.63981376046759664</v>
      </c>
      <c r="K12" s="863">
        <f>'Stacked areas data'!K40</f>
        <v>0.49556425889622169</v>
      </c>
      <c r="L12" s="863">
        <f>'Stacked areas data'!L40</f>
        <v>0.84243964119895232</v>
      </c>
      <c r="M12" s="863">
        <f>'Stacked areas data'!M40</f>
        <v>10.250398993761348</v>
      </c>
      <c r="O12" s="864" t="s">
        <v>869</v>
      </c>
    </row>
    <row r="13" spans="1:15">
      <c r="A13" s="90" t="s">
        <v>868</v>
      </c>
      <c r="D13" s="866">
        <f>D12/$M$12</f>
        <v>0.53723508959792787</v>
      </c>
      <c r="E13" s="866">
        <f t="shared" ref="E13:L13" si="0">E12/$M$12</f>
        <v>2.1540487453806365E-2</v>
      </c>
      <c r="F13" s="866">
        <f t="shared" si="0"/>
        <v>0.15528121282395901</v>
      </c>
      <c r="G13" s="866">
        <f t="shared" si="0"/>
        <v>3.5219396743406448E-2</v>
      </c>
      <c r="H13" s="866">
        <f t="shared" si="0"/>
        <v>5.019582336157162E-2</v>
      </c>
      <c r="I13" s="866">
        <f t="shared" si="0"/>
        <v>0</v>
      </c>
      <c r="J13" s="866">
        <f t="shared" si="0"/>
        <v>6.2418424966384577E-2</v>
      </c>
      <c r="K13" s="866">
        <f t="shared" si="0"/>
        <v>4.8345850653992557E-2</v>
      </c>
      <c r="L13" s="866">
        <f t="shared" si="0"/>
        <v>8.2186034096007624E-2</v>
      </c>
      <c r="O13" s="865">
        <f>SUM(D13:L13)</f>
        <v>0.99242231969705608</v>
      </c>
    </row>
    <row r="16" spans="1:15" ht="15.75">
      <c r="A16" s="116" t="s">
        <v>867</v>
      </c>
      <c r="B16" s="116" t="s">
        <v>865</v>
      </c>
      <c r="C16" s="116" t="s">
        <v>866</v>
      </c>
      <c r="D16" s="846" t="s">
        <v>142</v>
      </c>
      <c r="E16" s="116" t="s">
        <v>12</v>
      </c>
      <c r="F16" s="859" t="s">
        <v>871</v>
      </c>
      <c r="G16" s="116" t="s">
        <v>834</v>
      </c>
      <c r="H16" s="859" t="s">
        <v>870</v>
      </c>
      <c r="I16" s="116" t="s">
        <v>10</v>
      </c>
      <c r="J16" s="116" t="s">
        <v>9</v>
      </c>
      <c r="K16" s="859" t="s">
        <v>831</v>
      </c>
    </row>
    <row r="17" spans="1:11">
      <c r="A17" s="90">
        <v>2020</v>
      </c>
      <c r="B17" s="867">
        <f>B10</f>
        <v>4.9135975314749984</v>
      </c>
      <c r="C17" s="867">
        <f>C10</f>
        <v>0.42043473466135456</v>
      </c>
      <c r="D17" s="867">
        <f>D10</f>
        <v>0</v>
      </c>
      <c r="E17" s="867">
        <f>F10</f>
        <v>1.2791283749999998</v>
      </c>
      <c r="F17" s="867">
        <f>E10+G10</f>
        <v>0</v>
      </c>
      <c r="G17" s="867">
        <f>H10</f>
        <v>0</v>
      </c>
      <c r="H17" s="867">
        <f>I10+J10</f>
        <v>0</v>
      </c>
      <c r="I17" s="867">
        <f t="shared" ref="I17:K19" si="1">K10</f>
        <v>0</v>
      </c>
      <c r="J17" s="867">
        <f t="shared" si="1"/>
        <v>0</v>
      </c>
      <c r="K17" s="867">
        <f t="shared" si="1"/>
        <v>6.6131606411363526</v>
      </c>
    </row>
    <row r="18" spans="1:11">
      <c r="A18" s="90">
        <v>2030</v>
      </c>
      <c r="B18" s="867">
        <f t="shared" ref="B18:D19" si="2">B11</f>
        <v>5.2610978681780951</v>
      </c>
      <c r="C18" s="867">
        <f t="shared" si="2"/>
        <v>0.33547143370829452</v>
      </c>
      <c r="D18" s="867">
        <f t="shared" si="2"/>
        <v>0</v>
      </c>
      <c r="E18" s="867">
        <f>F11</f>
        <v>1.4056299561853089</v>
      </c>
      <c r="F18" s="867" t="e">
        <f>E11+G11</f>
        <v>#VALUE!</v>
      </c>
      <c r="G18" s="867">
        <f>H11</f>
        <v>0.13827738585317206</v>
      </c>
      <c r="H18" s="867">
        <f>I11+J11</f>
        <v>0.17284106650704523</v>
      </c>
      <c r="I18" s="867">
        <f t="shared" si="1"/>
        <v>7.2725528174002463E-3</v>
      </c>
      <c r="J18" s="867">
        <f t="shared" si="1"/>
        <v>0.34450102587308695</v>
      </c>
      <c r="K18" s="867">
        <f t="shared" si="1"/>
        <v>7.8035295565408953</v>
      </c>
    </row>
    <row r="19" spans="1:11">
      <c r="A19" s="90">
        <v>2050</v>
      </c>
      <c r="B19" s="867">
        <f t="shared" si="2"/>
        <v>-2.9976021664879227E-15</v>
      </c>
      <c r="C19" s="867">
        <f t="shared" si="2"/>
        <v>5.2082407037568494E-2</v>
      </c>
      <c r="D19" s="867">
        <f>D12</f>
        <v>5.5068740218278869</v>
      </c>
      <c r="E19" s="867">
        <f>F12</f>
        <v>1.591694387680751</v>
      </c>
      <c r="F19" s="867">
        <f>E12+G12</f>
        <v>0.58181145986112082</v>
      </c>
      <c r="G19" s="867">
        <f>H12</f>
        <v>0.5145272172764761</v>
      </c>
      <c r="H19" s="867">
        <f>I12+J12</f>
        <v>0.63981376046759664</v>
      </c>
      <c r="I19" s="867">
        <f t="shared" si="1"/>
        <v>0.49556425889622169</v>
      </c>
      <c r="J19" s="867">
        <f t="shared" si="1"/>
        <v>0.84243964119895232</v>
      </c>
      <c r="K19" s="867">
        <f t="shared" si="1"/>
        <v>10.250398993761348</v>
      </c>
    </row>
    <row r="20" spans="1:11">
      <c r="A20" s="90" t="s">
        <v>868</v>
      </c>
      <c r="D20" s="866">
        <f>D19/$K$19</f>
        <v>0.53723508959792787</v>
      </c>
      <c r="E20" s="866">
        <f t="shared" ref="E20:J20" si="3">E19/$K$19</f>
        <v>0.15528121282395901</v>
      </c>
      <c r="F20" s="866">
        <f t="shared" si="3"/>
        <v>5.6759884197212812E-2</v>
      </c>
      <c r="G20" s="866">
        <f t="shared" si="3"/>
        <v>5.019582336157162E-2</v>
      </c>
      <c r="H20" s="866">
        <f t="shared" si="3"/>
        <v>6.2418424966384577E-2</v>
      </c>
      <c r="I20" s="866">
        <f t="shared" si="3"/>
        <v>4.8345850653992557E-2</v>
      </c>
      <c r="J20" s="866">
        <f t="shared" si="3"/>
        <v>8.2186034096007624E-2</v>
      </c>
    </row>
  </sheetData>
  <pageMargins left="0.7" right="0.7" top="0.78740157499999996" bottom="0.78740157499999996"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U93"/>
  <sheetViews>
    <sheetView topLeftCell="A36" zoomScale="90" zoomScaleNormal="90" workbookViewId="0"/>
  </sheetViews>
  <sheetFormatPr baseColWidth="10" defaultColWidth="9" defaultRowHeight="14.25"/>
  <cols>
    <col min="1" max="1" width="2.625" customWidth="1"/>
    <col min="2" max="2" width="12.375" customWidth="1"/>
    <col min="3" max="3" width="9.625" customWidth="1"/>
    <col min="6" max="6" width="8.875" customWidth="1"/>
    <col min="7" max="7" width="11" customWidth="1"/>
    <col min="8" max="8" width="9.625" customWidth="1"/>
    <col min="9" max="9" width="9.125" customWidth="1"/>
    <col min="10" max="10" width="18.125" customWidth="1"/>
    <col min="12" max="12" width="14.625" customWidth="1"/>
    <col min="13" max="13" width="9.625" customWidth="1"/>
  </cols>
  <sheetData>
    <row r="1" spans="2:8" ht="15">
      <c r="B1" s="649" t="s">
        <v>795</v>
      </c>
      <c r="C1" s="650"/>
      <c r="E1" s="650"/>
      <c r="G1" s="650"/>
      <c r="H1" s="650"/>
    </row>
    <row r="2" spans="2:8">
      <c r="C2" s="650"/>
      <c r="E2" s="650"/>
      <c r="G2" s="650"/>
      <c r="H2" s="650"/>
    </row>
    <row r="3" spans="2:8" ht="15" customHeight="1">
      <c r="B3" t="s">
        <v>796</v>
      </c>
      <c r="C3" s="650"/>
      <c r="E3" s="650"/>
      <c r="G3" s="650"/>
      <c r="H3" s="650"/>
    </row>
    <row r="4" spans="2:8">
      <c r="B4" t="s">
        <v>797</v>
      </c>
    </row>
    <row r="6" spans="2:8" ht="14.25" customHeight="1" thickBot="1">
      <c r="B6" t="s">
        <v>798</v>
      </c>
    </row>
    <row r="7" spans="2:8" ht="33" customHeight="1">
      <c r="B7" s="1553"/>
      <c r="C7" s="651">
        <v>2020</v>
      </c>
      <c r="D7" s="652">
        <v>2030</v>
      </c>
      <c r="E7" s="653">
        <v>2050</v>
      </c>
    </row>
    <row r="8" spans="2:8" ht="15.75" thickBot="1">
      <c r="B8" s="1554"/>
      <c r="C8" s="642" t="s">
        <v>799</v>
      </c>
      <c r="D8" s="643" t="s">
        <v>799</v>
      </c>
      <c r="E8" s="644" t="s">
        <v>799</v>
      </c>
    </row>
    <row r="9" spans="2:8">
      <c r="B9" s="654" t="s">
        <v>576</v>
      </c>
      <c r="C9" s="655">
        <v>2300</v>
      </c>
      <c r="D9" s="656">
        <f>1970+5.2/100*1970</f>
        <v>2072.44</v>
      </c>
      <c r="E9" s="657">
        <f>1200*15.6/100+1200</f>
        <v>1387.2</v>
      </c>
    </row>
    <row r="10" spans="2:8" ht="15" customHeight="1">
      <c r="B10" s="654" t="s">
        <v>575</v>
      </c>
      <c r="C10" s="658">
        <v>290</v>
      </c>
      <c r="D10" s="659">
        <f>560+5.2/100*560</f>
        <v>589.12</v>
      </c>
      <c r="E10" s="660">
        <f>860*15.6/100+860</f>
        <v>994.16</v>
      </c>
    </row>
    <row r="11" spans="2:8" ht="15" customHeight="1">
      <c r="B11" s="654" t="s">
        <v>574</v>
      </c>
      <c r="C11" s="658">
        <v>80</v>
      </c>
      <c r="D11" s="659">
        <f>90+90*5.2/100</f>
        <v>94.68</v>
      </c>
      <c r="E11" s="660">
        <f>100+15.6</f>
        <v>115.6</v>
      </c>
    </row>
    <row r="12" spans="2:8">
      <c r="B12" s="654" t="s">
        <v>573</v>
      </c>
      <c r="C12" s="658">
        <v>170</v>
      </c>
      <c r="D12" s="659">
        <f>171+171*5.2/100</f>
        <v>179.892</v>
      </c>
      <c r="E12" s="660">
        <f>160*15.6/100+160</f>
        <v>184.96</v>
      </c>
    </row>
    <row r="13" spans="2:8">
      <c r="B13" s="654" t="s">
        <v>19</v>
      </c>
      <c r="C13" s="658">
        <v>175</v>
      </c>
      <c r="D13" s="659">
        <f>174+174*5.2/100</f>
        <v>183.048</v>
      </c>
      <c r="E13" s="660">
        <f>170*15.6/100+170</f>
        <v>196.52</v>
      </c>
    </row>
    <row r="14" spans="2:8">
      <c r="B14" s="654" t="s">
        <v>800</v>
      </c>
      <c r="C14" s="661">
        <v>70</v>
      </c>
      <c r="D14" s="659">
        <v>87</v>
      </c>
      <c r="E14" s="660">
        <v>84</v>
      </c>
    </row>
    <row r="15" spans="2:8">
      <c r="B15" s="654" t="s">
        <v>801</v>
      </c>
      <c r="C15" s="661">
        <v>466</v>
      </c>
      <c r="D15" s="659">
        <v>594</v>
      </c>
      <c r="E15" s="660">
        <v>740</v>
      </c>
    </row>
    <row r="16" spans="2:8">
      <c r="B16" s="654" t="s">
        <v>802</v>
      </c>
      <c r="C16" s="661">
        <v>320</v>
      </c>
      <c r="D16" s="659">
        <v>522</v>
      </c>
      <c r="E16" s="660">
        <v>923</v>
      </c>
    </row>
    <row r="17" spans="2:21" ht="28.5">
      <c r="B17" s="654" t="s">
        <v>803</v>
      </c>
      <c r="C17" s="661">
        <v>175</v>
      </c>
      <c r="D17" s="659">
        <v>185</v>
      </c>
      <c r="E17" s="660">
        <v>185</v>
      </c>
    </row>
    <row r="18" spans="2:21" ht="15" thickBot="1">
      <c r="B18" s="662" t="s">
        <v>804</v>
      </c>
      <c r="C18" s="663">
        <v>4100</v>
      </c>
      <c r="D18" s="664">
        <v>5000</v>
      </c>
      <c r="E18" s="665">
        <v>5000</v>
      </c>
    </row>
    <row r="19" spans="2:21" ht="14.25" customHeight="1">
      <c r="B19" s="1555" t="s">
        <v>805</v>
      </c>
      <c r="C19" s="1556"/>
      <c r="D19" s="1556"/>
      <c r="E19" s="1556"/>
      <c r="F19" s="1556"/>
    </row>
    <row r="20" spans="2:21">
      <c r="B20" s="666"/>
      <c r="C20" s="666"/>
      <c r="D20" s="666"/>
      <c r="E20" s="666"/>
      <c r="F20" s="666"/>
    </row>
    <row r="21" spans="2:21" ht="14.25" customHeight="1">
      <c r="B21" s="1552" t="s">
        <v>806</v>
      </c>
      <c r="C21" s="1552"/>
      <c r="D21" s="1552"/>
      <c r="E21" s="1552"/>
      <c r="F21" s="1552"/>
      <c r="G21" s="1552"/>
      <c r="H21" s="1552"/>
      <c r="I21" s="1552"/>
      <c r="J21" s="1552"/>
      <c r="K21" s="666"/>
      <c r="L21" s="666"/>
      <c r="M21" s="666"/>
    </row>
    <row r="22" spans="2:21">
      <c r="B22" s="1552"/>
      <c r="C22" s="1552"/>
      <c r="D22" s="1552"/>
      <c r="E22" s="1552"/>
      <c r="F22" s="1552"/>
      <c r="G22" s="1552"/>
      <c r="H22" s="1552"/>
      <c r="I22" s="1552"/>
      <c r="J22" s="1552"/>
      <c r="K22" s="666"/>
      <c r="L22" s="666"/>
      <c r="M22" s="666"/>
    </row>
    <row r="23" spans="2:21" ht="15" customHeight="1">
      <c r="B23" s="1552"/>
      <c r="C23" s="1552"/>
      <c r="D23" s="1552"/>
      <c r="E23" s="1552"/>
      <c r="F23" s="1552"/>
      <c r="G23" s="1552"/>
      <c r="H23" s="1552"/>
      <c r="I23" s="1552"/>
      <c r="J23" s="1552"/>
      <c r="K23" s="666"/>
      <c r="L23" s="666"/>
      <c r="M23" s="666"/>
    </row>
    <row r="24" spans="2:21">
      <c r="B24" s="667"/>
      <c r="C24" s="667"/>
      <c r="D24" s="667"/>
      <c r="E24" s="667"/>
      <c r="F24" s="667"/>
      <c r="G24" s="667"/>
      <c r="H24" s="667"/>
      <c r="I24" s="667"/>
      <c r="J24" s="667"/>
      <c r="K24" s="666"/>
      <c r="L24" s="666"/>
      <c r="M24" s="666"/>
    </row>
    <row r="25" spans="2:21" ht="15" customHeight="1">
      <c r="B25" s="1552" t="s">
        <v>807</v>
      </c>
      <c r="C25" s="1552"/>
      <c r="D25" s="1552"/>
      <c r="E25" s="1552"/>
      <c r="F25" s="1552"/>
      <c r="G25" s="1552"/>
      <c r="H25" s="1552"/>
      <c r="I25" s="1552"/>
      <c r="J25" s="1552"/>
      <c r="K25" s="1552"/>
      <c r="L25" s="1552"/>
      <c r="M25" s="666"/>
    </row>
    <row r="26" spans="2:21">
      <c r="B26" s="1552"/>
      <c r="C26" s="1552"/>
      <c r="D26" s="1552"/>
      <c r="E26" s="1552"/>
      <c r="F26" s="1552"/>
      <c r="G26" s="1552"/>
      <c r="H26" s="1552"/>
      <c r="I26" s="1552"/>
      <c r="J26" s="1552"/>
      <c r="K26" s="1552"/>
      <c r="L26" s="1552"/>
      <c r="M26" s="666"/>
    </row>
    <row r="27" spans="2:21" ht="15" customHeight="1">
      <c r="B27" s="1552"/>
      <c r="C27" s="1552"/>
      <c r="D27" s="1552"/>
      <c r="E27" s="1552"/>
      <c r="F27" s="1552"/>
      <c r="G27" s="1552"/>
      <c r="H27" s="1552"/>
      <c r="I27" s="1552"/>
      <c r="J27" s="1552"/>
      <c r="K27" s="1552"/>
      <c r="L27" s="1552"/>
      <c r="M27" s="666"/>
    </row>
    <row r="28" spans="2:21">
      <c r="B28" s="1552"/>
      <c r="C28" s="1552"/>
      <c r="D28" s="1552"/>
      <c r="E28" s="1552"/>
      <c r="F28" s="1552"/>
      <c r="G28" s="1552"/>
      <c r="H28" s="1552"/>
      <c r="I28" s="1552"/>
      <c r="J28" s="1552"/>
      <c r="K28" s="1552"/>
      <c r="L28" s="1552"/>
      <c r="M28" s="666"/>
    </row>
    <row r="29" spans="2:21">
      <c r="B29" s="1552"/>
      <c r="C29" s="1552"/>
      <c r="D29" s="1552"/>
      <c r="E29" s="1552"/>
      <c r="F29" s="1552"/>
      <c r="G29" s="1552"/>
      <c r="H29" s="1552"/>
      <c r="I29" s="1552"/>
      <c r="J29" s="1552"/>
      <c r="K29" s="1552"/>
      <c r="L29" s="1552"/>
      <c r="M29" s="666"/>
    </row>
    <row r="30" spans="2:21">
      <c r="B30" s="1552"/>
      <c r="C30" s="1552"/>
      <c r="D30" s="1552"/>
      <c r="E30" s="1552"/>
      <c r="F30" s="1552"/>
      <c r="G30" s="1552"/>
      <c r="H30" s="1552"/>
      <c r="I30" s="1552"/>
      <c r="J30" s="1552"/>
      <c r="K30" s="1552"/>
      <c r="L30" s="1552"/>
      <c r="M30" s="666"/>
    </row>
    <row r="32" spans="2:21">
      <c r="B32" s="668" t="s">
        <v>808</v>
      </c>
      <c r="P32" s="669"/>
      <c r="Q32" s="669"/>
      <c r="R32" s="669"/>
      <c r="S32" s="669"/>
      <c r="T32" s="669"/>
      <c r="U32" s="669"/>
    </row>
    <row r="33" spans="2:21">
      <c r="B33" s="1552" t="s">
        <v>462</v>
      </c>
      <c r="C33" s="1552"/>
      <c r="D33" s="1552"/>
      <c r="E33" s="1552"/>
      <c r="F33" s="1552"/>
      <c r="G33" s="1552"/>
      <c r="H33" s="1552"/>
      <c r="I33" s="1552"/>
      <c r="J33" s="1552"/>
      <c r="K33" s="1552"/>
      <c r="L33" s="1552"/>
      <c r="M33" s="1552"/>
    </row>
    <row r="34" spans="2:21">
      <c r="B34" s="670" t="s">
        <v>463</v>
      </c>
      <c r="C34" s="650"/>
      <c r="E34" s="650"/>
      <c r="G34" s="650"/>
      <c r="H34" s="650"/>
      <c r="O34" s="671" t="s">
        <v>66</v>
      </c>
    </row>
    <row r="35" spans="2:21" ht="14.25" customHeight="1" thickBot="1">
      <c r="C35" s="650"/>
      <c r="E35" s="650"/>
      <c r="G35" s="650"/>
      <c r="H35" s="650"/>
      <c r="O35" t="s">
        <v>67</v>
      </c>
    </row>
    <row r="36" spans="2:21" ht="15" thickBot="1">
      <c r="B36" s="1553"/>
      <c r="C36" s="1557">
        <v>2020</v>
      </c>
      <c r="D36" s="1558"/>
      <c r="E36" s="1557">
        <v>2030</v>
      </c>
      <c r="F36" s="1559"/>
      <c r="G36" s="1560">
        <v>2050</v>
      </c>
      <c r="H36" s="1559"/>
      <c r="O36" s="669"/>
      <c r="P36" s="669"/>
      <c r="Q36" s="669"/>
      <c r="R36" s="669"/>
      <c r="S36" s="669"/>
      <c r="T36" s="669"/>
      <c r="U36" s="669"/>
    </row>
    <row r="37" spans="2:21" ht="30.75" thickBot="1">
      <c r="B37" s="1554"/>
      <c r="C37" s="645" t="s">
        <v>59</v>
      </c>
      <c r="D37" s="646" t="s">
        <v>809</v>
      </c>
      <c r="E37" s="647" t="s">
        <v>59</v>
      </c>
      <c r="F37" s="646" t="s">
        <v>809</v>
      </c>
      <c r="G37" s="647" t="s">
        <v>59</v>
      </c>
      <c r="H37" s="648" t="s">
        <v>809</v>
      </c>
      <c r="J37" s="672" t="s">
        <v>59</v>
      </c>
      <c r="K37" s="673">
        <v>2020</v>
      </c>
      <c r="L37" s="674">
        <v>2050</v>
      </c>
      <c r="M37" s="675">
        <v>2070</v>
      </c>
      <c r="O37" s="676" t="s">
        <v>68</v>
      </c>
      <c r="P37" s="677" t="s">
        <v>69</v>
      </c>
      <c r="Q37" s="678" t="s">
        <v>70</v>
      </c>
      <c r="R37" s="678" t="s">
        <v>71</v>
      </c>
      <c r="S37" s="678" t="s">
        <v>72</v>
      </c>
      <c r="T37" s="679" t="s">
        <v>73</v>
      </c>
    </row>
    <row r="38" spans="2:21">
      <c r="B38" s="654" t="s">
        <v>810</v>
      </c>
      <c r="C38" s="661">
        <f>D38/D42*C42</f>
        <v>69.830508474576277</v>
      </c>
      <c r="D38" s="680">
        <v>60</v>
      </c>
      <c r="E38" s="661">
        <f>F38/F42*E42</f>
        <v>87.451349141455438</v>
      </c>
      <c r="F38" s="680">
        <v>77</v>
      </c>
      <c r="G38" s="661">
        <f>H38/H42*G42</f>
        <v>83.625984251968504</v>
      </c>
      <c r="H38" s="660">
        <v>77</v>
      </c>
      <c r="J38" s="681" t="s">
        <v>60</v>
      </c>
      <c r="K38" s="682"/>
      <c r="L38" s="683"/>
      <c r="M38" s="684">
        <v>0.35</v>
      </c>
      <c r="O38" s="685">
        <v>2020</v>
      </c>
      <c r="P38" s="686">
        <v>747</v>
      </c>
      <c r="Q38" s="687">
        <v>1.3</v>
      </c>
      <c r="R38" s="687">
        <v>1</v>
      </c>
      <c r="S38" s="687">
        <v>4.5999999999999996</v>
      </c>
      <c r="T38" s="688">
        <v>43</v>
      </c>
    </row>
    <row r="39" spans="2:21" ht="28.5">
      <c r="B39" s="654" t="s">
        <v>811</v>
      </c>
      <c r="C39" s="661">
        <f>D39/D42*C42</f>
        <v>465.53672316384183</v>
      </c>
      <c r="D39" s="680">
        <v>400</v>
      </c>
      <c r="E39" s="658">
        <f>F39/F42*E42</f>
        <v>593.98773507767783</v>
      </c>
      <c r="F39" s="680">
        <v>523</v>
      </c>
      <c r="G39" s="658">
        <f>H39/H42*G42</f>
        <v>739.60123734533181</v>
      </c>
      <c r="H39" s="660">
        <v>681</v>
      </c>
      <c r="J39" s="689" t="s">
        <v>61</v>
      </c>
      <c r="K39" s="690" t="s">
        <v>62</v>
      </c>
      <c r="L39" s="691"/>
      <c r="M39" s="692" t="s">
        <v>63</v>
      </c>
      <c r="O39" s="693">
        <v>2050</v>
      </c>
      <c r="P39" s="694">
        <v>729</v>
      </c>
      <c r="Q39" s="695">
        <v>2.6</v>
      </c>
      <c r="R39" s="695">
        <v>1.2</v>
      </c>
      <c r="S39" s="695">
        <v>5.3</v>
      </c>
      <c r="T39" s="696">
        <v>63</v>
      </c>
    </row>
    <row r="40" spans="2:21" ht="15" thickBot="1">
      <c r="B40" s="654" t="s">
        <v>812</v>
      </c>
      <c r="C40" s="661">
        <f>D40/D42*C42</f>
        <v>320.05649717514126</v>
      </c>
      <c r="D40" s="680">
        <v>275</v>
      </c>
      <c r="E40" s="658">
        <f>F40/F42*E42</f>
        <v>522.43663123466888</v>
      </c>
      <c r="F40" s="680">
        <v>460</v>
      </c>
      <c r="G40" s="658">
        <f>H40/H42*G42</f>
        <v>923.14398200224969</v>
      </c>
      <c r="H40" s="660">
        <v>850</v>
      </c>
      <c r="O40" s="697" t="s">
        <v>74</v>
      </c>
      <c r="P40" s="698">
        <v>-0.02</v>
      </c>
      <c r="Q40" s="699">
        <v>0.91</v>
      </c>
      <c r="R40" s="699">
        <v>0.17</v>
      </c>
      <c r="S40" s="699">
        <v>0.15</v>
      </c>
      <c r="T40" s="700">
        <v>0.47</v>
      </c>
    </row>
    <row r="41" spans="2:21" ht="28.5">
      <c r="B41" s="654" t="s">
        <v>813</v>
      </c>
      <c r="C41" s="661">
        <f>D41/D42*C42</f>
        <v>174.57627118644066</v>
      </c>
      <c r="D41" s="680">
        <v>150</v>
      </c>
      <c r="E41" s="658">
        <f>F41/F42*E42</f>
        <v>185.12428454619788</v>
      </c>
      <c r="F41" s="680">
        <v>163</v>
      </c>
      <c r="G41" s="658">
        <f>H41/H42*G42</f>
        <v>184.62879640044994</v>
      </c>
      <c r="H41" s="660">
        <v>170</v>
      </c>
    </row>
    <row r="42" spans="2:21" ht="15" thickBot="1">
      <c r="B42" s="662" t="s">
        <v>814</v>
      </c>
      <c r="C42" s="701">
        <v>1030</v>
      </c>
      <c r="D42" s="702">
        <f>SUM(D41,D40,D39,D38)</f>
        <v>885</v>
      </c>
      <c r="E42" s="701">
        <v>1389</v>
      </c>
      <c r="F42" s="703">
        <f>SUM(F38,F39,F40,F41)</f>
        <v>1223</v>
      </c>
      <c r="G42" s="704">
        <v>1931</v>
      </c>
      <c r="H42" s="705">
        <f>SUM(H41,H40,H38:H39)</f>
        <v>1778</v>
      </c>
      <c r="O42" s="669" t="s">
        <v>64</v>
      </c>
    </row>
    <row r="43" spans="2:21">
      <c r="B43" s="668"/>
      <c r="C43" s="706"/>
      <c r="D43" s="666"/>
      <c r="E43" s="706"/>
      <c r="F43" s="666"/>
      <c r="G43" s="706"/>
      <c r="H43" s="706"/>
      <c r="O43" t="s">
        <v>65</v>
      </c>
    </row>
    <row r="44" spans="2:21">
      <c r="C44" s="650"/>
      <c r="E44" s="650"/>
      <c r="G44" s="650"/>
      <c r="H44" s="650"/>
    </row>
    <row r="45" spans="2:21">
      <c r="B45" s="1551" t="s">
        <v>819</v>
      </c>
      <c r="C45" s="1551"/>
      <c r="D45" s="1551"/>
      <c r="E45" s="1551"/>
      <c r="F45" s="1551"/>
      <c r="G45" s="1551"/>
      <c r="H45" s="1551"/>
      <c r="I45" s="1551"/>
      <c r="J45" s="1551"/>
      <c r="K45" s="1551"/>
    </row>
    <row r="46" spans="2:21">
      <c r="B46" s="1551"/>
      <c r="C46" s="1551"/>
      <c r="D46" s="1551"/>
      <c r="E46" s="1551"/>
      <c r="F46" s="1551"/>
      <c r="G46" s="1551"/>
      <c r="H46" s="1551"/>
      <c r="I46" s="1551"/>
      <c r="J46" s="1551"/>
      <c r="K46" s="1551"/>
    </row>
    <row r="47" spans="2:21" ht="14.25" customHeight="1">
      <c r="B47" s="1551"/>
      <c r="C47" s="1551"/>
      <c r="D47" s="1551"/>
      <c r="E47" s="1551"/>
      <c r="F47" s="1551"/>
      <c r="G47" s="1551"/>
      <c r="H47" s="1551"/>
      <c r="I47" s="1551"/>
      <c r="J47" s="1551"/>
      <c r="K47" s="1551"/>
    </row>
    <row r="48" spans="2:21" ht="14.25" customHeight="1">
      <c r="B48" s="1551"/>
      <c r="C48" s="1551"/>
      <c r="D48" s="1551"/>
      <c r="E48" s="1551"/>
      <c r="F48" s="1551"/>
      <c r="G48" s="1551"/>
      <c r="H48" s="1551"/>
      <c r="I48" s="1551"/>
      <c r="J48" s="1551"/>
      <c r="K48" s="1551"/>
    </row>
    <row r="49" spans="2:13" ht="14.25" customHeight="1">
      <c r="B49" s="1551"/>
      <c r="C49" s="1551"/>
      <c r="D49" s="1551"/>
      <c r="E49" s="1551"/>
      <c r="F49" s="1551"/>
      <c r="G49" s="1551"/>
      <c r="H49" s="1551"/>
      <c r="I49" s="1551"/>
      <c r="J49" s="1551"/>
      <c r="K49" s="1551"/>
    </row>
    <row r="50" spans="2:13" ht="14.25" customHeight="1">
      <c r="B50" s="1551"/>
      <c r="C50" s="1551"/>
      <c r="D50" s="1551"/>
      <c r="E50" s="1551"/>
      <c r="F50" s="1551"/>
      <c r="G50" s="1551"/>
      <c r="H50" s="1551"/>
      <c r="I50" s="1551"/>
      <c r="J50" s="1551"/>
      <c r="K50" s="1551"/>
    </row>
    <row r="51" spans="2:13" ht="14.25" customHeight="1">
      <c r="B51" s="1551"/>
      <c r="C51" s="1551"/>
      <c r="D51" s="1551"/>
      <c r="E51" s="1551"/>
      <c r="F51" s="1551"/>
      <c r="G51" s="1551"/>
      <c r="H51" s="1551"/>
      <c r="I51" s="1551"/>
      <c r="J51" s="1551"/>
      <c r="K51" s="1551"/>
      <c r="L51" s="707"/>
      <c r="M51" s="707"/>
    </row>
    <row r="52" spans="2:13" ht="14.25" customHeight="1">
      <c r="B52" s="707"/>
      <c r="C52" s="707"/>
      <c r="D52" s="707"/>
      <c r="E52" s="707"/>
      <c r="F52" s="707"/>
      <c r="G52" s="707"/>
      <c r="H52" s="707"/>
      <c r="I52" s="707"/>
      <c r="J52" s="707"/>
      <c r="K52" s="707"/>
      <c r="L52" s="707"/>
      <c r="M52" s="707"/>
    </row>
    <row r="53" spans="2:13">
      <c r="B53" s="708" t="s">
        <v>815</v>
      </c>
      <c r="C53" s="650"/>
      <c r="E53" s="650"/>
      <c r="G53" s="650"/>
      <c r="H53" s="650"/>
      <c r="I53" s="707"/>
      <c r="J53" s="707"/>
      <c r="K53" s="707"/>
      <c r="L53" s="707"/>
      <c r="M53" s="707"/>
    </row>
    <row r="54" spans="2:13">
      <c r="B54" s="708" t="s">
        <v>816</v>
      </c>
      <c r="C54" s="709"/>
      <c r="D54" s="709"/>
      <c r="E54" s="709"/>
      <c r="F54" s="709"/>
      <c r="G54" s="709"/>
      <c r="H54" s="709"/>
      <c r="I54" s="707"/>
      <c r="J54" s="707"/>
      <c r="K54" s="707"/>
      <c r="L54" s="707"/>
      <c r="M54" s="707"/>
    </row>
    <row r="55" spans="2:13">
      <c r="B55" s="708"/>
      <c r="C55" s="650"/>
      <c r="E55" s="650"/>
      <c r="G55" s="650"/>
      <c r="H55" s="650"/>
      <c r="I55" s="707"/>
      <c r="J55" s="707"/>
      <c r="K55" s="707"/>
      <c r="L55" s="707"/>
      <c r="M55" s="707"/>
    </row>
    <row r="56" spans="2:13">
      <c r="C56" s="650"/>
      <c r="E56" s="650"/>
      <c r="G56" s="650"/>
      <c r="H56" s="650"/>
    </row>
    <row r="57" spans="2:13">
      <c r="C57" s="650"/>
      <c r="E57" s="650"/>
      <c r="G57" s="650"/>
      <c r="H57" s="650"/>
    </row>
    <row r="58" spans="2:13">
      <c r="C58" s="650"/>
      <c r="E58" s="650"/>
      <c r="G58" s="650"/>
      <c r="H58" s="650"/>
    </row>
    <row r="59" spans="2:13">
      <c r="C59" s="650"/>
      <c r="E59" s="650"/>
      <c r="G59" s="650"/>
      <c r="H59" s="650"/>
      <c r="I59" s="709"/>
      <c r="J59" s="709"/>
      <c r="K59" s="709"/>
      <c r="L59" s="709"/>
      <c r="M59" s="709"/>
    </row>
    <row r="60" spans="2:13">
      <c r="C60" s="650"/>
      <c r="E60" s="650"/>
      <c r="G60" s="650"/>
      <c r="H60" s="650"/>
    </row>
    <row r="61" spans="2:13">
      <c r="C61" s="650"/>
      <c r="E61" s="650"/>
      <c r="G61" s="650"/>
      <c r="H61" s="650"/>
    </row>
    <row r="62" spans="2:13">
      <c r="C62" s="650"/>
      <c r="E62" s="650"/>
      <c r="G62" s="650"/>
      <c r="H62" s="650"/>
    </row>
    <row r="63" spans="2:13">
      <c r="C63" s="650"/>
      <c r="E63" s="650"/>
      <c r="G63" s="650"/>
      <c r="H63" s="650"/>
    </row>
    <row r="64" spans="2:13">
      <c r="C64" s="650"/>
      <c r="E64" s="650"/>
      <c r="G64" s="650"/>
      <c r="H64" s="650"/>
    </row>
    <row r="65" spans="2:13">
      <c r="C65" s="650"/>
      <c r="E65" s="650"/>
      <c r="G65" s="650"/>
      <c r="H65" s="650"/>
    </row>
    <row r="66" spans="2:13">
      <c r="C66" s="650"/>
      <c r="E66" s="650"/>
      <c r="G66" s="650"/>
      <c r="H66" s="650"/>
    </row>
    <row r="67" spans="2:13">
      <c r="C67" s="650"/>
      <c r="E67" s="650"/>
      <c r="G67" s="650"/>
      <c r="H67" s="650"/>
    </row>
    <row r="68" spans="2:13">
      <c r="B68" s="710"/>
      <c r="C68" s="710"/>
      <c r="D68" s="710"/>
      <c r="E68" s="710"/>
      <c r="F68" s="710"/>
      <c r="G68" s="710"/>
      <c r="H68" s="710"/>
    </row>
    <row r="69" spans="2:13">
      <c r="B69" s="710"/>
      <c r="C69" s="710"/>
      <c r="D69" s="710"/>
      <c r="E69" s="710"/>
      <c r="F69" s="710"/>
      <c r="G69" s="710"/>
      <c r="H69" s="710"/>
    </row>
    <row r="70" spans="2:13">
      <c r="B70" s="710"/>
      <c r="C70" s="710"/>
      <c r="D70" s="710"/>
      <c r="E70" s="710"/>
      <c r="F70" s="710"/>
      <c r="G70" s="710"/>
      <c r="H70" s="710"/>
    </row>
    <row r="71" spans="2:13">
      <c r="B71" s="710"/>
      <c r="C71" s="710"/>
      <c r="D71" s="710"/>
      <c r="E71" s="710"/>
      <c r="F71" s="710"/>
      <c r="G71" s="710"/>
      <c r="H71" s="710"/>
    </row>
    <row r="72" spans="2:13">
      <c r="B72" s="710"/>
      <c r="C72" s="710"/>
      <c r="D72" s="710"/>
      <c r="E72" s="710"/>
      <c r="F72" s="710"/>
      <c r="G72" s="710"/>
      <c r="H72" s="710"/>
    </row>
    <row r="73" spans="2:13">
      <c r="B73" s="710"/>
      <c r="C73" s="710"/>
      <c r="D73" s="710"/>
      <c r="E73" s="710"/>
      <c r="F73" s="710"/>
      <c r="G73" s="710"/>
      <c r="H73" s="710"/>
      <c r="I73" s="710"/>
      <c r="J73" s="710"/>
      <c r="K73" s="710"/>
      <c r="L73" s="710"/>
      <c r="M73" s="710"/>
    </row>
    <row r="74" spans="2:13">
      <c r="B74" s="710"/>
      <c r="C74" s="710"/>
      <c r="D74" s="710"/>
      <c r="E74" s="710"/>
      <c r="F74" s="710"/>
      <c r="G74" s="710"/>
      <c r="H74" s="710"/>
      <c r="I74" s="710"/>
      <c r="J74" s="710"/>
      <c r="K74" s="710"/>
      <c r="L74" s="710"/>
      <c r="M74" s="710"/>
    </row>
    <row r="75" spans="2:13">
      <c r="C75" s="650"/>
      <c r="E75" s="650"/>
      <c r="G75" s="650"/>
      <c r="H75" s="650"/>
      <c r="I75" s="710"/>
      <c r="J75" s="710"/>
      <c r="K75" s="710"/>
      <c r="L75" s="710"/>
      <c r="M75" s="710"/>
    </row>
    <row r="76" spans="2:13">
      <c r="B76" t="s">
        <v>817</v>
      </c>
      <c r="C76" s="650"/>
      <c r="E76" s="650"/>
      <c r="G76" s="650"/>
      <c r="H76" s="650"/>
      <c r="I76" s="710"/>
      <c r="J76" s="710"/>
      <c r="K76" s="710"/>
      <c r="L76" s="710"/>
      <c r="M76" s="710"/>
    </row>
    <row r="77" spans="2:13">
      <c r="B77" s="708" t="s">
        <v>818</v>
      </c>
      <c r="C77" s="650"/>
      <c r="E77" s="650"/>
      <c r="G77" s="650"/>
      <c r="H77" s="650"/>
      <c r="I77" s="710"/>
      <c r="J77" s="710"/>
      <c r="K77" s="710"/>
      <c r="L77" s="710"/>
      <c r="M77" s="710"/>
    </row>
    <row r="78" spans="2:13">
      <c r="C78" s="650"/>
      <c r="E78" s="650"/>
      <c r="G78" s="650"/>
      <c r="H78" s="650"/>
      <c r="I78" s="710"/>
      <c r="J78" s="710"/>
      <c r="K78" s="710"/>
      <c r="L78" s="710"/>
      <c r="M78" s="710"/>
    </row>
    <row r="79" spans="2:13">
      <c r="C79" s="650"/>
      <c r="E79" s="650"/>
      <c r="G79" s="650"/>
      <c r="H79" s="650"/>
      <c r="I79" s="710"/>
      <c r="J79" s="710"/>
      <c r="K79" s="710"/>
      <c r="L79" s="710"/>
      <c r="M79" s="710"/>
    </row>
    <row r="80" spans="2:13">
      <c r="C80" s="650"/>
      <c r="E80" s="650"/>
      <c r="G80" s="650"/>
      <c r="H80" s="650"/>
    </row>
    <row r="81" spans="3:8">
      <c r="C81" s="650"/>
      <c r="E81" s="650"/>
      <c r="G81" s="650"/>
      <c r="H81" s="650"/>
    </row>
    <row r="82" spans="3:8">
      <c r="C82" s="650"/>
      <c r="E82" s="650"/>
      <c r="G82" s="650"/>
      <c r="H82" s="650"/>
    </row>
    <row r="83" spans="3:8">
      <c r="C83" s="650"/>
      <c r="E83" s="650"/>
      <c r="G83" s="650"/>
      <c r="H83" s="650"/>
    </row>
    <row r="84" spans="3:8">
      <c r="C84" s="650"/>
      <c r="E84" s="650"/>
      <c r="G84" s="650"/>
      <c r="H84" s="650"/>
    </row>
    <row r="85" spans="3:8">
      <c r="C85" s="650"/>
      <c r="E85" s="650"/>
      <c r="G85" s="650"/>
      <c r="H85" s="650"/>
    </row>
    <row r="86" spans="3:8">
      <c r="C86" s="650"/>
      <c r="E86" s="650"/>
      <c r="G86" s="650"/>
      <c r="H86" s="650"/>
    </row>
    <row r="87" spans="3:8">
      <c r="C87" s="650"/>
      <c r="E87" s="650"/>
      <c r="G87" s="650"/>
      <c r="H87" s="650"/>
    </row>
    <row r="88" spans="3:8">
      <c r="C88" s="650"/>
      <c r="E88" s="650"/>
      <c r="G88" s="650"/>
      <c r="H88" s="650"/>
    </row>
    <row r="89" spans="3:8">
      <c r="C89" s="650"/>
      <c r="E89" s="650"/>
      <c r="G89" s="650"/>
      <c r="H89" s="650"/>
    </row>
    <row r="90" spans="3:8">
      <c r="C90" s="650"/>
      <c r="E90" s="650"/>
      <c r="G90" s="650"/>
      <c r="H90" s="650"/>
    </row>
    <row r="91" spans="3:8">
      <c r="C91" s="650"/>
      <c r="E91" s="650"/>
      <c r="G91" s="650"/>
      <c r="H91" s="650"/>
    </row>
    <row r="92" spans="3:8">
      <c r="C92" s="650"/>
      <c r="E92" s="650"/>
      <c r="G92" s="650"/>
      <c r="H92" s="650"/>
    </row>
    <row r="93" spans="3:8">
      <c r="C93" s="650"/>
      <c r="E93" s="650"/>
      <c r="G93" s="650"/>
      <c r="H93" s="650"/>
    </row>
  </sheetData>
  <mergeCells count="10">
    <mergeCell ref="B45:K51"/>
    <mergeCell ref="B25:L30"/>
    <mergeCell ref="B7:B8"/>
    <mergeCell ref="B19:F19"/>
    <mergeCell ref="B21:J23"/>
    <mergeCell ref="B33:M33"/>
    <mergeCell ref="B36:B37"/>
    <mergeCell ref="C36:D36"/>
    <mergeCell ref="E36:F36"/>
    <mergeCell ref="G36:H36"/>
  </mergeCells>
  <hyperlinks>
    <hyperlink ref="B34" r:id="rId1" xr:uid="{00000000-0004-0000-0B00-000000000000}"/>
    <hyperlink ref="O42" r:id="rId2" xr:uid="{00000000-0004-0000-0B00-000001000000}"/>
    <hyperlink ref="O34" r:id="rId3" xr:uid="{00000000-0004-0000-0B00-000002000000}"/>
  </hyperlinks>
  <pageMargins left="0.7" right="0.7" top="0.75" bottom="0.75" header="0.3" footer="0.3"/>
  <pageSetup paperSize="9" orientation="portrait" r:id="rId4"/>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2"/>
  <sheetViews>
    <sheetView topLeftCell="A7" zoomScale="90" zoomScaleNormal="90" workbookViewId="0">
      <selection activeCell="C17" sqref="C17"/>
    </sheetView>
  </sheetViews>
  <sheetFormatPr baseColWidth="10" defaultColWidth="11" defaultRowHeight="14.25" outlineLevelRow="1"/>
  <cols>
    <col min="1" max="1" width="2.625" customWidth="1"/>
    <col min="2" max="10" width="25.625" customWidth="1"/>
  </cols>
  <sheetData>
    <row r="1" spans="1:12" s="6" customFormat="1" ht="15" customHeight="1" outlineLevel="1">
      <c r="A1" s="134"/>
      <c r="B1" s="135"/>
      <c r="C1" s="136"/>
      <c r="D1" s="137"/>
      <c r="E1" s="132" t="s">
        <v>237</v>
      </c>
      <c r="G1" s="91"/>
      <c r="H1" s="91"/>
      <c r="I1" s="633" t="s">
        <v>780</v>
      </c>
    </row>
    <row r="2" spans="1:12" s="6" customFormat="1" ht="15" customHeight="1" outlineLevel="1">
      <c r="A2" s="138"/>
      <c r="B2" s="139"/>
      <c r="C2" s="140"/>
      <c r="D2" s="141"/>
      <c r="E2" s="142" t="s">
        <v>100</v>
      </c>
      <c r="F2" s="615" t="str">
        <f>'Whole life model'!F2</f>
        <v>ARGENTINA</v>
      </c>
      <c r="G2" s="242"/>
      <c r="H2" s="243"/>
      <c r="I2" s="79" t="s">
        <v>14</v>
      </c>
      <c r="L2" s="6" t="s">
        <v>553</v>
      </c>
    </row>
    <row r="3" spans="1:12" s="6" customFormat="1" ht="15" customHeight="1" outlineLevel="1">
      <c r="A3" s="138"/>
      <c r="B3" s="143"/>
      <c r="C3" s="140"/>
      <c r="D3" s="141"/>
      <c r="E3" s="142" t="s">
        <v>235</v>
      </c>
      <c r="F3" s="615" t="str">
        <f>'Whole life model'!F3</f>
        <v>AFCP</v>
      </c>
      <c r="G3" s="242"/>
      <c r="H3" s="243"/>
      <c r="I3" s="79" t="s">
        <v>778</v>
      </c>
      <c r="L3" s="6" t="s">
        <v>17</v>
      </c>
    </row>
    <row r="4" spans="1:12" s="6" customFormat="1" ht="15" customHeight="1" outlineLevel="1">
      <c r="A4" s="138"/>
      <c r="B4" s="143"/>
      <c r="C4" s="140"/>
      <c r="D4" s="141"/>
      <c r="E4" s="452" t="s">
        <v>461</v>
      </c>
      <c r="F4" s="242" t="str">
        <f>'Whole life model'!F4</f>
        <v>FICEM and AFCP</v>
      </c>
      <c r="G4" s="242"/>
      <c r="H4" s="243"/>
      <c r="I4" s="79" t="s">
        <v>15</v>
      </c>
      <c r="L4" s="6" t="s">
        <v>18</v>
      </c>
    </row>
    <row r="5" spans="1:12" s="6" customFormat="1" ht="15" customHeight="1" outlineLevel="1">
      <c r="A5" s="138"/>
      <c r="B5" s="143"/>
      <c r="C5" s="140"/>
      <c r="D5" s="141"/>
      <c r="E5" s="142" t="s">
        <v>102</v>
      </c>
      <c r="F5" s="242" t="str">
        <f>'Whole life model'!F5</f>
        <v>maria.lefevre@afcp.org.ar</v>
      </c>
      <c r="G5" s="242"/>
      <c r="H5" s="243"/>
      <c r="I5" s="79" t="s">
        <v>16</v>
      </c>
      <c r="L5" s="6" t="s">
        <v>19</v>
      </c>
    </row>
    <row r="6" spans="1:12" s="6" customFormat="1" ht="15" customHeight="1" outlineLevel="1">
      <c r="A6" s="138"/>
      <c r="B6" s="143"/>
      <c r="C6" s="140"/>
      <c r="D6" s="141"/>
      <c r="E6" s="142" t="s">
        <v>101</v>
      </c>
      <c r="F6" s="242" t="str">
        <f>'Whole life model'!F6</f>
        <v>Phone</v>
      </c>
      <c r="G6" s="242"/>
      <c r="H6" s="243"/>
      <c r="I6" s="6" t="s">
        <v>552</v>
      </c>
    </row>
    <row r="7" spans="1:12" s="6" customFormat="1" ht="24.95" customHeight="1">
      <c r="A7" s="144"/>
      <c r="B7" s="125" t="str">
        <f>'Whole life model'!B7</f>
        <v xml:space="preserve">GCCA Roadmap Template </v>
      </c>
      <c r="C7" s="145"/>
      <c r="D7" s="125" t="str">
        <f>'Whole life model'!D7</f>
        <v>Version 202, 19.07.2022, ECRA</v>
      </c>
      <c r="E7" s="142" t="s">
        <v>98</v>
      </c>
      <c r="F7" s="34"/>
      <c r="G7" s="9"/>
      <c r="H7" s="9"/>
      <c r="I7" s="9"/>
    </row>
    <row r="8" spans="1:12" s="634" customFormat="1" ht="15.75" thickBot="1">
      <c r="B8" s="635" t="s">
        <v>574</v>
      </c>
      <c r="C8" s="635" t="s">
        <v>779</v>
      </c>
      <c r="D8" s="635" t="s">
        <v>576</v>
      </c>
      <c r="E8" s="635" t="s">
        <v>575</v>
      </c>
      <c r="F8" s="635" t="s">
        <v>781</v>
      </c>
      <c r="G8" s="635" t="s">
        <v>573</v>
      </c>
      <c r="H8" s="635" t="s">
        <v>578</v>
      </c>
      <c r="I8" s="635" t="s">
        <v>577</v>
      </c>
      <c r="J8" s="635" t="s">
        <v>19</v>
      </c>
    </row>
    <row r="9" spans="1:12" ht="15.75" thickTop="1">
      <c r="B9" t="s">
        <v>580</v>
      </c>
      <c r="C9" s="632" t="s">
        <v>581</v>
      </c>
      <c r="F9" t="s">
        <v>584</v>
      </c>
      <c r="G9" s="632" t="s">
        <v>579</v>
      </c>
      <c r="H9" t="s">
        <v>585</v>
      </c>
      <c r="I9" t="s">
        <v>583</v>
      </c>
      <c r="J9" t="s">
        <v>582</v>
      </c>
    </row>
    <row r="10" spans="1:12">
      <c r="B10" t="s">
        <v>587</v>
      </c>
      <c r="C10" t="s">
        <v>588</v>
      </c>
      <c r="F10" t="s">
        <v>591</v>
      </c>
      <c r="G10" t="s">
        <v>586</v>
      </c>
      <c r="H10" t="s">
        <v>592</v>
      </c>
      <c r="I10" t="s">
        <v>590</v>
      </c>
      <c r="J10" t="s">
        <v>589</v>
      </c>
    </row>
    <row r="11" spans="1:12">
      <c r="C11" t="s">
        <v>594</v>
      </c>
      <c r="F11" t="s">
        <v>597</v>
      </c>
      <c r="G11" t="s">
        <v>593</v>
      </c>
      <c r="H11" t="s">
        <v>598</v>
      </c>
      <c r="I11" t="s">
        <v>596</v>
      </c>
      <c r="J11" t="s">
        <v>595</v>
      </c>
    </row>
    <row r="12" spans="1:12">
      <c r="C12" t="s">
        <v>600</v>
      </c>
      <c r="F12" t="s">
        <v>603</v>
      </c>
      <c r="G12" t="s">
        <v>599</v>
      </c>
      <c r="H12" t="s">
        <v>604</v>
      </c>
      <c r="I12" t="s">
        <v>602</v>
      </c>
      <c r="J12" t="s">
        <v>601</v>
      </c>
    </row>
    <row r="13" spans="1:12">
      <c r="C13" t="s">
        <v>606</v>
      </c>
      <c r="F13" t="s">
        <v>609</v>
      </c>
      <c r="G13" t="s">
        <v>605</v>
      </c>
      <c r="H13" t="s">
        <v>610</v>
      </c>
      <c r="I13" t="s">
        <v>608</v>
      </c>
      <c r="J13" t="s">
        <v>607</v>
      </c>
    </row>
    <row r="14" spans="1:12">
      <c r="C14" t="s">
        <v>612</v>
      </c>
      <c r="F14" t="s">
        <v>615</v>
      </c>
      <c r="G14" t="s">
        <v>611</v>
      </c>
      <c r="H14" t="s">
        <v>616</v>
      </c>
      <c r="I14" t="s">
        <v>614</v>
      </c>
      <c r="J14" t="s">
        <v>613</v>
      </c>
    </row>
    <row r="15" spans="1:12">
      <c r="C15" t="s">
        <v>618</v>
      </c>
      <c r="F15" t="s">
        <v>621</v>
      </c>
      <c r="G15" t="s">
        <v>617</v>
      </c>
      <c r="H15" t="s">
        <v>622</v>
      </c>
      <c r="I15" t="s">
        <v>620</v>
      </c>
      <c r="J15" t="s">
        <v>619</v>
      </c>
    </row>
    <row r="16" spans="1:12">
      <c r="C16" t="s">
        <v>624</v>
      </c>
      <c r="F16" t="s">
        <v>627</v>
      </c>
      <c r="G16" t="s">
        <v>623</v>
      </c>
      <c r="H16" t="s">
        <v>628</v>
      </c>
      <c r="I16" t="s">
        <v>626</v>
      </c>
      <c r="J16" t="s">
        <v>625</v>
      </c>
    </row>
    <row r="17" spans="3:10">
      <c r="C17" t="s">
        <v>630</v>
      </c>
      <c r="F17" t="s">
        <v>633</v>
      </c>
      <c r="G17" t="s">
        <v>629</v>
      </c>
      <c r="H17" t="s">
        <v>634</v>
      </c>
      <c r="I17" t="s">
        <v>632</v>
      </c>
      <c r="J17" t="s">
        <v>631</v>
      </c>
    </row>
    <row r="18" spans="3:10">
      <c r="C18" t="s">
        <v>636</v>
      </c>
      <c r="F18" t="s">
        <v>639</v>
      </c>
      <c r="G18" t="s">
        <v>635</v>
      </c>
      <c r="H18" t="s">
        <v>640</v>
      </c>
      <c r="I18" t="s">
        <v>638</v>
      </c>
      <c r="J18" t="s">
        <v>637</v>
      </c>
    </row>
    <row r="19" spans="3:10">
      <c r="C19" t="s">
        <v>642</v>
      </c>
      <c r="F19" t="s">
        <v>645</v>
      </c>
      <c r="G19" t="s">
        <v>641</v>
      </c>
      <c r="H19" s="562" t="s">
        <v>646</v>
      </c>
      <c r="I19" t="s">
        <v>644</v>
      </c>
      <c r="J19" t="s">
        <v>643</v>
      </c>
    </row>
    <row r="20" spans="3:10">
      <c r="C20" t="s">
        <v>648</v>
      </c>
      <c r="F20" t="s">
        <v>651</v>
      </c>
      <c r="G20" t="s">
        <v>647</v>
      </c>
      <c r="I20" t="s">
        <v>650</v>
      </c>
      <c r="J20" t="s">
        <v>649</v>
      </c>
    </row>
    <row r="21" spans="3:10">
      <c r="C21" t="s">
        <v>653</v>
      </c>
      <c r="F21" t="s">
        <v>656</v>
      </c>
      <c r="G21" t="s">
        <v>652</v>
      </c>
      <c r="I21" t="s">
        <v>655</v>
      </c>
      <c r="J21" t="s">
        <v>654</v>
      </c>
    </row>
    <row r="22" spans="3:10">
      <c r="C22" t="s">
        <v>658</v>
      </c>
      <c r="F22" t="s">
        <v>661</v>
      </c>
      <c r="G22" t="s">
        <v>657</v>
      </c>
      <c r="I22" t="s">
        <v>660</v>
      </c>
      <c r="J22" t="s">
        <v>659</v>
      </c>
    </row>
    <row r="23" spans="3:10">
      <c r="C23" t="s">
        <v>663</v>
      </c>
      <c r="F23" t="s">
        <v>665</v>
      </c>
      <c r="G23" t="s">
        <v>662</v>
      </c>
      <c r="I23" t="s">
        <v>664</v>
      </c>
    </row>
    <row r="24" spans="3:10">
      <c r="C24" t="s">
        <v>667</v>
      </c>
      <c r="F24" t="s">
        <v>669</v>
      </c>
      <c r="G24" t="s">
        <v>666</v>
      </c>
      <c r="I24" t="s">
        <v>668</v>
      </c>
    </row>
    <row r="25" spans="3:10">
      <c r="C25" t="s">
        <v>671</v>
      </c>
      <c r="F25" t="s">
        <v>673</v>
      </c>
      <c r="G25" t="s">
        <v>670</v>
      </c>
      <c r="I25" t="s">
        <v>672</v>
      </c>
    </row>
    <row r="26" spans="3:10">
      <c r="C26" t="s">
        <v>675</v>
      </c>
      <c r="F26" t="s">
        <v>677</v>
      </c>
      <c r="G26" t="s">
        <v>674</v>
      </c>
      <c r="I26" t="s">
        <v>676</v>
      </c>
    </row>
    <row r="27" spans="3:10">
      <c r="C27" t="s">
        <v>679</v>
      </c>
      <c r="F27" t="s">
        <v>681</v>
      </c>
      <c r="G27" t="s">
        <v>678</v>
      </c>
      <c r="I27" t="s">
        <v>680</v>
      </c>
    </row>
    <row r="28" spans="3:10">
      <c r="C28" t="s">
        <v>683</v>
      </c>
      <c r="F28" t="s">
        <v>685</v>
      </c>
      <c r="G28" t="s">
        <v>682</v>
      </c>
      <c r="I28" t="s">
        <v>684</v>
      </c>
    </row>
    <row r="29" spans="3:10">
      <c r="C29" t="s">
        <v>687</v>
      </c>
      <c r="F29" t="s">
        <v>689</v>
      </c>
      <c r="G29" t="s">
        <v>686</v>
      </c>
      <c r="I29" t="s">
        <v>688</v>
      </c>
    </row>
    <row r="30" spans="3:10">
      <c r="C30" t="s">
        <v>691</v>
      </c>
      <c r="F30" t="s">
        <v>693</v>
      </c>
      <c r="G30" t="s">
        <v>690</v>
      </c>
      <c r="I30" t="s">
        <v>692</v>
      </c>
    </row>
    <row r="31" spans="3:10">
      <c r="C31" t="s">
        <v>695</v>
      </c>
      <c r="F31" t="s">
        <v>697</v>
      </c>
      <c r="G31" t="s">
        <v>694</v>
      </c>
      <c r="I31" t="s">
        <v>696</v>
      </c>
    </row>
    <row r="32" spans="3:10" ht="15">
      <c r="C32" t="s">
        <v>699</v>
      </c>
      <c r="F32" s="632" t="s">
        <v>701</v>
      </c>
      <c r="G32" t="s">
        <v>698</v>
      </c>
      <c r="I32" t="s">
        <v>700</v>
      </c>
    </row>
    <row r="33" spans="3:9">
      <c r="C33" t="s">
        <v>703</v>
      </c>
      <c r="F33" t="s">
        <v>705</v>
      </c>
      <c r="G33" t="s">
        <v>702</v>
      </c>
      <c r="I33" t="s">
        <v>704</v>
      </c>
    </row>
    <row r="34" spans="3:9">
      <c r="C34" t="s">
        <v>707</v>
      </c>
      <c r="F34" t="s">
        <v>709</v>
      </c>
      <c r="G34" t="s">
        <v>706</v>
      </c>
      <c r="I34" t="s">
        <v>708</v>
      </c>
    </row>
    <row r="35" spans="3:9">
      <c r="C35" t="s">
        <v>711</v>
      </c>
      <c r="F35" t="s">
        <v>713</v>
      </c>
      <c r="G35" t="s">
        <v>710</v>
      </c>
      <c r="I35" t="s">
        <v>712</v>
      </c>
    </row>
    <row r="36" spans="3:9">
      <c r="C36" t="s">
        <v>715</v>
      </c>
      <c r="F36" t="s">
        <v>717</v>
      </c>
      <c r="G36" t="s">
        <v>714</v>
      </c>
      <c r="I36" t="s">
        <v>716</v>
      </c>
    </row>
    <row r="37" spans="3:9">
      <c r="C37" t="s">
        <v>719</v>
      </c>
      <c r="F37" t="s">
        <v>721</v>
      </c>
      <c r="G37" t="s">
        <v>718</v>
      </c>
      <c r="I37" t="s">
        <v>720</v>
      </c>
    </row>
    <row r="38" spans="3:9" ht="15">
      <c r="C38" s="632" t="s">
        <v>723</v>
      </c>
      <c r="F38" t="s">
        <v>725</v>
      </c>
      <c r="G38" s="632" t="s">
        <v>722</v>
      </c>
      <c r="I38" t="s">
        <v>724</v>
      </c>
    </row>
    <row r="39" spans="3:9">
      <c r="C39" t="s">
        <v>727</v>
      </c>
      <c r="F39" t="s">
        <v>729</v>
      </c>
      <c r="G39" t="s">
        <v>726</v>
      </c>
      <c r="I39" t="s">
        <v>728</v>
      </c>
    </row>
    <row r="40" spans="3:9">
      <c r="C40" t="s">
        <v>731</v>
      </c>
      <c r="F40" t="s">
        <v>733</v>
      </c>
      <c r="G40" t="s">
        <v>730</v>
      </c>
      <c r="I40" t="s">
        <v>732</v>
      </c>
    </row>
    <row r="41" spans="3:9">
      <c r="C41" t="s">
        <v>735</v>
      </c>
      <c r="F41" t="s">
        <v>737</v>
      </c>
      <c r="G41" t="s">
        <v>734</v>
      </c>
      <c r="I41" t="s">
        <v>736</v>
      </c>
    </row>
    <row r="42" spans="3:9">
      <c r="C42" t="s">
        <v>739</v>
      </c>
      <c r="F42" t="s">
        <v>741</v>
      </c>
      <c r="G42" t="s">
        <v>738</v>
      </c>
      <c r="I42" t="s">
        <v>740</v>
      </c>
    </row>
    <row r="43" spans="3:9">
      <c r="F43" t="s">
        <v>744</v>
      </c>
      <c r="G43" s="562" t="s">
        <v>742</v>
      </c>
      <c r="I43" t="s">
        <v>743</v>
      </c>
    </row>
    <row r="44" spans="3:9">
      <c r="F44" t="s">
        <v>747</v>
      </c>
      <c r="G44" t="s">
        <v>745</v>
      </c>
      <c r="I44" t="s">
        <v>746</v>
      </c>
    </row>
    <row r="45" spans="3:9">
      <c r="F45" t="s">
        <v>750</v>
      </c>
      <c r="G45" t="s">
        <v>748</v>
      </c>
      <c r="I45" t="s">
        <v>749</v>
      </c>
    </row>
    <row r="46" spans="3:9">
      <c r="F46" t="s">
        <v>753</v>
      </c>
      <c r="G46" t="s">
        <v>751</v>
      </c>
      <c r="I46" t="s">
        <v>752</v>
      </c>
    </row>
    <row r="47" spans="3:9">
      <c r="G47" t="s">
        <v>754</v>
      </c>
      <c r="I47" t="s">
        <v>755</v>
      </c>
    </row>
    <row r="48" spans="3:9">
      <c r="G48" t="s">
        <v>756</v>
      </c>
      <c r="I48" t="s">
        <v>757</v>
      </c>
    </row>
    <row r="49" spans="7:9">
      <c r="G49" t="s">
        <v>758</v>
      </c>
      <c r="I49" t="s">
        <v>759</v>
      </c>
    </row>
    <row r="50" spans="7:9">
      <c r="G50" t="s">
        <v>760</v>
      </c>
      <c r="I50" t="s">
        <v>761</v>
      </c>
    </row>
    <row r="51" spans="7:9">
      <c r="G51" t="s">
        <v>762</v>
      </c>
      <c r="I51" t="s">
        <v>763</v>
      </c>
    </row>
    <row r="52" spans="7:9">
      <c r="G52" t="s">
        <v>764</v>
      </c>
      <c r="I52" t="s">
        <v>765</v>
      </c>
    </row>
    <row r="53" spans="7:9">
      <c r="G53" s="562" t="s">
        <v>766</v>
      </c>
      <c r="I53" t="s">
        <v>767</v>
      </c>
    </row>
    <row r="54" spans="7:9">
      <c r="I54" t="s">
        <v>768</v>
      </c>
    </row>
    <row r="55" spans="7:9">
      <c r="G55" s="1561" t="s">
        <v>777</v>
      </c>
      <c r="I55" t="s">
        <v>769</v>
      </c>
    </row>
    <row r="56" spans="7:9">
      <c r="G56" s="1561"/>
      <c r="I56" t="s">
        <v>770</v>
      </c>
    </row>
    <row r="57" spans="7:9">
      <c r="G57" s="1561"/>
      <c r="I57" t="s">
        <v>771</v>
      </c>
    </row>
    <row r="58" spans="7:9">
      <c r="G58" s="1561"/>
      <c r="I58" t="s">
        <v>772</v>
      </c>
    </row>
    <row r="59" spans="7:9">
      <c r="I59" t="s">
        <v>773</v>
      </c>
    </row>
    <row r="60" spans="7:9">
      <c r="I60" t="s">
        <v>774</v>
      </c>
    </row>
    <row r="61" spans="7:9">
      <c r="I61" t="s">
        <v>775</v>
      </c>
    </row>
    <row r="62" spans="7:9">
      <c r="I62" t="s">
        <v>776</v>
      </c>
    </row>
  </sheetData>
  <mergeCells count="1">
    <mergeCell ref="G55:G58"/>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2"/>
  <sheetViews>
    <sheetView zoomScale="90" zoomScaleNormal="90" workbookViewId="0">
      <selection activeCell="C7" sqref="C7"/>
    </sheetView>
  </sheetViews>
  <sheetFormatPr baseColWidth="10" defaultColWidth="9" defaultRowHeight="14.25"/>
  <cols>
    <col min="1" max="1" width="5.625" style="77" customWidth="1"/>
    <col min="2" max="2" width="35.625" style="77" customWidth="1"/>
    <col min="3" max="5" width="20.625" style="77" customWidth="1"/>
    <col min="6" max="16384" width="9" style="77"/>
  </cols>
  <sheetData>
    <row r="1" spans="1:6" s="388" customFormat="1" ht="19.5" thickBot="1">
      <c r="A1" s="394" t="s">
        <v>400</v>
      </c>
      <c r="B1" s="394"/>
      <c r="C1" s="394"/>
      <c r="D1" s="394"/>
      <c r="E1" s="394"/>
    </row>
    <row r="2" spans="1:6" ht="55.5" customHeight="1">
      <c r="A2" s="397" t="s">
        <v>399</v>
      </c>
      <c r="B2" s="398"/>
      <c r="C2" s="399" t="s">
        <v>401</v>
      </c>
      <c r="D2" s="399" t="s">
        <v>402</v>
      </c>
      <c r="E2" s="400" t="s">
        <v>402</v>
      </c>
      <c r="F2" s="227"/>
    </row>
    <row r="3" spans="1:6" s="2" customFormat="1" ht="15" customHeight="1" thickBot="1">
      <c r="A3" s="410"/>
      <c r="B3" s="411"/>
      <c r="C3" s="412" t="s">
        <v>404</v>
      </c>
      <c r="D3" s="412" t="s">
        <v>404</v>
      </c>
      <c r="E3" s="413" t="s">
        <v>403</v>
      </c>
      <c r="F3" s="50"/>
    </row>
    <row r="4" spans="1:6" ht="15" customHeight="1">
      <c r="A4" s="414" t="s">
        <v>20</v>
      </c>
      <c r="B4" s="415"/>
      <c r="C4" s="416"/>
      <c r="D4" s="417"/>
      <c r="E4" s="418"/>
      <c r="F4" s="227"/>
    </row>
    <row r="5" spans="1:6" ht="15" customHeight="1">
      <c r="A5" s="403"/>
      <c r="B5" s="385" t="s">
        <v>21</v>
      </c>
      <c r="C5" s="384">
        <v>96</v>
      </c>
      <c r="D5" s="383"/>
      <c r="E5" s="404"/>
      <c r="F5" s="227"/>
    </row>
    <row r="6" spans="1:6" ht="15" customHeight="1">
      <c r="A6" s="405"/>
      <c r="B6" s="385" t="s">
        <v>22</v>
      </c>
      <c r="C6" s="382"/>
      <c r="D6" s="383">
        <v>92.8</v>
      </c>
      <c r="E6" s="404"/>
      <c r="F6" s="227"/>
    </row>
    <row r="7" spans="1:6" ht="15" customHeight="1">
      <c r="A7" s="403"/>
      <c r="B7" s="385" t="s">
        <v>23</v>
      </c>
      <c r="C7" s="382">
        <v>77.400000000000006</v>
      </c>
      <c r="D7" s="383"/>
      <c r="E7" s="404"/>
      <c r="F7" s="227"/>
    </row>
    <row r="8" spans="1:6" ht="15" customHeight="1">
      <c r="A8" s="405"/>
      <c r="B8" s="385" t="s">
        <v>24</v>
      </c>
      <c r="C8" s="382">
        <v>74.099999999999994</v>
      </c>
      <c r="D8" s="383"/>
      <c r="E8" s="404"/>
      <c r="F8" s="227"/>
    </row>
    <row r="9" spans="1:6" ht="15" customHeight="1">
      <c r="A9" s="405"/>
      <c r="B9" s="385" t="s">
        <v>25</v>
      </c>
      <c r="C9" s="382">
        <v>56.1</v>
      </c>
      <c r="D9" s="383"/>
      <c r="E9" s="404"/>
      <c r="F9" s="227"/>
    </row>
    <row r="10" spans="1:6" ht="15" customHeight="1">
      <c r="A10" s="405"/>
      <c r="B10" s="385" t="s">
        <v>26</v>
      </c>
      <c r="C10" s="383">
        <v>107</v>
      </c>
      <c r="D10" s="383"/>
      <c r="E10" s="404"/>
      <c r="F10" s="227"/>
    </row>
    <row r="11" spans="1:6" ht="15" customHeight="1">
      <c r="A11" s="405"/>
      <c r="B11" s="385" t="s">
        <v>27</v>
      </c>
      <c r="C11" s="383">
        <v>101</v>
      </c>
      <c r="D11" s="383"/>
      <c r="E11" s="404"/>
      <c r="F11" s="227"/>
    </row>
    <row r="12" spans="1:6" ht="15" customHeight="1" thickBot="1">
      <c r="A12" s="419"/>
      <c r="B12" s="420" t="s">
        <v>28</v>
      </c>
      <c r="C12" s="421">
        <v>69.3</v>
      </c>
      <c r="D12" s="421"/>
      <c r="E12" s="422"/>
      <c r="F12" s="227"/>
    </row>
    <row r="13" spans="1:6" ht="15" customHeight="1">
      <c r="A13" s="414" t="s">
        <v>29</v>
      </c>
      <c r="B13" s="415"/>
      <c r="C13" s="417"/>
      <c r="D13" s="417"/>
      <c r="E13" s="418"/>
      <c r="F13" s="227"/>
    </row>
    <row r="14" spans="1:6" ht="15" customHeight="1">
      <c r="A14" s="405"/>
      <c r="B14" s="385" t="s">
        <v>30</v>
      </c>
      <c r="C14" s="383"/>
      <c r="D14" s="383">
        <v>74</v>
      </c>
      <c r="E14" s="404"/>
      <c r="F14" s="227"/>
    </row>
    <row r="15" spans="1:6" ht="15" customHeight="1">
      <c r="A15" s="403"/>
      <c r="B15" s="385" t="s">
        <v>31</v>
      </c>
      <c r="C15" s="383"/>
      <c r="D15" s="383">
        <v>85</v>
      </c>
      <c r="E15" s="404">
        <v>0.27</v>
      </c>
      <c r="F15" s="227"/>
    </row>
    <row r="16" spans="1:6" ht="15" customHeight="1">
      <c r="A16" s="405"/>
      <c r="B16" s="385" t="s">
        <v>32</v>
      </c>
      <c r="C16" s="383"/>
      <c r="D16" s="383">
        <v>75</v>
      </c>
      <c r="E16" s="404"/>
      <c r="F16" s="227"/>
    </row>
    <row r="17" spans="1:8" ht="15" customHeight="1">
      <c r="A17" s="403"/>
      <c r="B17" s="385" t="s">
        <v>33</v>
      </c>
      <c r="C17" s="383"/>
      <c r="D17" s="383">
        <v>74</v>
      </c>
      <c r="E17" s="404"/>
      <c r="F17" s="227"/>
    </row>
    <row r="18" spans="1:8" ht="15" customHeight="1">
      <c r="A18" s="405"/>
      <c r="B18" s="385" t="s">
        <v>34</v>
      </c>
      <c r="C18" s="383"/>
      <c r="D18" s="383">
        <v>75</v>
      </c>
      <c r="E18" s="404"/>
      <c r="F18" s="227"/>
    </row>
    <row r="19" spans="1:8" ht="15" customHeight="1">
      <c r="A19" s="405"/>
      <c r="B19" s="385" t="s">
        <v>35</v>
      </c>
      <c r="C19" s="383"/>
      <c r="D19" s="383">
        <v>83</v>
      </c>
      <c r="E19" s="404"/>
      <c r="F19" s="227"/>
    </row>
    <row r="20" spans="1:8" ht="15" customHeight="1" thickBot="1">
      <c r="A20" s="423"/>
      <c r="B20" s="420" t="s">
        <v>36</v>
      </c>
      <c r="C20" s="421"/>
      <c r="D20" s="421">
        <v>80</v>
      </c>
      <c r="E20" s="422"/>
      <c r="F20" s="227"/>
    </row>
    <row r="21" spans="1:8" ht="15" customHeight="1">
      <c r="A21" s="401" t="s">
        <v>37</v>
      </c>
      <c r="B21" s="392"/>
      <c r="C21" s="393"/>
      <c r="D21" s="393"/>
      <c r="E21" s="402"/>
      <c r="F21" s="227"/>
    </row>
    <row r="22" spans="1:8" ht="15" customHeight="1">
      <c r="A22" s="406"/>
      <c r="B22" s="385" t="s">
        <v>38</v>
      </c>
      <c r="C22" s="383"/>
      <c r="D22" s="383">
        <v>110</v>
      </c>
      <c r="E22" s="404"/>
      <c r="F22" s="227"/>
    </row>
    <row r="23" spans="1:8" ht="15" customHeight="1">
      <c r="A23" s="403"/>
      <c r="B23" s="385" t="s">
        <v>39</v>
      </c>
      <c r="C23" s="383"/>
      <c r="D23" s="383">
        <v>110</v>
      </c>
      <c r="E23" s="404"/>
      <c r="F23" s="227"/>
    </row>
    <row r="24" spans="1:8" ht="15" customHeight="1">
      <c r="A24" s="406"/>
      <c r="B24" s="385" t="s">
        <v>40</v>
      </c>
      <c r="C24" s="383"/>
      <c r="D24" s="383">
        <v>110</v>
      </c>
      <c r="E24" s="404"/>
      <c r="F24" s="227"/>
    </row>
    <row r="25" spans="1:8" ht="15" customHeight="1">
      <c r="A25" s="406"/>
      <c r="B25" s="385" t="s">
        <v>41</v>
      </c>
      <c r="C25" s="383"/>
      <c r="D25" s="383">
        <v>89</v>
      </c>
      <c r="E25" s="404"/>
      <c r="F25" s="227"/>
    </row>
    <row r="26" spans="1:8" ht="15" customHeight="1">
      <c r="A26" s="406"/>
      <c r="B26" s="385" t="s">
        <v>42</v>
      </c>
      <c r="C26" s="383"/>
      <c r="D26" s="383">
        <v>89</v>
      </c>
      <c r="E26" s="404"/>
      <c r="F26" s="227"/>
    </row>
    <row r="27" spans="1:8" ht="15" customHeight="1">
      <c r="A27" s="406"/>
      <c r="B27" s="385" t="s">
        <v>43</v>
      </c>
      <c r="C27" s="383"/>
      <c r="D27" s="383">
        <v>89</v>
      </c>
      <c r="E27" s="404"/>
      <c r="F27" s="227"/>
    </row>
    <row r="28" spans="1:8" ht="15" customHeight="1">
      <c r="A28" s="406"/>
      <c r="B28" s="385" t="s">
        <v>44</v>
      </c>
      <c r="C28" s="383"/>
      <c r="D28" s="383">
        <v>110</v>
      </c>
      <c r="E28" s="404"/>
      <c r="F28" s="227"/>
    </row>
    <row r="29" spans="1:8" ht="15" customHeight="1">
      <c r="A29" s="403"/>
      <c r="B29" s="385" t="s">
        <v>45</v>
      </c>
      <c r="C29" s="383"/>
      <c r="D29" s="383">
        <v>110</v>
      </c>
      <c r="E29" s="404"/>
      <c r="F29" s="227"/>
    </row>
    <row r="30" spans="1:8" ht="15" customHeight="1" thickBot="1">
      <c r="A30" s="407"/>
      <c r="B30" s="408"/>
      <c r="C30" s="408"/>
      <c r="D30" s="408"/>
      <c r="E30" s="409"/>
      <c r="F30" s="227"/>
    </row>
    <row r="31" spans="1:8" ht="15" customHeight="1">
      <c r="A31" s="395" t="s">
        <v>334</v>
      </c>
      <c r="B31" s="396"/>
      <c r="C31" s="396"/>
      <c r="D31" s="396"/>
      <c r="E31" s="396"/>
      <c r="F31" s="387"/>
      <c r="G31" s="387"/>
      <c r="H31" s="146"/>
    </row>
    <row r="32" spans="1:8" ht="15" customHeight="1">
      <c r="A32" s="386" t="s">
        <v>310</v>
      </c>
      <c r="B32" s="387"/>
      <c r="C32" s="387"/>
      <c r="D32" s="387"/>
      <c r="E32" s="387"/>
      <c r="F32" s="387"/>
      <c r="G32" s="387"/>
      <c r="H32" s="146"/>
    </row>
  </sheetData>
  <hyperlinks>
    <hyperlink ref="A32" r:id="rId1" location="Internet_Manual/constants.htm" xr:uid="{00000000-0004-0000-0D00-000000000000}"/>
  </hyperlinks>
  <pageMargins left="0.511811024" right="0.511811024" top="0.78740157499999996" bottom="0.78740157499999996" header="0.31496062000000002" footer="0.31496062000000002"/>
  <pageSetup paperSize="9"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1"/>
  <sheetViews>
    <sheetView topLeftCell="A16" zoomScale="90" zoomScaleNormal="90" workbookViewId="0"/>
  </sheetViews>
  <sheetFormatPr baseColWidth="10" defaultColWidth="9" defaultRowHeight="12.75"/>
  <cols>
    <col min="1" max="1" width="5.625" style="391" customWidth="1"/>
    <col min="2" max="4" width="15.625" style="391" customWidth="1"/>
    <col min="5" max="8" width="20.625" style="391" customWidth="1"/>
    <col min="9" max="9" width="86.125" style="391" customWidth="1"/>
    <col min="10" max="10" width="56" style="391" customWidth="1"/>
    <col min="11" max="16384" width="9" style="391"/>
  </cols>
  <sheetData>
    <row r="1" spans="1:10" ht="18">
      <c r="A1" s="389" t="s">
        <v>482</v>
      </c>
      <c r="I1" s="524" t="s">
        <v>496</v>
      </c>
      <c r="J1" s="524" t="s">
        <v>504</v>
      </c>
    </row>
    <row r="2" spans="1:10" ht="18">
      <c r="A2" s="1564" t="s">
        <v>498</v>
      </c>
      <c r="B2" s="1564"/>
      <c r="C2" s="1564"/>
      <c r="D2" s="1564"/>
      <c r="E2" s="1564"/>
      <c r="F2" s="1564"/>
    </row>
    <row r="3" spans="1:10" ht="29.25" customHeight="1">
      <c r="A3" s="1563" t="s">
        <v>258</v>
      </c>
      <c r="B3" s="1563"/>
      <c r="C3" s="1563"/>
      <c r="D3" s="1563"/>
      <c r="E3" s="3" t="s">
        <v>160</v>
      </c>
      <c r="F3" s="523">
        <v>0.2</v>
      </c>
      <c r="I3" s="390" t="s">
        <v>514</v>
      </c>
    </row>
    <row r="4" spans="1:10" ht="29.25" customHeight="1">
      <c r="A4" s="1564" t="s">
        <v>510</v>
      </c>
      <c r="B4" s="1564"/>
      <c r="C4" s="1564"/>
      <c r="D4" s="1564"/>
      <c r="E4" s="1564"/>
      <c r="F4" s="1564"/>
      <c r="I4" s="390"/>
    </row>
    <row r="5" spans="1:10" ht="29.25" customHeight="1">
      <c r="A5" s="1563" t="s">
        <v>505</v>
      </c>
      <c r="B5" s="1563"/>
      <c r="C5" s="1563"/>
      <c r="D5" s="1563"/>
      <c r="E5" s="3" t="s">
        <v>160</v>
      </c>
      <c r="F5" s="61"/>
      <c r="I5" s="390" t="s">
        <v>501</v>
      </c>
    </row>
    <row r="6" spans="1:10" ht="29.25" customHeight="1">
      <c r="A6" s="1564" t="s">
        <v>499</v>
      </c>
      <c r="B6" s="1564"/>
      <c r="C6" s="1564"/>
      <c r="D6" s="1564"/>
      <c r="E6" s="1564"/>
      <c r="F6" s="1564"/>
      <c r="I6" s="390"/>
    </row>
    <row r="7" spans="1:10" ht="29.25" customHeight="1">
      <c r="A7" s="1566" t="s">
        <v>500</v>
      </c>
      <c r="B7" s="1566"/>
      <c r="C7" s="1565" t="s">
        <v>509</v>
      </c>
      <c r="D7" s="1565"/>
      <c r="E7" s="1565"/>
      <c r="F7" s="1565"/>
      <c r="I7" s="390"/>
    </row>
    <row r="8" spans="1:10" ht="29.25" customHeight="1">
      <c r="A8" s="1567"/>
      <c r="B8" s="1567"/>
      <c r="C8" s="1567"/>
      <c r="D8" s="1567"/>
      <c r="E8" s="1567"/>
      <c r="F8" s="1567"/>
      <c r="I8" s="390" t="s">
        <v>502</v>
      </c>
    </row>
    <row r="9" spans="1:10" ht="29.25" customHeight="1">
      <c r="A9" s="1567"/>
      <c r="B9" s="1567"/>
      <c r="C9" s="1567"/>
      <c r="D9" s="1567"/>
      <c r="E9" s="1567"/>
      <c r="F9" s="1567"/>
      <c r="I9" s="390" t="s">
        <v>502</v>
      </c>
    </row>
    <row r="10" spans="1:10" ht="29.25" customHeight="1">
      <c r="A10" s="1567"/>
      <c r="B10" s="1567"/>
      <c r="C10" s="1567"/>
      <c r="D10" s="1567"/>
      <c r="E10" s="1567"/>
      <c r="F10" s="1567"/>
      <c r="I10" s="390" t="s">
        <v>502</v>
      </c>
    </row>
    <row r="13" spans="1:10" ht="18">
      <c r="A13" s="389" t="s">
        <v>511</v>
      </c>
    </row>
    <row r="14" spans="1:10">
      <c r="A14" s="435" t="s">
        <v>413</v>
      </c>
    </row>
    <row r="15" spans="1:10">
      <c r="A15" s="436" t="s">
        <v>445</v>
      </c>
    </row>
    <row r="16" spans="1:10">
      <c r="A16" s="437" t="s">
        <v>446</v>
      </c>
    </row>
    <row r="18" spans="1:10">
      <c r="A18" s="390" t="s">
        <v>481</v>
      </c>
    </row>
    <row r="19" spans="1:10">
      <c r="A19" s="390" t="s">
        <v>503</v>
      </c>
    </row>
    <row r="21" spans="1:10" ht="39.950000000000003" customHeight="1">
      <c r="A21" s="1" t="s">
        <v>412</v>
      </c>
      <c r="B21" s="232"/>
      <c r="C21" s="232"/>
      <c r="D21" s="232" t="s">
        <v>90</v>
      </c>
      <c r="E21" s="525" t="s">
        <v>405</v>
      </c>
      <c r="F21" s="525" t="s">
        <v>406</v>
      </c>
      <c r="G21" s="525" t="s">
        <v>497</v>
      </c>
      <c r="H21" s="232" t="s">
        <v>75</v>
      </c>
    </row>
    <row r="22" spans="1:10" ht="80.099999999999994" customHeight="1">
      <c r="A22" s="480" t="s">
        <v>78</v>
      </c>
      <c r="B22" s="526" t="s">
        <v>76</v>
      </c>
      <c r="C22" s="526"/>
      <c r="D22" s="526"/>
      <c r="E22" s="480"/>
      <c r="F22" s="526" t="s">
        <v>408</v>
      </c>
      <c r="G22" s="480" t="s">
        <v>409</v>
      </c>
      <c r="H22" s="526" t="s">
        <v>410</v>
      </c>
      <c r="I22" s="1562" t="s">
        <v>506</v>
      </c>
      <c r="J22" s="1562" t="s">
        <v>508</v>
      </c>
    </row>
    <row r="23" spans="1:10" ht="64.5" customHeight="1">
      <c r="A23" s="480"/>
      <c r="B23" s="526"/>
      <c r="C23" s="526"/>
      <c r="D23" s="526" t="s">
        <v>411</v>
      </c>
      <c r="E23" s="527">
        <f xml:space="preserve"> 0.2+0.02+0.01</f>
        <v>0.23</v>
      </c>
      <c r="F23" s="527">
        <f xml:space="preserve"> 0.2 + 0.01</f>
        <v>0.21000000000000002</v>
      </c>
      <c r="G23" s="527">
        <f xml:space="preserve"> 0.2 +0.02</f>
        <v>0.22</v>
      </c>
      <c r="H23" s="527">
        <f xml:space="preserve"> 0.2</f>
        <v>0.2</v>
      </c>
      <c r="I23" s="1562"/>
      <c r="J23" s="1562"/>
    </row>
    <row r="24" spans="1:10" ht="60" customHeight="1">
      <c r="A24" s="480" t="s">
        <v>79</v>
      </c>
      <c r="B24" s="526" t="s">
        <v>77</v>
      </c>
      <c r="C24" s="526" t="s">
        <v>407</v>
      </c>
      <c r="D24" s="526"/>
      <c r="E24" s="480"/>
      <c r="F24" s="526" t="s">
        <v>408</v>
      </c>
      <c r="G24" s="480" t="s">
        <v>409</v>
      </c>
      <c r="H24" s="526" t="s">
        <v>410</v>
      </c>
      <c r="I24" s="1562" t="s">
        <v>507</v>
      </c>
      <c r="J24" s="1562"/>
    </row>
    <row r="25" spans="1:10" ht="60" customHeight="1">
      <c r="A25" s="480"/>
      <c r="B25" s="480"/>
      <c r="C25" s="528">
        <v>0.15</v>
      </c>
      <c r="D25" s="526" t="s">
        <v>411</v>
      </c>
      <c r="E25" s="529">
        <f xml:space="preserve"> 0.2 + 0.0115*($C$25*100 - 10) + 0.01 + 0.02</f>
        <v>0.28750000000000003</v>
      </c>
      <c r="F25" s="529">
        <f xml:space="preserve"> 0.2 + 0.0115*($C$25*100 - 10) +0.01</f>
        <v>0.26750000000000002</v>
      </c>
      <c r="G25" s="529">
        <f xml:space="preserve"> 0.2 + 0.0115*($C$25*100 - 10)+0.02</f>
        <v>0.27750000000000002</v>
      </c>
      <c r="H25" s="529">
        <f xml:space="preserve"> 0.2 + 0.0115*($C$25*100 - 10)</f>
        <v>0.25750000000000001</v>
      </c>
      <c r="I25" s="1562"/>
      <c r="J25" s="1562"/>
    </row>
    <row r="27" spans="1:10">
      <c r="I27" s="522"/>
    </row>
    <row r="30" spans="1:10">
      <c r="I30" s="521"/>
    </row>
    <row r="31" spans="1:10">
      <c r="A31" s="434"/>
    </row>
  </sheetData>
  <mergeCells count="16">
    <mergeCell ref="J22:J25"/>
    <mergeCell ref="I22:I23"/>
    <mergeCell ref="I24:I25"/>
    <mergeCell ref="A3:D3"/>
    <mergeCell ref="A2:F2"/>
    <mergeCell ref="A4:F4"/>
    <mergeCell ref="A5:D5"/>
    <mergeCell ref="A6:F6"/>
    <mergeCell ref="C7:F7"/>
    <mergeCell ref="A7:B7"/>
    <mergeCell ref="A8:B8"/>
    <mergeCell ref="C8:F8"/>
    <mergeCell ref="A10:B10"/>
    <mergeCell ref="C10:F10"/>
    <mergeCell ref="A9:B9"/>
    <mergeCell ref="C9:F9"/>
  </mergeCells>
  <hyperlinks>
    <hyperlink ref="A16" r:id="rId1" tooltip="Persistent link using digital object identifier" xr:uid="{00000000-0004-0000-0E00-000000000000}"/>
    <hyperlink ref="A15" r:id="rId2" xr:uid="{00000000-0004-0000-0E00-000001000000}"/>
  </hyperlinks>
  <pageMargins left="0.7" right="0.7" top="0.75" bottom="0.75" header="0.3" footer="0.3"/>
  <pageSetup paperSize="9"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2"/>
  <sheetViews>
    <sheetView zoomScale="90" zoomScaleNormal="90" workbookViewId="0">
      <pane xSplit="5" ySplit="8" topLeftCell="F9" activePane="bottomRight" state="frozen"/>
      <selection pane="topRight" activeCell="F1" sqref="F1"/>
      <selection pane="bottomLeft" activeCell="A9" sqref="A9"/>
      <selection pane="bottomRight" activeCell="F12" sqref="F12"/>
    </sheetView>
  </sheetViews>
  <sheetFormatPr baseColWidth="10" defaultColWidth="9" defaultRowHeight="15" outlineLevelRow="1"/>
  <cols>
    <col min="1" max="1" width="2.625" style="78" customWidth="1"/>
    <col min="2" max="2" width="5.625" style="152" customWidth="1"/>
    <col min="3" max="3" width="15.625" style="78" customWidth="1"/>
    <col min="4" max="4" width="45.625" style="78" customWidth="1"/>
    <col min="5" max="5" width="15.625" style="153" customWidth="1"/>
    <col min="6" max="6" width="67.125" style="78" customWidth="1"/>
    <col min="7" max="9" width="10.625" style="78" customWidth="1"/>
    <col min="10" max="16384" width="9" style="78"/>
  </cols>
  <sheetData>
    <row r="1" spans="1:13" s="6" customFormat="1" ht="15" customHeight="1" outlineLevel="1">
      <c r="A1" s="134"/>
      <c r="B1" s="135"/>
      <c r="C1" s="136"/>
      <c r="D1" s="137"/>
      <c r="E1" s="142"/>
      <c r="F1" s="8"/>
    </row>
    <row r="2" spans="1:13" s="6" customFormat="1" ht="15" customHeight="1" outlineLevel="1">
      <c r="A2" s="138"/>
      <c r="B2" s="139"/>
      <c r="C2" s="140"/>
      <c r="D2" s="141"/>
      <c r="E2" s="142"/>
      <c r="F2" s="8"/>
    </row>
    <row r="3" spans="1:13" s="6" customFormat="1" ht="15" customHeight="1" outlineLevel="1">
      <c r="A3" s="138"/>
      <c r="B3" s="143"/>
      <c r="C3" s="140"/>
      <c r="D3" s="141"/>
      <c r="E3" s="142"/>
      <c r="F3" s="8"/>
    </row>
    <row r="4" spans="1:13" s="6" customFormat="1" ht="15" customHeight="1" outlineLevel="1">
      <c r="A4" s="138"/>
      <c r="B4" s="143"/>
      <c r="C4" s="140"/>
      <c r="D4" s="141"/>
      <c r="E4" s="142"/>
      <c r="F4" s="8"/>
    </row>
    <row r="5" spans="1:13" s="6" customFormat="1" ht="15" customHeight="1" outlineLevel="1">
      <c r="A5" s="138"/>
      <c r="B5" s="143"/>
      <c r="C5" s="140"/>
      <c r="D5" s="141"/>
      <c r="E5" s="142"/>
      <c r="F5" s="8"/>
    </row>
    <row r="6" spans="1:13" s="6" customFormat="1" ht="15" customHeight="1" outlineLevel="1">
      <c r="A6" s="138"/>
      <c r="B6" s="143"/>
      <c r="C6" s="140"/>
      <c r="D6" s="141"/>
      <c r="E6" s="142"/>
      <c r="F6" s="8"/>
    </row>
    <row r="7" spans="1:13" s="6" customFormat="1" ht="24.95" customHeight="1">
      <c r="A7" s="144"/>
      <c r="B7" s="125" t="str">
        <f>'Whole life model'!B7</f>
        <v xml:space="preserve">GCCA Roadmap Template </v>
      </c>
      <c r="C7" s="145"/>
      <c r="D7" s="125" t="str">
        <f>'Whole life model'!D7</f>
        <v>Version 202, 19.07.2022, ECRA</v>
      </c>
      <c r="E7" s="142"/>
      <c r="F7" s="9"/>
    </row>
    <row r="8" spans="1:13" s="76" customFormat="1" ht="24.95" customHeight="1" thickBot="1">
      <c r="A8" s="130"/>
      <c r="B8" s="183" t="s">
        <v>556</v>
      </c>
      <c r="C8" s="625" t="s">
        <v>555</v>
      </c>
      <c r="D8" s="130" t="s">
        <v>97</v>
      </c>
      <c r="E8" s="157" t="s">
        <v>560</v>
      </c>
      <c r="F8" s="130" t="s">
        <v>572</v>
      </c>
      <c r="L8" s="131"/>
      <c r="M8" s="130"/>
    </row>
    <row r="9" spans="1:13" s="46" customFormat="1" ht="39.950000000000003" customHeight="1" thickTop="1">
      <c r="A9" s="629" t="s">
        <v>563</v>
      </c>
      <c r="B9" s="626" t="s">
        <v>557</v>
      </c>
      <c r="C9" s="628">
        <v>44154</v>
      </c>
      <c r="D9" s="306" t="s">
        <v>558</v>
      </c>
      <c r="E9" s="307" t="s">
        <v>561</v>
      </c>
      <c r="F9" s="15" t="s">
        <v>562</v>
      </c>
      <c r="L9" s="181"/>
      <c r="M9" s="15"/>
    </row>
    <row r="10" spans="1:13" s="166" customFormat="1" ht="120" customHeight="1">
      <c r="A10" s="630" t="s">
        <v>563</v>
      </c>
      <c r="B10" s="626" t="s">
        <v>820</v>
      </c>
      <c r="C10" s="628" t="s">
        <v>822</v>
      </c>
      <c r="D10" s="306" t="s">
        <v>559</v>
      </c>
      <c r="E10" s="307" t="s">
        <v>561</v>
      </c>
      <c r="F10" s="15" t="s">
        <v>792</v>
      </c>
      <c r="G10" s="46"/>
    </row>
    <row r="11" spans="1:13" s="166" customFormat="1" ht="42.75" customHeight="1">
      <c r="A11" s="630" t="s">
        <v>563</v>
      </c>
      <c r="B11" s="626" t="s">
        <v>821</v>
      </c>
      <c r="C11" s="628">
        <v>44182</v>
      </c>
      <c r="D11" s="306" t="s">
        <v>559</v>
      </c>
      <c r="E11" s="307" t="s">
        <v>561</v>
      </c>
      <c r="F11" s="15" t="s">
        <v>823</v>
      </c>
      <c r="G11" s="46"/>
    </row>
    <row r="12" spans="1:13" ht="14.25">
      <c r="B12" s="627"/>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Hojas de cálculo</vt:lpstr>
      </vt:variant>
      <vt:variant>
        <vt:i4>34</vt:i4>
      </vt:variant>
      <vt:variant>
        <vt:lpstr>Gráficos</vt:lpstr>
      </vt:variant>
      <vt:variant>
        <vt:i4>5</vt:i4>
      </vt:variant>
      <vt:variant>
        <vt:lpstr>Rangos con nombre</vt:lpstr>
      </vt:variant>
      <vt:variant>
        <vt:i4>1</vt:i4>
      </vt:variant>
    </vt:vector>
  </HeadingPairs>
  <TitlesOfParts>
    <vt:vector size="40" baseType="lpstr">
      <vt:lpstr>2030</vt:lpstr>
      <vt:lpstr>LB</vt:lpstr>
      <vt:lpstr>Eje 1-1</vt:lpstr>
      <vt:lpstr>Eje 1-2</vt:lpstr>
      <vt:lpstr>Eje 2</vt:lpstr>
      <vt:lpstr>Eje 3</vt:lpstr>
      <vt:lpstr>Eje 4</vt:lpstr>
      <vt:lpstr>Eje 5</vt:lpstr>
      <vt:lpstr>Eje Coproc</vt:lpstr>
      <vt:lpstr>Eje 6</vt:lpstr>
      <vt:lpstr>Eje 7</vt:lpstr>
      <vt:lpstr>Eje 8</vt:lpstr>
      <vt:lpstr>Eje 9-10-11</vt:lpstr>
      <vt:lpstr>CCUS</vt:lpstr>
      <vt:lpstr>Resumen Ejes de Reduccion</vt:lpstr>
      <vt:lpstr>Whole life model</vt:lpstr>
      <vt:lpstr>Waterfall data</vt:lpstr>
      <vt:lpstr>0.2 Share of concrete</vt:lpstr>
      <vt:lpstr>4.1 Design &amp; Construction</vt:lpstr>
      <vt:lpstr>1.2 Clinker EF</vt:lpstr>
      <vt:lpstr>2.2 &amp; 2.4.2 Cement &amp; Binder</vt:lpstr>
      <vt:lpstr>3.1 Concrete production</vt:lpstr>
      <vt:lpstr>User_notes</vt:lpstr>
      <vt:lpstr>Argentina</vt:lpstr>
      <vt:lpstr>Ejes HR</vt:lpstr>
      <vt:lpstr>Graficos</vt:lpstr>
      <vt:lpstr>User_calculations</vt:lpstr>
      <vt:lpstr>Stacked areas data</vt:lpstr>
      <vt:lpstr>Stacked bar and box data</vt:lpstr>
      <vt:lpstr>Info Society demand</vt:lpstr>
      <vt:lpstr>Info Regions Countries</vt:lpstr>
      <vt:lpstr>Info Clinker Fuel EF</vt:lpstr>
      <vt:lpstr>Info Recarbonation</vt:lpstr>
      <vt:lpstr>Info Template versions</vt:lpstr>
      <vt:lpstr>Waterfall 2050</vt:lpstr>
      <vt:lpstr>Waterfall 2030</vt:lpstr>
      <vt:lpstr>Stacked area 2020 to 2050</vt:lpstr>
      <vt:lpstr>Stacked bar 2050</vt:lpstr>
      <vt:lpstr>Box chart 2050</vt:lpstr>
      <vt:lpstr>'4.1 Design &amp; Construction'!_GoBack</vt:lpstr>
    </vt:vector>
  </TitlesOfParts>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2021-07-12T12:53:01Z</dcterms:created>
  <dcterms:modified xsi:type="dcterms:W3CDTF">2025-11-14T15:31:02Z</dcterms:modified>
</cp:coreProperties>
</file>