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klukaszewicz_worldbank_org/Documents/Desktop/"/>
    </mc:Choice>
  </mc:AlternateContent>
  <xr:revisionPtr revIDLastSave="13" documentId="8_{7C91534B-08EA-4F4E-B765-A3A1E0B44AE8}" xr6:coauthVersionLast="47" xr6:coauthVersionMax="47" xr10:uidLastSave="{D08A5124-1A42-4653-A97D-3ADDD9645909}"/>
  <bookViews>
    <workbookView xWindow="38280" yWindow="-120" windowWidth="29040" windowHeight="15720" xr2:uid="{70D7656C-F2E5-4903-AC60-DA8E7080851F}"/>
  </bookViews>
  <sheets>
    <sheet name="Standard paste" sheetId="1" r:id="rId1"/>
    <sheet name="Pasted as values" sheetId="2" r:id="rId2"/>
  </sheets>
  <externalReferences>
    <externalReference r:id="rId3"/>
  </externalReferences>
  <definedNames>
    <definedName name="_Country_code">[1]Dashboard!$Z$6</definedName>
    <definedName name="MSTScenarioID">[1]MTInputs!$D$10</definedName>
    <definedName name="MTAct">[1]MTInputs!$C$5</definedName>
    <definedName name="ResultsYear">[1]MTInputs!$F$115</definedName>
    <definedName name="ScenarioNum">[1]Dashboard!$Z$10</definedName>
    <definedName name="ScenarioSelected">[1]MTInputs!$F$13</definedName>
    <definedName name="YearDistn">[1]MTInputs!$F$186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6" i="1" l="1"/>
  <c r="D1339" i="1"/>
  <c r="D1338" i="1"/>
  <c r="D1337" i="1"/>
  <c r="D1336" i="1"/>
  <c r="D1335" i="1"/>
  <c r="D1334" i="1"/>
  <c r="D1333" i="1"/>
  <c r="D1332" i="1"/>
  <c r="G1332" i="1" s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G1308" i="1" s="1"/>
  <c r="D1307" i="1"/>
  <c r="G1307" i="1" s="1"/>
  <c r="D1306" i="1"/>
  <c r="D1305" i="1"/>
  <c r="D1304" i="1"/>
  <c r="D1303" i="1"/>
  <c r="D1302" i="1"/>
  <c r="D1301" i="1"/>
  <c r="D1300" i="1"/>
  <c r="D1299" i="1"/>
  <c r="D1298" i="1"/>
  <c r="D1297" i="1"/>
  <c r="D1296" i="1"/>
  <c r="G1296" i="1" s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G1281" i="1" s="1"/>
  <c r="D1280" i="1"/>
  <c r="D1279" i="1"/>
  <c r="D1278" i="1"/>
  <c r="D1277" i="1"/>
  <c r="D1276" i="1"/>
  <c r="D1275" i="1"/>
  <c r="D1274" i="1"/>
  <c r="D1273" i="1"/>
  <c r="D1272" i="1"/>
  <c r="G1272" i="1" s="1"/>
  <c r="D1271" i="1"/>
  <c r="G1271" i="1" s="1"/>
  <c r="D1270" i="1"/>
  <c r="D1269" i="1"/>
  <c r="D1268" i="1"/>
  <c r="D1267" i="1"/>
  <c r="D1266" i="1"/>
  <c r="D1265" i="1"/>
  <c r="D1264" i="1"/>
  <c r="D1263" i="1"/>
  <c r="D1262" i="1"/>
  <c r="D1261" i="1"/>
  <c r="D1260" i="1"/>
  <c r="G1260" i="1" s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G1248" i="1" s="1"/>
  <c r="D1247" i="1"/>
  <c r="D1246" i="1"/>
  <c r="D1245" i="1"/>
  <c r="D1244" i="1"/>
  <c r="D1242" i="1"/>
  <c r="D1241" i="1"/>
  <c r="G1241" i="1" s="1"/>
  <c r="D1240" i="1"/>
  <c r="D1239" i="1"/>
  <c r="D1238" i="1"/>
  <c r="D1237" i="1"/>
  <c r="G1237" i="1" s="1"/>
  <c r="D1236" i="1"/>
  <c r="G1236" i="1" s="1"/>
  <c r="D1235" i="1"/>
  <c r="G1235" i="1" s="1"/>
  <c r="D1234" i="1"/>
  <c r="G1234" i="1" s="1"/>
  <c r="D1233" i="1"/>
  <c r="G1233" i="1" s="1"/>
  <c r="D1232" i="1"/>
  <c r="G1232" i="1" s="1"/>
  <c r="D1231" i="1"/>
  <c r="G1231" i="1" s="1"/>
  <c r="D1230" i="1"/>
  <c r="D1229" i="1"/>
  <c r="G1229" i="1" s="1"/>
  <c r="D1228" i="1"/>
  <c r="D1227" i="1"/>
  <c r="D1226" i="1"/>
  <c r="D1225" i="1"/>
  <c r="G1225" i="1" s="1"/>
  <c r="D1224" i="1"/>
  <c r="G1224" i="1" s="1"/>
  <c r="D1223" i="1"/>
  <c r="G1223" i="1" s="1"/>
  <c r="D1222" i="1"/>
  <c r="G1222" i="1" s="1"/>
  <c r="D1221" i="1"/>
  <c r="G1221" i="1" s="1"/>
  <c r="D1220" i="1"/>
  <c r="G1220" i="1" s="1"/>
  <c r="D1219" i="1"/>
  <c r="G1219" i="1" s="1"/>
  <c r="D1218" i="1"/>
  <c r="D1217" i="1"/>
  <c r="G1217" i="1" s="1"/>
  <c r="D1216" i="1"/>
  <c r="D1214" i="1"/>
  <c r="D1213" i="1"/>
  <c r="D1212" i="1"/>
  <c r="G1212" i="1" s="1"/>
  <c r="D1211" i="1"/>
  <c r="G1211" i="1" s="1"/>
  <c r="D1210" i="1"/>
  <c r="G1210" i="1" s="1"/>
  <c r="D1209" i="1"/>
  <c r="G1209" i="1" s="1"/>
  <c r="D1208" i="1"/>
  <c r="G1208" i="1" s="1"/>
  <c r="D1207" i="1"/>
  <c r="G1207" i="1" s="1"/>
  <c r="D1206" i="1"/>
  <c r="G1206" i="1" s="1"/>
  <c r="D1205" i="1"/>
  <c r="D1204" i="1"/>
  <c r="D1203" i="1"/>
  <c r="G1203" i="1" s="1"/>
  <c r="D1202" i="1"/>
  <c r="D1201" i="1"/>
  <c r="D1200" i="1"/>
  <c r="G1200" i="1" s="1"/>
  <c r="D1199" i="1"/>
  <c r="D1198" i="1"/>
  <c r="G1198" i="1" s="1"/>
  <c r="D1197" i="1"/>
  <c r="G1197" i="1" s="1"/>
  <c r="D1196" i="1"/>
  <c r="G1196" i="1" s="1"/>
  <c r="D1195" i="1"/>
  <c r="G1195" i="1" s="1"/>
  <c r="D1194" i="1"/>
  <c r="G1194" i="1" s="1"/>
  <c r="D1193" i="1"/>
  <c r="D1192" i="1"/>
  <c r="D1191" i="1"/>
  <c r="G1191" i="1" s="1"/>
  <c r="D1190" i="1"/>
  <c r="D1189" i="1"/>
  <c r="D1188" i="1"/>
  <c r="G1188" i="1" s="1"/>
  <c r="D1187" i="1"/>
  <c r="G1187" i="1" s="1"/>
  <c r="D1186" i="1"/>
  <c r="G1186" i="1" s="1"/>
  <c r="D1185" i="1"/>
  <c r="G1185" i="1" s="1"/>
  <c r="D1184" i="1"/>
  <c r="G1184" i="1" s="1"/>
  <c r="D1183" i="1"/>
  <c r="G1183" i="1" s="1"/>
  <c r="D1169" i="1"/>
  <c r="G1169" i="1" s="1"/>
  <c r="D1168" i="1"/>
  <c r="D1167" i="1"/>
  <c r="D1166" i="1"/>
  <c r="D1165" i="1"/>
  <c r="D1164" i="1"/>
  <c r="D1163" i="1"/>
  <c r="D1162" i="1"/>
  <c r="G1162" i="1" s="1"/>
  <c r="D1161" i="1"/>
  <c r="G1161" i="1" s="1"/>
  <c r="D1160" i="1"/>
  <c r="G1160" i="1" s="1"/>
  <c r="D1159" i="1"/>
  <c r="G1159" i="1" s="1"/>
  <c r="D1158" i="1"/>
  <c r="G1158" i="1" s="1"/>
  <c r="D962" i="1"/>
  <c r="G962" i="1" s="1"/>
  <c r="D961" i="1"/>
  <c r="D960" i="1"/>
  <c r="G960" i="1" s="1"/>
  <c r="D907" i="1"/>
  <c r="D906" i="1"/>
  <c r="D905" i="1"/>
  <c r="D904" i="1"/>
  <c r="G904" i="1" s="1"/>
  <c r="D903" i="1"/>
  <c r="G903" i="1" s="1"/>
  <c r="D902" i="1"/>
  <c r="G902" i="1" s="1"/>
  <c r="D901" i="1"/>
  <c r="G901" i="1" s="1"/>
  <c r="D900" i="1"/>
  <c r="G900" i="1" s="1"/>
  <c r="D899" i="1"/>
  <c r="G899" i="1" s="1"/>
  <c r="D898" i="1"/>
  <c r="G898" i="1" s="1"/>
  <c r="D897" i="1"/>
  <c r="D420" i="1"/>
  <c r="D419" i="1"/>
  <c r="D418" i="1"/>
  <c r="D417" i="1"/>
  <c r="D416" i="1"/>
  <c r="D415" i="1"/>
  <c r="D414" i="1"/>
  <c r="D413" i="1"/>
  <c r="D412" i="1"/>
  <c r="D411" i="1"/>
  <c r="D109" i="1"/>
  <c r="G109" i="1" s="1"/>
  <c r="D107" i="1"/>
  <c r="D106" i="1"/>
  <c r="D105" i="1"/>
  <c r="D104" i="1"/>
  <c r="D103" i="1"/>
  <c r="D102" i="1"/>
  <c r="G102" i="1" s="1"/>
  <c r="D101" i="1"/>
  <c r="D100" i="1"/>
  <c r="G100" i="1" s="1"/>
  <c r="D99" i="1"/>
  <c r="G99" i="1" s="1"/>
  <c r="D98" i="1"/>
  <c r="G98" i="1" s="1"/>
  <c r="D97" i="1"/>
  <c r="G97" i="1" s="1"/>
  <c r="D96" i="1"/>
  <c r="G96" i="1" s="1"/>
  <c r="D95" i="1"/>
  <c r="D94" i="1"/>
  <c r="D93" i="1"/>
  <c r="D92" i="1"/>
  <c r="D91" i="1"/>
  <c r="G90" i="1"/>
  <c r="D23" i="1"/>
  <c r="G23" i="1" s="1"/>
  <c r="D22" i="1"/>
  <c r="G22" i="1" s="1"/>
  <c r="D16" i="1"/>
  <c r="G16" i="1" s="1"/>
  <c r="U1340" i="1"/>
  <c r="P1340" i="1"/>
  <c r="G1339" i="1"/>
  <c r="E1339" i="1"/>
  <c r="I1339" i="1" s="1"/>
  <c r="G1338" i="1"/>
  <c r="F1338" i="1"/>
  <c r="E1338" i="1"/>
  <c r="I1338" i="1" s="1"/>
  <c r="F1337" i="1"/>
  <c r="E1337" i="1"/>
  <c r="I1337" i="1" s="1"/>
  <c r="G1337" i="1" s="1"/>
  <c r="F1336" i="1"/>
  <c r="E1336" i="1"/>
  <c r="I1336" i="1" s="1"/>
  <c r="G1336" i="1" s="1"/>
  <c r="G1335" i="1"/>
  <c r="F1335" i="1"/>
  <c r="E1335" i="1"/>
  <c r="I1335" i="1" s="1"/>
  <c r="F1334" i="1"/>
  <c r="E1334" i="1"/>
  <c r="I1334" i="1" s="1"/>
  <c r="F1333" i="1"/>
  <c r="E1333" i="1"/>
  <c r="I1333" i="1" s="1"/>
  <c r="F1332" i="1"/>
  <c r="E1332" i="1"/>
  <c r="I1332" i="1" s="1"/>
  <c r="F1331" i="1"/>
  <c r="E1331" i="1"/>
  <c r="I1331" i="1" s="1"/>
  <c r="F1330" i="1"/>
  <c r="E1330" i="1"/>
  <c r="I1330" i="1" s="1"/>
  <c r="F1329" i="1"/>
  <c r="E1329" i="1"/>
  <c r="I1329" i="1" s="1"/>
  <c r="F1328" i="1"/>
  <c r="E1328" i="1"/>
  <c r="I1328" i="1" s="1"/>
  <c r="F1327" i="1"/>
  <c r="E1327" i="1"/>
  <c r="I1327" i="1" s="1"/>
  <c r="G1327" i="1" s="1"/>
  <c r="F1326" i="1"/>
  <c r="E1326" i="1"/>
  <c r="I1326" i="1" s="1"/>
  <c r="G1326" i="1" s="1"/>
  <c r="F1325" i="1"/>
  <c r="E1325" i="1"/>
  <c r="I1325" i="1" s="1"/>
  <c r="G1325" i="1" s="1"/>
  <c r="F1324" i="1"/>
  <c r="E1324" i="1"/>
  <c r="I1324" i="1" s="1"/>
  <c r="G1324" i="1" s="1"/>
  <c r="F1323" i="1"/>
  <c r="E1323" i="1"/>
  <c r="I1323" i="1" s="1"/>
  <c r="G1323" i="1" s="1"/>
  <c r="F1322" i="1"/>
  <c r="E1322" i="1"/>
  <c r="I1322" i="1" s="1"/>
  <c r="F1321" i="1"/>
  <c r="E1321" i="1"/>
  <c r="I1321" i="1" s="1"/>
  <c r="F1320" i="1"/>
  <c r="E1320" i="1"/>
  <c r="I1320" i="1" s="1"/>
  <c r="F1319" i="1"/>
  <c r="E1319" i="1"/>
  <c r="I1319" i="1" s="1"/>
  <c r="F1318" i="1"/>
  <c r="E1318" i="1"/>
  <c r="I1318" i="1" s="1"/>
  <c r="F1317" i="1"/>
  <c r="E1317" i="1"/>
  <c r="I1317" i="1" s="1"/>
  <c r="F1316" i="1"/>
  <c r="E1316" i="1"/>
  <c r="I1316" i="1" s="1"/>
  <c r="F1315" i="1"/>
  <c r="E1315" i="1"/>
  <c r="I1315" i="1" s="1"/>
  <c r="G1315" i="1" s="1"/>
  <c r="F1314" i="1"/>
  <c r="E1314" i="1"/>
  <c r="I1314" i="1" s="1"/>
  <c r="G1314" i="1" s="1"/>
  <c r="F1313" i="1"/>
  <c r="E1313" i="1"/>
  <c r="I1313" i="1" s="1"/>
  <c r="G1313" i="1" s="1"/>
  <c r="F1312" i="1"/>
  <c r="E1312" i="1"/>
  <c r="I1312" i="1" s="1"/>
  <c r="F1311" i="1"/>
  <c r="E1311" i="1"/>
  <c r="I1311" i="1" s="1"/>
  <c r="G1311" i="1" s="1"/>
  <c r="F1310" i="1"/>
  <c r="E1310" i="1"/>
  <c r="I1310" i="1" s="1"/>
  <c r="F1309" i="1"/>
  <c r="E1309" i="1"/>
  <c r="I1309" i="1" s="1"/>
  <c r="F1308" i="1"/>
  <c r="E1308" i="1"/>
  <c r="I1308" i="1" s="1"/>
  <c r="I1307" i="1"/>
  <c r="F1307" i="1"/>
  <c r="E1307" i="1"/>
  <c r="F1306" i="1"/>
  <c r="E1306" i="1"/>
  <c r="I1306" i="1" s="1"/>
  <c r="F1305" i="1"/>
  <c r="E1305" i="1"/>
  <c r="I1305" i="1" s="1"/>
  <c r="F1304" i="1"/>
  <c r="E1304" i="1"/>
  <c r="I1304" i="1" s="1"/>
  <c r="F1303" i="1"/>
  <c r="E1303" i="1"/>
  <c r="I1303" i="1" s="1"/>
  <c r="G1303" i="1" s="1"/>
  <c r="F1302" i="1"/>
  <c r="E1302" i="1"/>
  <c r="I1302" i="1" s="1"/>
  <c r="G1302" i="1" s="1"/>
  <c r="F1301" i="1"/>
  <c r="E1301" i="1"/>
  <c r="I1301" i="1" s="1"/>
  <c r="G1301" i="1" s="1"/>
  <c r="F1300" i="1"/>
  <c r="E1300" i="1"/>
  <c r="I1300" i="1" s="1"/>
  <c r="G1300" i="1" s="1"/>
  <c r="G1299" i="1"/>
  <c r="F1299" i="1"/>
  <c r="E1299" i="1"/>
  <c r="I1299" i="1" s="1"/>
  <c r="I1298" i="1"/>
  <c r="F1298" i="1"/>
  <c r="E1298" i="1"/>
  <c r="F1297" i="1"/>
  <c r="E1297" i="1"/>
  <c r="I1297" i="1" s="1"/>
  <c r="F1296" i="1"/>
  <c r="E1296" i="1"/>
  <c r="I1296" i="1" s="1"/>
  <c r="F1295" i="1"/>
  <c r="E1295" i="1"/>
  <c r="I1295" i="1" s="1"/>
  <c r="F1294" i="1"/>
  <c r="E1294" i="1"/>
  <c r="I1294" i="1" s="1"/>
  <c r="F1293" i="1"/>
  <c r="E1293" i="1"/>
  <c r="I1293" i="1" s="1"/>
  <c r="F1292" i="1"/>
  <c r="E1292" i="1"/>
  <c r="I1292" i="1" s="1"/>
  <c r="F1291" i="1"/>
  <c r="E1291" i="1"/>
  <c r="I1291" i="1" s="1"/>
  <c r="G1291" i="1" s="1"/>
  <c r="F1290" i="1"/>
  <c r="E1290" i="1"/>
  <c r="I1290" i="1" s="1"/>
  <c r="G1290" i="1" s="1"/>
  <c r="I1289" i="1"/>
  <c r="G1289" i="1" s="1"/>
  <c r="F1289" i="1"/>
  <c r="E1289" i="1"/>
  <c r="F1288" i="1"/>
  <c r="E1288" i="1"/>
  <c r="I1288" i="1" s="1"/>
  <c r="G1288" i="1" s="1"/>
  <c r="F1287" i="1"/>
  <c r="E1287" i="1"/>
  <c r="I1287" i="1" s="1"/>
  <c r="G1287" i="1" s="1"/>
  <c r="F1286" i="1"/>
  <c r="E1286" i="1"/>
  <c r="I1286" i="1" s="1"/>
  <c r="F1285" i="1"/>
  <c r="E1285" i="1"/>
  <c r="I1285" i="1" s="1"/>
  <c r="F1284" i="1"/>
  <c r="E1284" i="1"/>
  <c r="I1284" i="1" s="1"/>
  <c r="F1283" i="1"/>
  <c r="E1283" i="1"/>
  <c r="I1283" i="1" s="1"/>
  <c r="F1282" i="1"/>
  <c r="E1282" i="1"/>
  <c r="I1282" i="1" s="1"/>
  <c r="F1281" i="1"/>
  <c r="E1281" i="1"/>
  <c r="I1281" i="1" s="1"/>
  <c r="F1280" i="1"/>
  <c r="E1280" i="1"/>
  <c r="I1280" i="1" s="1"/>
  <c r="F1279" i="1"/>
  <c r="E1279" i="1"/>
  <c r="I1279" i="1" s="1"/>
  <c r="G1279" i="1" s="1"/>
  <c r="G1278" i="1"/>
  <c r="F1278" i="1"/>
  <c r="E1278" i="1"/>
  <c r="I1278" i="1" s="1"/>
  <c r="I1277" i="1"/>
  <c r="G1277" i="1" s="1"/>
  <c r="F1277" i="1"/>
  <c r="E1277" i="1"/>
  <c r="F1276" i="1"/>
  <c r="E1276" i="1"/>
  <c r="I1276" i="1" s="1"/>
  <c r="F1275" i="1"/>
  <c r="E1275" i="1"/>
  <c r="I1275" i="1" s="1"/>
  <c r="G1275" i="1" s="1"/>
  <c r="F1274" i="1"/>
  <c r="E1274" i="1"/>
  <c r="I1274" i="1" s="1"/>
  <c r="F1273" i="1"/>
  <c r="E1273" i="1"/>
  <c r="I1273" i="1" s="1"/>
  <c r="F1272" i="1"/>
  <c r="E1272" i="1"/>
  <c r="I1272" i="1" s="1"/>
  <c r="F1271" i="1"/>
  <c r="E1271" i="1"/>
  <c r="I1271" i="1" s="1"/>
  <c r="F1270" i="1"/>
  <c r="E1270" i="1"/>
  <c r="I1270" i="1" s="1"/>
  <c r="F1269" i="1"/>
  <c r="E1269" i="1"/>
  <c r="I1269" i="1" s="1"/>
  <c r="F1268" i="1"/>
  <c r="E1268" i="1"/>
  <c r="I1268" i="1" s="1"/>
  <c r="F1267" i="1"/>
  <c r="E1267" i="1"/>
  <c r="I1267" i="1" s="1"/>
  <c r="G1267" i="1" s="1"/>
  <c r="F1266" i="1"/>
  <c r="E1266" i="1"/>
  <c r="I1266" i="1" s="1"/>
  <c r="G1266" i="1" s="1"/>
  <c r="F1265" i="1"/>
  <c r="E1265" i="1"/>
  <c r="I1265" i="1" s="1"/>
  <c r="G1265" i="1" s="1"/>
  <c r="F1264" i="1"/>
  <c r="E1264" i="1"/>
  <c r="I1264" i="1" s="1"/>
  <c r="G1264" i="1" s="1"/>
  <c r="F1263" i="1"/>
  <c r="E1263" i="1"/>
  <c r="I1263" i="1" s="1"/>
  <c r="G1263" i="1" s="1"/>
  <c r="I1262" i="1"/>
  <c r="F1262" i="1"/>
  <c r="E1262" i="1"/>
  <c r="F1261" i="1"/>
  <c r="E1261" i="1"/>
  <c r="I1261" i="1" s="1"/>
  <c r="F1260" i="1"/>
  <c r="E1260" i="1"/>
  <c r="I1260" i="1" s="1"/>
  <c r="F1259" i="1"/>
  <c r="E1259" i="1"/>
  <c r="I1259" i="1" s="1"/>
  <c r="F1258" i="1"/>
  <c r="E1258" i="1"/>
  <c r="I1258" i="1" s="1"/>
  <c r="F1257" i="1"/>
  <c r="E1257" i="1"/>
  <c r="I1257" i="1" s="1"/>
  <c r="I1256" i="1"/>
  <c r="G1256" i="1" s="1"/>
  <c r="F1256" i="1"/>
  <c r="E1256" i="1"/>
  <c r="F1255" i="1"/>
  <c r="E1255" i="1"/>
  <c r="I1255" i="1" s="1"/>
  <c r="G1255" i="1" s="1"/>
  <c r="F1254" i="1"/>
  <c r="E1254" i="1"/>
  <c r="I1254" i="1" s="1"/>
  <c r="G1254" i="1" s="1"/>
  <c r="I1253" i="1"/>
  <c r="G1253" i="1"/>
  <c r="F1253" i="1"/>
  <c r="E1253" i="1"/>
  <c r="G1252" i="1"/>
  <c r="F1252" i="1"/>
  <c r="E1252" i="1"/>
  <c r="I1252" i="1" s="1"/>
  <c r="F1251" i="1"/>
  <c r="E1251" i="1"/>
  <c r="I1251" i="1" s="1"/>
  <c r="G1251" i="1" s="1"/>
  <c r="F1250" i="1"/>
  <c r="E1250" i="1"/>
  <c r="I1250" i="1" s="1"/>
  <c r="G1250" i="1" s="1"/>
  <c r="F1249" i="1"/>
  <c r="E1249" i="1"/>
  <c r="I1249" i="1" s="1"/>
  <c r="F1248" i="1"/>
  <c r="E1248" i="1"/>
  <c r="I1248" i="1" s="1"/>
  <c r="F1247" i="1"/>
  <c r="E1247" i="1"/>
  <c r="I1247" i="1" s="1"/>
  <c r="F1246" i="1"/>
  <c r="E1246" i="1"/>
  <c r="I1246" i="1" s="1"/>
  <c r="F1245" i="1"/>
  <c r="E1245" i="1"/>
  <c r="I1245" i="1" s="1"/>
  <c r="F1244" i="1"/>
  <c r="E1244" i="1"/>
  <c r="I1244" i="1" s="1"/>
  <c r="U1243" i="1"/>
  <c r="P1243" i="1"/>
  <c r="G1243" i="1"/>
  <c r="U1242" i="1"/>
  <c r="P1242" i="1"/>
  <c r="G1242" i="1"/>
  <c r="F1242" i="1"/>
  <c r="E1242" i="1"/>
  <c r="U1241" i="1"/>
  <c r="P1241" i="1"/>
  <c r="F1241" i="1"/>
  <c r="E1241" i="1"/>
  <c r="U1240" i="1"/>
  <c r="P1240" i="1"/>
  <c r="G1240" i="1"/>
  <c r="F1240" i="1"/>
  <c r="E1240" i="1"/>
  <c r="U1239" i="1"/>
  <c r="P1239" i="1"/>
  <c r="G1239" i="1"/>
  <c r="F1239" i="1"/>
  <c r="E1239" i="1"/>
  <c r="U1238" i="1"/>
  <c r="P1238" i="1"/>
  <c r="G1238" i="1"/>
  <c r="F1238" i="1"/>
  <c r="E1238" i="1"/>
  <c r="U1237" i="1"/>
  <c r="P1237" i="1"/>
  <c r="F1237" i="1"/>
  <c r="E1237" i="1"/>
  <c r="U1236" i="1"/>
  <c r="P1236" i="1"/>
  <c r="F1236" i="1"/>
  <c r="E1236" i="1"/>
  <c r="U1235" i="1"/>
  <c r="P1235" i="1"/>
  <c r="F1235" i="1"/>
  <c r="E1235" i="1"/>
  <c r="U1234" i="1"/>
  <c r="P1234" i="1"/>
  <c r="F1234" i="1"/>
  <c r="E1234" i="1"/>
  <c r="U1233" i="1"/>
  <c r="P1233" i="1"/>
  <c r="F1233" i="1"/>
  <c r="E1233" i="1"/>
  <c r="U1232" i="1"/>
  <c r="P1232" i="1"/>
  <c r="F1232" i="1"/>
  <c r="E1232" i="1"/>
  <c r="U1231" i="1"/>
  <c r="P1231" i="1"/>
  <c r="F1231" i="1"/>
  <c r="E1231" i="1"/>
  <c r="U1230" i="1"/>
  <c r="P1230" i="1"/>
  <c r="G1230" i="1"/>
  <c r="F1230" i="1"/>
  <c r="E1230" i="1"/>
  <c r="U1229" i="1"/>
  <c r="P1229" i="1"/>
  <c r="F1229" i="1"/>
  <c r="E1229" i="1"/>
  <c r="U1228" i="1"/>
  <c r="P1228" i="1"/>
  <c r="G1228" i="1"/>
  <c r="F1228" i="1"/>
  <c r="E1228" i="1"/>
  <c r="U1227" i="1"/>
  <c r="P1227" i="1"/>
  <c r="G1227" i="1"/>
  <c r="F1227" i="1"/>
  <c r="E1227" i="1"/>
  <c r="U1226" i="1"/>
  <c r="P1226" i="1"/>
  <c r="G1226" i="1"/>
  <c r="F1226" i="1"/>
  <c r="E1226" i="1"/>
  <c r="U1225" i="1"/>
  <c r="P1225" i="1"/>
  <c r="F1225" i="1"/>
  <c r="E1225" i="1"/>
  <c r="U1224" i="1"/>
  <c r="P1224" i="1"/>
  <c r="F1224" i="1"/>
  <c r="E1224" i="1"/>
  <c r="U1223" i="1"/>
  <c r="P1223" i="1"/>
  <c r="F1223" i="1"/>
  <c r="E1223" i="1"/>
  <c r="U1222" i="1"/>
  <c r="P1222" i="1"/>
  <c r="F1222" i="1"/>
  <c r="E1222" i="1"/>
  <c r="U1221" i="1"/>
  <c r="P1221" i="1"/>
  <c r="F1221" i="1"/>
  <c r="E1221" i="1"/>
  <c r="U1220" i="1"/>
  <c r="P1220" i="1"/>
  <c r="F1220" i="1"/>
  <c r="E1220" i="1"/>
  <c r="U1219" i="1"/>
  <c r="P1219" i="1"/>
  <c r="F1219" i="1"/>
  <c r="E1219" i="1"/>
  <c r="U1218" i="1"/>
  <c r="P1218" i="1"/>
  <c r="G1218" i="1"/>
  <c r="F1218" i="1"/>
  <c r="E1218" i="1"/>
  <c r="U1217" i="1"/>
  <c r="P1217" i="1"/>
  <c r="F1217" i="1"/>
  <c r="E1217" i="1"/>
  <c r="U1216" i="1"/>
  <c r="P1216" i="1"/>
  <c r="G1216" i="1"/>
  <c r="F1216" i="1"/>
  <c r="E1216" i="1"/>
  <c r="U1215" i="1"/>
  <c r="P1215" i="1"/>
  <c r="G1215" i="1"/>
  <c r="U1214" i="1"/>
  <c r="P1214" i="1"/>
  <c r="G1214" i="1"/>
  <c r="F1214" i="1"/>
  <c r="E1214" i="1"/>
  <c r="U1213" i="1"/>
  <c r="P1213" i="1"/>
  <c r="G1213" i="1"/>
  <c r="F1213" i="1"/>
  <c r="E1213" i="1"/>
  <c r="U1212" i="1"/>
  <c r="P1212" i="1"/>
  <c r="F1212" i="1"/>
  <c r="E1212" i="1"/>
  <c r="U1211" i="1"/>
  <c r="P1211" i="1"/>
  <c r="F1211" i="1"/>
  <c r="E1211" i="1"/>
  <c r="U1210" i="1"/>
  <c r="P1210" i="1"/>
  <c r="F1210" i="1"/>
  <c r="E1210" i="1"/>
  <c r="U1209" i="1"/>
  <c r="P1209" i="1"/>
  <c r="F1209" i="1"/>
  <c r="E1209" i="1"/>
  <c r="U1208" i="1"/>
  <c r="P1208" i="1"/>
  <c r="F1208" i="1"/>
  <c r="E1208" i="1"/>
  <c r="U1207" i="1"/>
  <c r="P1207" i="1"/>
  <c r="F1207" i="1"/>
  <c r="E1207" i="1"/>
  <c r="U1206" i="1"/>
  <c r="P1206" i="1"/>
  <c r="F1206" i="1"/>
  <c r="E1206" i="1"/>
  <c r="U1205" i="1"/>
  <c r="P1205" i="1"/>
  <c r="G1205" i="1"/>
  <c r="F1205" i="1"/>
  <c r="E1205" i="1"/>
  <c r="U1204" i="1"/>
  <c r="P1204" i="1"/>
  <c r="G1204" i="1"/>
  <c r="F1204" i="1"/>
  <c r="E1204" i="1"/>
  <c r="U1203" i="1"/>
  <c r="P1203" i="1"/>
  <c r="F1203" i="1"/>
  <c r="E1203" i="1"/>
  <c r="U1202" i="1"/>
  <c r="P1202" i="1"/>
  <c r="G1202" i="1"/>
  <c r="F1202" i="1"/>
  <c r="E1202" i="1"/>
  <c r="U1201" i="1"/>
  <c r="P1201" i="1"/>
  <c r="G1201" i="1"/>
  <c r="F1201" i="1"/>
  <c r="E1201" i="1"/>
  <c r="U1200" i="1"/>
  <c r="P1200" i="1"/>
  <c r="F1200" i="1"/>
  <c r="E1200" i="1"/>
  <c r="U1199" i="1"/>
  <c r="P1199" i="1"/>
  <c r="G1199" i="1"/>
  <c r="F1199" i="1"/>
  <c r="E1199" i="1"/>
  <c r="U1198" i="1"/>
  <c r="P1198" i="1"/>
  <c r="F1198" i="1"/>
  <c r="E1198" i="1"/>
  <c r="U1197" i="1"/>
  <c r="P1197" i="1"/>
  <c r="F1197" i="1"/>
  <c r="E1197" i="1"/>
  <c r="U1196" i="1"/>
  <c r="P1196" i="1"/>
  <c r="F1196" i="1"/>
  <c r="E1196" i="1"/>
  <c r="U1195" i="1"/>
  <c r="P1195" i="1"/>
  <c r="F1195" i="1"/>
  <c r="E1195" i="1"/>
  <c r="U1194" i="1"/>
  <c r="P1194" i="1"/>
  <c r="F1194" i="1"/>
  <c r="E1194" i="1"/>
  <c r="U1193" i="1"/>
  <c r="P1193" i="1"/>
  <c r="G1193" i="1"/>
  <c r="F1193" i="1"/>
  <c r="E1193" i="1"/>
  <c r="U1192" i="1"/>
  <c r="P1192" i="1"/>
  <c r="G1192" i="1"/>
  <c r="F1192" i="1"/>
  <c r="E1192" i="1"/>
  <c r="U1191" i="1"/>
  <c r="P1191" i="1"/>
  <c r="F1191" i="1"/>
  <c r="E1191" i="1"/>
  <c r="U1190" i="1"/>
  <c r="P1190" i="1"/>
  <c r="G1190" i="1"/>
  <c r="F1190" i="1"/>
  <c r="E1190" i="1"/>
  <c r="U1189" i="1"/>
  <c r="P1189" i="1"/>
  <c r="G1189" i="1"/>
  <c r="F1189" i="1"/>
  <c r="E1189" i="1"/>
  <c r="U1188" i="1"/>
  <c r="P1188" i="1"/>
  <c r="F1188" i="1"/>
  <c r="E1188" i="1"/>
  <c r="U1187" i="1"/>
  <c r="P1187" i="1"/>
  <c r="F1187" i="1"/>
  <c r="E1187" i="1"/>
  <c r="U1186" i="1"/>
  <c r="P1186" i="1"/>
  <c r="F1186" i="1"/>
  <c r="E1186" i="1"/>
  <c r="U1185" i="1"/>
  <c r="P1185" i="1"/>
  <c r="F1185" i="1"/>
  <c r="E1185" i="1"/>
  <c r="U1184" i="1"/>
  <c r="P1184" i="1"/>
  <c r="F1184" i="1"/>
  <c r="E1184" i="1"/>
  <c r="U1183" i="1"/>
  <c r="P1183" i="1"/>
  <c r="F1183" i="1"/>
  <c r="E1183" i="1"/>
  <c r="U1182" i="1"/>
  <c r="P1182" i="1"/>
  <c r="G1182" i="1"/>
  <c r="F1182" i="1"/>
  <c r="E1182" i="1"/>
  <c r="U1181" i="1"/>
  <c r="P1181" i="1"/>
  <c r="G1181" i="1"/>
  <c r="F1181" i="1"/>
  <c r="E1181" i="1"/>
  <c r="U1180" i="1"/>
  <c r="P1180" i="1"/>
  <c r="G1180" i="1"/>
  <c r="F1180" i="1"/>
  <c r="E1180" i="1"/>
  <c r="U1179" i="1"/>
  <c r="P1179" i="1"/>
  <c r="G1179" i="1"/>
  <c r="F1179" i="1"/>
  <c r="E1179" i="1"/>
  <c r="U1178" i="1"/>
  <c r="P1178" i="1"/>
  <c r="G1178" i="1"/>
  <c r="F1178" i="1"/>
  <c r="E1178" i="1"/>
  <c r="U1177" i="1"/>
  <c r="P1177" i="1"/>
  <c r="G1177" i="1"/>
  <c r="F1177" i="1"/>
  <c r="E1177" i="1"/>
  <c r="U1176" i="1"/>
  <c r="P1176" i="1"/>
  <c r="G1176" i="1"/>
  <c r="F1176" i="1"/>
  <c r="E1176" i="1"/>
  <c r="U1175" i="1"/>
  <c r="P1175" i="1"/>
  <c r="G1175" i="1"/>
  <c r="F1175" i="1"/>
  <c r="E1175" i="1"/>
  <c r="U1174" i="1"/>
  <c r="P1174" i="1"/>
  <c r="G1174" i="1"/>
  <c r="F1174" i="1"/>
  <c r="E1174" i="1"/>
  <c r="U1173" i="1"/>
  <c r="P1173" i="1"/>
  <c r="G1173" i="1"/>
  <c r="F1173" i="1"/>
  <c r="E1173" i="1"/>
  <c r="U1172" i="1"/>
  <c r="P1172" i="1"/>
  <c r="G1172" i="1"/>
  <c r="F1172" i="1"/>
  <c r="E1172" i="1"/>
  <c r="U1171" i="1"/>
  <c r="P1171" i="1"/>
  <c r="G1171" i="1"/>
  <c r="F1171" i="1"/>
  <c r="E1171" i="1"/>
  <c r="U1170" i="1"/>
  <c r="P1170" i="1"/>
  <c r="G1170" i="1"/>
  <c r="U1169" i="1"/>
  <c r="P1169" i="1"/>
  <c r="F1169" i="1"/>
  <c r="E1169" i="1"/>
  <c r="U1168" i="1"/>
  <c r="P1168" i="1"/>
  <c r="G1168" i="1"/>
  <c r="F1168" i="1"/>
  <c r="E1168" i="1"/>
  <c r="U1167" i="1"/>
  <c r="P1167" i="1"/>
  <c r="G1167" i="1"/>
  <c r="F1167" i="1"/>
  <c r="E1167" i="1"/>
  <c r="U1166" i="1"/>
  <c r="P1166" i="1"/>
  <c r="G1166" i="1"/>
  <c r="F1166" i="1"/>
  <c r="E1166" i="1"/>
  <c r="U1165" i="1"/>
  <c r="P1165" i="1"/>
  <c r="G1165" i="1"/>
  <c r="F1165" i="1"/>
  <c r="E1165" i="1"/>
  <c r="U1164" i="1"/>
  <c r="P1164" i="1"/>
  <c r="G1164" i="1"/>
  <c r="F1164" i="1"/>
  <c r="E1164" i="1"/>
  <c r="U1163" i="1"/>
  <c r="P1163" i="1"/>
  <c r="G1163" i="1"/>
  <c r="F1163" i="1"/>
  <c r="E1163" i="1"/>
  <c r="U1162" i="1"/>
  <c r="P1162" i="1"/>
  <c r="F1162" i="1"/>
  <c r="E1162" i="1"/>
  <c r="U1161" i="1"/>
  <c r="P1161" i="1"/>
  <c r="F1161" i="1"/>
  <c r="E1161" i="1"/>
  <c r="U1160" i="1"/>
  <c r="P1160" i="1"/>
  <c r="F1160" i="1"/>
  <c r="E1160" i="1"/>
  <c r="U1159" i="1"/>
  <c r="P1159" i="1"/>
  <c r="F1159" i="1"/>
  <c r="E1159" i="1"/>
  <c r="U1158" i="1"/>
  <c r="P1158" i="1"/>
  <c r="F1158" i="1"/>
  <c r="E1158" i="1"/>
  <c r="U1157" i="1"/>
  <c r="P1157" i="1"/>
  <c r="G1157" i="1"/>
  <c r="U1156" i="1"/>
  <c r="P1156" i="1"/>
  <c r="G1156" i="1"/>
  <c r="F1156" i="1"/>
  <c r="E1156" i="1"/>
  <c r="U1155" i="1"/>
  <c r="P1155" i="1"/>
  <c r="G1155" i="1"/>
  <c r="F1155" i="1"/>
  <c r="E1155" i="1"/>
  <c r="U1154" i="1"/>
  <c r="P1154" i="1"/>
  <c r="G1154" i="1"/>
  <c r="F1154" i="1"/>
  <c r="E1154" i="1"/>
  <c r="U1153" i="1"/>
  <c r="P1153" i="1"/>
  <c r="G1153" i="1"/>
  <c r="F1153" i="1"/>
  <c r="E1153" i="1"/>
  <c r="U1152" i="1"/>
  <c r="P1152" i="1"/>
  <c r="G1152" i="1"/>
  <c r="F1152" i="1"/>
  <c r="E1152" i="1"/>
  <c r="U1151" i="1"/>
  <c r="P1151" i="1"/>
  <c r="G1151" i="1"/>
  <c r="F1151" i="1"/>
  <c r="E1151" i="1"/>
  <c r="U1150" i="1"/>
  <c r="P1150" i="1"/>
  <c r="G1150" i="1"/>
  <c r="F1150" i="1"/>
  <c r="E1150" i="1"/>
  <c r="U1149" i="1"/>
  <c r="P1149" i="1"/>
  <c r="G1149" i="1"/>
  <c r="F1149" i="1"/>
  <c r="E1149" i="1"/>
  <c r="U1148" i="1"/>
  <c r="P1148" i="1"/>
  <c r="G1148" i="1"/>
  <c r="F1148" i="1"/>
  <c r="E1148" i="1"/>
  <c r="U1147" i="1"/>
  <c r="P1147" i="1"/>
  <c r="G1147" i="1"/>
  <c r="F1147" i="1"/>
  <c r="E1147" i="1"/>
  <c r="U1146" i="1"/>
  <c r="P1146" i="1"/>
  <c r="G1146" i="1"/>
  <c r="F1146" i="1"/>
  <c r="E1146" i="1"/>
  <c r="U1145" i="1"/>
  <c r="P1145" i="1"/>
  <c r="G1145" i="1"/>
  <c r="F1145" i="1"/>
  <c r="E1145" i="1"/>
  <c r="U1144" i="1"/>
  <c r="P1144" i="1"/>
  <c r="G1144" i="1"/>
  <c r="F1144" i="1"/>
  <c r="E1144" i="1"/>
  <c r="U1143" i="1"/>
  <c r="P1143" i="1"/>
  <c r="G1143" i="1"/>
  <c r="F1143" i="1"/>
  <c r="E1143" i="1"/>
  <c r="U1142" i="1"/>
  <c r="P1142" i="1"/>
  <c r="G1142" i="1"/>
  <c r="F1142" i="1"/>
  <c r="E1142" i="1"/>
  <c r="U1141" i="1"/>
  <c r="P1141" i="1"/>
  <c r="G1141" i="1"/>
  <c r="F1141" i="1"/>
  <c r="E1141" i="1"/>
  <c r="U1140" i="1"/>
  <c r="P1140" i="1"/>
  <c r="G1140" i="1"/>
  <c r="F1140" i="1"/>
  <c r="E1140" i="1"/>
  <c r="U1139" i="1"/>
  <c r="P1139" i="1"/>
  <c r="G1139" i="1"/>
  <c r="F1139" i="1"/>
  <c r="E1139" i="1"/>
  <c r="U1138" i="1"/>
  <c r="P1138" i="1"/>
  <c r="G1138" i="1"/>
  <c r="F1138" i="1"/>
  <c r="E1138" i="1"/>
  <c r="U1137" i="1"/>
  <c r="P1137" i="1"/>
  <c r="G1137" i="1"/>
  <c r="F1137" i="1"/>
  <c r="E1137" i="1"/>
  <c r="U1136" i="1"/>
  <c r="P1136" i="1"/>
  <c r="G1136" i="1"/>
  <c r="F1136" i="1"/>
  <c r="E1136" i="1"/>
  <c r="U1135" i="1"/>
  <c r="P1135" i="1"/>
  <c r="G1135" i="1"/>
  <c r="F1135" i="1"/>
  <c r="E1135" i="1"/>
  <c r="U1134" i="1"/>
  <c r="P1134" i="1"/>
  <c r="G1134" i="1"/>
  <c r="F1134" i="1"/>
  <c r="E1134" i="1"/>
  <c r="U1133" i="1"/>
  <c r="P1133" i="1"/>
  <c r="G1133" i="1"/>
  <c r="F1133" i="1"/>
  <c r="E1133" i="1"/>
  <c r="U1132" i="1"/>
  <c r="P1132" i="1"/>
  <c r="G1132" i="1"/>
  <c r="F1132" i="1"/>
  <c r="E1132" i="1"/>
  <c r="U1131" i="1"/>
  <c r="P1131" i="1"/>
  <c r="G1131" i="1"/>
  <c r="F1131" i="1"/>
  <c r="E1131" i="1"/>
  <c r="U1130" i="1"/>
  <c r="P1130" i="1"/>
  <c r="G1130" i="1"/>
  <c r="F1130" i="1"/>
  <c r="E1130" i="1"/>
  <c r="U1129" i="1"/>
  <c r="P1129" i="1"/>
  <c r="G1129" i="1"/>
  <c r="F1129" i="1"/>
  <c r="E1129" i="1"/>
  <c r="U1128" i="1"/>
  <c r="P1128" i="1"/>
  <c r="G1128" i="1"/>
  <c r="F1128" i="1"/>
  <c r="E1128" i="1"/>
  <c r="U1127" i="1"/>
  <c r="P1127" i="1"/>
  <c r="G1127" i="1"/>
  <c r="F1127" i="1"/>
  <c r="E1127" i="1"/>
  <c r="U1126" i="1"/>
  <c r="P1126" i="1"/>
  <c r="G1126" i="1"/>
  <c r="F1126" i="1"/>
  <c r="E1126" i="1"/>
  <c r="U1125" i="1"/>
  <c r="P1125" i="1"/>
  <c r="G1125" i="1"/>
  <c r="F1125" i="1"/>
  <c r="E1125" i="1"/>
  <c r="U1124" i="1"/>
  <c r="P1124" i="1"/>
  <c r="G1124" i="1"/>
  <c r="F1124" i="1"/>
  <c r="E1124" i="1"/>
  <c r="U1123" i="1"/>
  <c r="P1123" i="1"/>
  <c r="G1123" i="1"/>
  <c r="F1123" i="1"/>
  <c r="E1123" i="1"/>
  <c r="U1122" i="1"/>
  <c r="P1122" i="1"/>
  <c r="G1122" i="1"/>
  <c r="F1122" i="1"/>
  <c r="E1122" i="1"/>
  <c r="U1121" i="1"/>
  <c r="P1121" i="1"/>
  <c r="G1121" i="1"/>
  <c r="F1121" i="1"/>
  <c r="E1121" i="1"/>
  <c r="U1120" i="1"/>
  <c r="P1120" i="1"/>
  <c r="G1120" i="1"/>
  <c r="G1119" i="1"/>
  <c r="F1119" i="1"/>
  <c r="E1119" i="1"/>
  <c r="G1118" i="1"/>
  <c r="F1118" i="1"/>
  <c r="E1118" i="1"/>
  <c r="U1117" i="1"/>
  <c r="P1117" i="1"/>
  <c r="U1116" i="1"/>
  <c r="P1116" i="1"/>
  <c r="G1116" i="1"/>
  <c r="F1116" i="1"/>
  <c r="E1116" i="1"/>
  <c r="U1115" i="1"/>
  <c r="P1115" i="1"/>
  <c r="G1115" i="1"/>
  <c r="F1115" i="1"/>
  <c r="E1115" i="1"/>
  <c r="U1114" i="1"/>
  <c r="P1114" i="1"/>
  <c r="G1114" i="1"/>
  <c r="U1113" i="1"/>
  <c r="P1113" i="1"/>
  <c r="G1113" i="1"/>
  <c r="F1113" i="1"/>
  <c r="E1113" i="1"/>
  <c r="U1112" i="1"/>
  <c r="P1112" i="1"/>
  <c r="G1112" i="1"/>
  <c r="F1112" i="1"/>
  <c r="E1112" i="1"/>
  <c r="U1111" i="1"/>
  <c r="P1111" i="1"/>
  <c r="G1111" i="1"/>
  <c r="F1111" i="1"/>
  <c r="E1111" i="1"/>
  <c r="U1110" i="1"/>
  <c r="P1110" i="1"/>
  <c r="G1110" i="1"/>
  <c r="F1110" i="1"/>
  <c r="E1110" i="1"/>
  <c r="U1109" i="1"/>
  <c r="P1109" i="1"/>
  <c r="G1109" i="1"/>
  <c r="F1109" i="1"/>
  <c r="E1109" i="1"/>
  <c r="U1108" i="1"/>
  <c r="P1108" i="1"/>
  <c r="G1108" i="1"/>
  <c r="F1108" i="1"/>
  <c r="E1108" i="1"/>
  <c r="U1107" i="1"/>
  <c r="P1107" i="1"/>
  <c r="G1107" i="1"/>
  <c r="F1107" i="1"/>
  <c r="E1107" i="1"/>
  <c r="U1106" i="1"/>
  <c r="P1106" i="1"/>
  <c r="G1106" i="1"/>
  <c r="F1106" i="1"/>
  <c r="E1106" i="1"/>
  <c r="U1105" i="1"/>
  <c r="P1105" i="1"/>
  <c r="G1105" i="1"/>
  <c r="F1105" i="1"/>
  <c r="E1105" i="1"/>
  <c r="U1104" i="1"/>
  <c r="P1104" i="1"/>
  <c r="G1104" i="1"/>
  <c r="F1104" i="1"/>
  <c r="E1104" i="1"/>
  <c r="U1103" i="1"/>
  <c r="P1103" i="1"/>
  <c r="G1103" i="1"/>
  <c r="F1103" i="1"/>
  <c r="E1103" i="1"/>
  <c r="U1102" i="1"/>
  <c r="P1102" i="1"/>
  <c r="G1102" i="1"/>
  <c r="F1102" i="1"/>
  <c r="E1102" i="1"/>
  <c r="U1101" i="1"/>
  <c r="P1101" i="1"/>
  <c r="G1101" i="1"/>
  <c r="F1101" i="1"/>
  <c r="E1101" i="1"/>
  <c r="U1100" i="1"/>
  <c r="P1100" i="1"/>
  <c r="G1100" i="1"/>
  <c r="F1100" i="1"/>
  <c r="E1100" i="1"/>
  <c r="U1099" i="1"/>
  <c r="P1099" i="1"/>
  <c r="G1099" i="1"/>
  <c r="F1099" i="1"/>
  <c r="E1099" i="1"/>
  <c r="U1098" i="1"/>
  <c r="P1098" i="1"/>
  <c r="G1098" i="1"/>
  <c r="F1098" i="1"/>
  <c r="E1098" i="1"/>
  <c r="U1097" i="1"/>
  <c r="P1097" i="1"/>
  <c r="G1097" i="1"/>
  <c r="F1097" i="1"/>
  <c r="E1097" i="1"/>
  <c r="U1096" i="1"/>
  <c r="P1096" i="1"/>
  <c r="G1096" i="1"/>
  <c r="F1096" i="1"/>
  <c r="E1096" i="1"/>
  <c r="U1095" i="1"/>
  <c r="P1095" i="1"/>
  <c r="G1095" i="1"/>
  <c r="F1095" i="1"/>
  <c r="E1095" i="1"/>
  <c r="U1094" i="1"/>
  <c r="P1094" i="1"/>
  <c r="G1094" i="1"/>
  <c r="U1093" i="1"/>
  <c r="P1093" i="1"/>
  <c r="G1093" i="1"/>
  <c r="F1093" i="1"/>
  <c r="E1093" i="1"/>
  <c r="U1092" i="1"/>
  <c r="P1092" i="1"/>
  <c r="G1092" i="1"/>
  <c r="F1092" i="1"/>
  <c r="E1092" i="1"/>
  <c r="U1091" i="1"/>
  <c r="P1091" i="1"/>
  <c r="G1091" i="1"/>
  <c r="F1091" i="1"/>
  <c r="E1091" i="1"/>
  <c r="U1090" i="1"/>
  <c r="P1090" i="1"/>
  <c r="G1090" i="1"/>
  <c r="F1090" i="1"/>
  <c r="U1089" i="1"/>
  <c r="P1089" i="1"/>
  <c r="G1089" i="1"/>
  <c r="F1089" i="1"/>
  <c r="U1088" i="1"/>
  <c r="P1088" i="1"/>
  <c r="G1088" i="1"/>
  <c r="F1088" i="1"/>
  <c r="U1087" i="1"/>
  <c r="P1087" i="1"/>
  <c r="G1087" i="1"/>
  <c r="F1087" i="1"/>
  <c r="U1086" i="1"/>
  <c r="P1086" i="1"/>
  <c r="G1086" i="1"/>
  <c r="F1086" i="1"/>
  <c r="U1085" i="1"/>
  <c r="P1085" i="1"/>
  <c r="G1085" i="1"/>
  <c r="F1085" i="1"/>
  <c r="U1084" i="1"/>
  <c r="P1084" i="1"/>
  <c r="G1084" i="1"/>
  <c r="F1084" i="1"/>
  <c r="U1083" i="1"/>
  <c r="P1083" i="1"/>
  <c r="G1083" i="1"/>
  <c r="F1083" i="1"/>
  <c r="U1082" i="1"/>
  <c r="P1082" i="1"/>
  <c r="G1082" i="1"/>
  <c r="U1081" i="1"/>
  <c r="P1081" i="1"/>
  <c r="G1081" i="1"/>
  <c r="F1081" i="1"/>
  <c r="E1081" i="1"/>
  <c r="U1080" i="1"/>
  <c r="P1080" i="1"/>
  <c r="G1080" i="1"/>
  <c r="F1080" i="1"/>
  <c r="E1080" i="1"/>
  <c r="U1079" i="1"/>
  <c r="P1079" i="1"/>
  <c r="G1079" i="1"/>
  <c r="F1079" i="1"/>
  <c r="E1079" i="1"/>
  <c r="U1078" i="1"/>
  <c r="P1078" i="1"/>
  <c r="G1078" i="1"/>
  <c r="F1077" i="1"/>
  <c r="E1077" i="1"/>
  <c r="F1076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U1050" i="1"/>
  <c r="P1050" i="1"/>
  <c r="G1050" i="1"/>
  <c r="U1049" i="1"/>
  <c r="P1049" i="1"/>
  <c r="G1049" i="1"/>
  <c r="F1049" i="1"/>
  <c r="E1049" i="1"/>
  <c r="U1048" i="1"/>
  <c r="P1048" i="1"/>
  <c r="G1048" i="1"/>
  <c r="F1048" i="1"/>
  <c r="E1048" i="1"/>
  <c r="U1047" i="1"/>
  <c r="P1047" i="1"/>
  <c r="G1047" i="1"/>
  <c r="F1047" i="1"/>
  <c r="E1047" i="1"/>
  <c r="U1046" i="1"/>
  <c r="P1046" i="1"/>
  <c r="G1046" i="1"/>
  <c r="F1046" i="1"/>
  <c r="E1046" i="1"/>
  <c r="U1045" i="1"/>
  <c r="P1045" i="1"/>
  <c r="G1045" i="1"/>
  <c r="F1045" i="1"/>
  <c r="E1045" i="1"/>
  <c r="U1044" i="1"/>
  <c r="P1044" i="1"/>
  <c r="G1044" i="1"/>
  <c r="F1044" i="1"/>
  <c r="E1044" i="1"/>
  <c r="U1043" i="1"/>
  <c r="P1043" i="1"/>
  <c r="G1043" i="1"/>
  <c r="F1043" i="1"/>
  <c r="E1043" i="1"/>
  <c r="U1042" i="1"/>
  <c r="P1042" i="1"/>
  <c r="G1042" i="1"/>
  <c r="F1042" i="1"/>
  <c r="E1042" i="1"/>
  <c r="U1041" i="1"/>
  <c r="P1041" i="1"/>
  <c r="G1041" i="1"/>
  <c r="F1041" i="1"/>
  <c r="E1041" i="1"/>
  <c r="U1040" i="1"/>
  <c r="P1040" i="1"/>
  <c r="G1040" i="1"/>
  <c r="F1040" i="1"/>
  <c r="E1040" i="1"/>
  <c r="U1039" i="1"/>
  <c r="P1039" i="1"/>
  <c r="G1039" i="1"/>
  <c r="F1039" i="1"/>
  <c r="E1039" i="1"/>
  <c r="U1038" i="1"/>
  <c r="P1038" i="1"/>
  <c r="G1038" i="1"/>
  <c r="F1038" i="1"/>
  <c r="E1038" i="1"/>
  <c r="U1037" i="1"/>
  <c r="P1037" i="1"/>
  <c r="G1037" i="1"/>
  <c r="F1037" i="1"/>
  <c r="E1037" i="1"/>
  <c r="U1036" i="1"/>
  <c r="P1036" i="1"/>
  <c r="G1036" i="1"/>
  <c r="F1036" i="1"/>
  <c r="E1036" i="1"/>
  <c r="U1035" i="1"/>
  <c r="P1035" i="1"/>
  <c r="G1035" i="1"/>
  <c r="U1034" i="1"/>
  <c r="P1034" i="1"/>
  <c r="G1034" i="1"/>
  <c r="F1034" i="1"/>
  <c r="E1034" i="1"/>
  <c r="U1033" i="1"/>
  <c r="P1033" i="1"/>
  <c r="G1033" i="1"/>
  <c r="F1033" i="1"/>
  <c r="E1033" i="1"/>
  <c r="U1032" i="1"/>
  <c r="P1032" i="1"/>
  <c r="G1032" i="1"/>
  <c r="F1032" i="1"/>
  <c r="E1032" i="1"/>
  <c r="U1031" i="1"/>
  <c r="P1031" i="1"/>
  <c r="G1031" i="1"/>
  <c r="F1031" i="1"/>
  <c r="E1031" i="1"/>
  <c r="U1030" i="1"/>
  <c r="P1030" i="1"/>
  <c r="G1030" i="1"/>
  <c r="F1030" i="1"/>
  <c r="E1030" i="1"/>
  <c r="U1029" i="1"/>
  <c r="P1029" i="1"/>
  <c r="G1029" i="1"/>
  <c r="F1029" i="1"/>
  <c r="E1029" i="1"/>
  <c r="U1028" i="1"/>
  <c r="P1028" i="1"/>
  <c r="G1028" i="1"/>
  <c r="F1028" i="1"/>
  <c r="E1028" i="1"/>
  <c r="U1027" i="1"/>
  <c r="P1027" i="1"/>
  <c r="G1027" i="1"/>
  <c r="F1027" i="1"/>
  <c r="E1027" i="1"/>
  <c r="U1026" i="1"/>
  <c r="P1026" i="1"/>
  <c r="G1026" i="1"/>
  <c r="F1026" i="1"/>
  <c r="E1026" i="1"/>
  <c r="U1025" i="1"/>
  <c r="P1025" i="1"/>
  <c r="G1025" i="1"/>
  <c r="U1024" i="1"/>
  <c r="P1024" i="1"/>
  <c r="G1024" i="1"/>
  <c r="U1023" i="1"/>
  <c r="P1023" i="1"/>
  <c r="G1023" i="1"/>
  <c r="F1023" i="1"/>
  <c r="E1023" i="1"/>
  <c r="U1022" i="1"/>
  <c r="P1022" i="1"/>
  <c r="G1022" i="1"/>
  <c r="F1022" i="1"/>
  <c r="E1022" i="1"/>
  <c r="U1021" i="1"/>
  <c r="P1021" i="1"/>
  <c r="G1021" i="1"/>
  <c r="F1021" i="1"/>
  <c r="E1021" i="1"/>
  <c r="U1020" i="1"/>
  <c r="P1020" i="1"/>
  <c r="G1020" i="1"/>
  <c r="F1020" i="1"/>
  <c r="E1020" i="1"/>
  <c r="U1019" i="1"/>
  <c r="P1019" i="1"/>
  <c r="G1019" i="1"/>
  <c r="F1019" i="1"/>
  <c r="E1019" i="1"/>
  <c r="U1018" i="1"/>
  <c r="P1018" i="1"/>
  <c r="G1018" i="1"/>
  <c r="F1018" i="1"/>
  <c r="E1018" i="1"/>
  <c r="U1017" i="1"/>
  <c r="P1017" i="1"/>
  <c r="G1017" i="1"/>
  <c r="K1016" i="1"/>
  <c r="G1016" i="1"/>
  <c r="E1016" i="1"/>
  <c r="K1015" i="1"/>
  <c r="G1015" i="1"/>
  <c r="E1015" i="1"/>
  <c r="K1014" i="1"/>
  <c r="G1014" i="1"/>
  <c r="E1014" i="1"/>
  <c r="K1013" i="1"/>
  <c r="G1013" i="1"/>
  <c r="E1013" i="1"/>
  <c r="K1012" i="1"/>
  <c r="G1012" i="1"/>
  <c r="E1012" i="1"/>
  <c r="K1011" i="1"/>
  <c r="G1011" i="1"/>
  <c r="E1011" i="1"/>
  <c r="K1010" i="1"/>
  <c r="G1010" i="1"/>
  <c r="E1010" i="1"/>
  <c r="K1009" i="1"/>
  <c r="G1009" i="1"/>
  <c r="E1009" i="1"/>
  <c r="K1008" i="1"/>
  <c r="G1008" i="1"/>
  <c r="E1008" i="1"/>
  <c r="K1007" i="1"/>
  <c r="G1007" i="1"/>
  <c r="E1007" i="1"/>
  <c r="K1006" i="1"/>
  <c r="G1006" i="1"/>
  <c r="E1006" i="1"/>
  <c r="K1005" i="1"/>
  <c r="G1005" i="1"/>
  <c r="E1005" i="1"/>
  <c r="K1004" i="1"/>
  <c r="G1004" i="1"/>
  <c r="E1004" i="1"/>
  <c r="K1003" i="1"/>
  <c r="G1003" i="1"/>
  <c r="E1003" i="1"/>
  <c r="K1002" i="1"/>
  <c r="G1002" i="1"/>
  <c r="E1002" i="1"/>
  <c r="U1001" i="1"/>
  <c r="P1001" i="1"/>
  <c r="G1001" i="1"/>
  <c r="U1000" i="1"/>
  <c r="P1000" i="1"/>
  <c r="G1000" i="1"/>
  <c r="F1000" i="1"/>
  <c r="U999" i="1"/>
  <c r="P999" i="1"/>
  <c r="G999" i="1"/>
  <c r="F999" i="1"/>
  <c r="U998" i="1"/>
  <c r="P998" i="1"/>
  <c r="K998" i="1"/>
  <c r="G998" i="1"/>
  <c r="F998" i="1"/>
  <c r="E998" i="1"/>
  <c r="U997" i="1"/>
  <c r="P997" i="1"/>
  <c r="K997" i="1"/>
  <c r="G997" i="1"/>
  <c r="F997" i="1"/>
  <c r="E997" i="1"/>
  <c r="U996" i="1"/>
  <c r="P996" i="1"/>
  <c r="K996" i="1"/>
  <c r="G996" i="1"/>
  <c r="F996" i="1"/>
  <c r="E996" i="1"/>
  <c r="U995" i="1"/>
  <c r="P995" i="1"/>
  <c r="K995" i="1"/>
  <c r="G995" i="1"/>
  <c r="F995" i="1"/>
  <c r="E995" i="1"/>
  <c r="U994" i="1"/>
  <c r="P994" i="1"/>
  <c r="K994" i="1"/>
  <c r="G994" i="1"/>
  <c r="F994" i="1"/>
  <c r="E994" i="1"/>
  <c r="U993" i="1"/>
  <c r="P993" i="1"/>
  <c r="G993" i="1"/>
  <c r="F993" i="1"/>
  <c r="E993" i="1"/>
  <c r="U992" i="1"/>
  <c r="P992" i="1"/>
  <c r="G992" i="1"/>
  <c r="F992" i="1"/>
  <c r="E992" i="1"/>
  <c r="U991" i="1"/>
  <c r="P991" i="1"/>
  <c r="G991" i="1"/>
  <c r="F991" i="1"/>
  <c r="E991" i="1"/>
  <c r="U990" i="1"/>
  <c r="P990" i="1"/>
  <c r="G990" i="1"/>
  <c r="F990" i="1"/>
  <c r="E990" i="1"/>
  <c r="U989" i="1"/>
  <c r="P989" i="1"/>
  <c r="G989" i="1"/>
  <c r="F989" i="1"/>
  <c r="E989" i="1"/>
  <c r="U988" i="1"/>
  <c r="P988" i="1"/>
  <c r="G988" i="1"/>
  <c r="F988" i="1"/>
  <c r="E988" i="1"/>
  <c r="U987" i="1"/>
  <c r="P987" i="1"/>
  <c r="G987" i="1"/>
  <c r="F987" i="1"/>
  <c r="E987" i="1"/>
  <c r="U986" i="1"/>
  <c r="P986" i="1"/>
  <c r="G986" i="1"/>
  <c r="F986" i="1"/>
  <c r="E986" i="1"/>
  <c r="U985" i="1"/>
  <c r="P985" i="1"/>
  <c r="G985" i="1"/>
  <c r="F985" i="1"/>
  <c r="E985" i="1"/>
  <c r="U984" i="1"/>
  <c r="P984" i="1"/>
  <c r="G984" i="1"/>
  <c r="F984" i="1"/>
  <c r="E984" i="1"/>
  <c r="U983" i="1"/>
  <c r="P983" i="1"/>
  <c r="G983" i="1"/>
  <c r="F983" i="1"/>
  <c r="E983" i="1"/>
  <c r="U982" i="1"/>
  <c r="P982" i="1"/>
  <c r="G982" i="1"/>
  <c r="F982" i="1"/>
  <c r="E982" i="1"/>
  <c r="U981" i="1"/>
  <c r="P981" i="1"/>
  <c r="G981" i="1"/>
  <c r="F981" i="1"/>
  <c r="E981" i="1"/>
  <c r="U980" i="1"/>
  <c r="P980" i="1"/>
  <c r="G980" i="1"/>
  <c r="F980" i="1"/>
  <c r="E980" i="1"/>
  <c r="P979" i="1"/>
  <c r="G979" i="1"/>
  <c r="F979" i="1"/>
  <c r="E979" i="1"/>
  <c r="P978" i="1"/>
  <c r="G978" i="1"/>
  <c r="F978" i="1"/>
  <c r="E978" i="1"/>
  <c r="P977" i="1"/>
  <c r="G977" i="1"/>
  <c r="F977" i="1"/>
  <c r="E977" i="1"/>
  <c r="P976" i="1"/>
  <c r="G976" i="1"/>
  <c r="F976" i="1"/>
  <c r="E976" i="1"/>
  <c r="P975" i="1"/>
  <c r="G975" i="1"/>
  <c r="F975" i="1"/>
  <c r="E975" i="1"/>
  <c r="P974" i="1"/>
  <c r="G974" i="1"/>
  <c r="F974" i="1"/>
  <c r="E974" i="1"/>
  <c r="P973" i="1"/>
  <c r="G973" i="1"/>
  <c r="F973" i="1"/>
  <c r="E973" i="1"/>
  <c r="P972" i="1"/>
  <c r="G972" i="1"/>
  <c r="F972" i="1"/>
  <c r="E972" i="1"/>
  <c r="U971" i="1"/>
  <c r="P971" i="1"/>
  <c r="G971" i="1"/>
  <c r="F971" i="1"/>
  <c r="E971" i="1"/>
  <c r="U970" i="1"/>
  <c r="P970" i="1"/>
  <c r="G970" i="1"/>
  <c r="F970" i="1"/>
  <c r="E970" i="1"/>
  <c r="U969" i="1"/>
  <c r="P969" i="1"/>
  <c r="G969" i="1"/>
  <c r="F969" i="1"/>
  <c r="E969" i="1"/>
  <c r="U968" i="1"/>
  <c r="P968" i="1"/>
  <c r="G968" i="1"/>
  <c r="F968" i="1"/>
  <c r="E968" i="1"/>
  <c r="U967" i="1"/>
  <c r="P967" i="1"/>
  <c r="G967" i="1"/>
  <c r="F967" i="1"/>
  <c r="E967" i="1"/>
  <c r="U966" i="1"/>
  <c r="P966" i="1"/>
  <c r="G966" i="1"/>
  <c r="F966" i="1"/>
  <c r="E966" i="1"/>
  <c r="U965" i="1"/>
  <c r="P965" i="1"/>
  <c r="K965" i="1"/>
  <c r="G965" i="1"/>
  <c r="F965" i="1"/>
  <c r="E965" i="1"/>
  <c r="U964" i="1"/>
  <c r="P964" i="1"/>
  <c r="K964" i="1"/>
  <c r="G964" i="1"/>
  <c r="F964" i="1"/>
  <c r="E964" i="1"/>
  <c r="U963" i="1"/>
  <c r="P963" i="1"/>
  <c r="K963" i="1"/>
  <c r="G963" i="1"/>
  <c r="F963" i="1"/>
  <c r="E963" i="1"/>
  <c r="U962" i="1"/>
  <c r="P962" i="1"/>
  <c r="K962" i="1"/>
  <c r="F962" i="1"/>
  <c r="E962" i="1"/>
  <c r="U961" i="1"/>
  <c r="P961" i="1"/>
  <c r="K961" i="1"/>
  <c r="G961" i="1"/>
  <c r="F961" i="1"/>
  <c r="E961" i="1"/>
  <c r="U960" i="1"/>
  <c r="P960" i="1"/>
  <c r="K960" i="1"/>
  <c r="F960" i="1"/>
  <c r="E960" i="1"/>
  <c r="U959" i="1"/>
  <c r="P959" i="1"/>
  <c r="K959" i="1"/>
  <c r="G959" i="1"/>
  <c r="F959" i="1"/>
  <c r="E959" i="1"/>
  <c r="U958" i="1"/>
  <c r="P958" i="1"/>
  <c r="K958" i="1"/>
  <c r="G958" i="1"/>
  <c r="F958" i="1"/>
  <c r="E958" i="1"/>
  <c r="U957" i="1"/>
  <c r="P957" i="1"/>
  <c r="K957" i="1"/>
  <c r="G957" i="1"/>
  <c r="F957" i="1"/>
  <c r="E957" i="1"/>
  <c r="U956" i="1"/>
  <c r="P956" i="1"/>
  <c r="K956" i="1"/>
  <c r="G956" i="1"/>
  <c r="F956" i="1"/>
  <c r="E956" i="1"/>
  <c r="U955" i="1"/>
  <c r="P955" i="1"/>
  <c r="K955" i="1"/>
  <c r="G955" i="1"/>
  <c r="F955" i="1"/>
  <c r="E955" i="1"/>
  <c r="U954" i="1"/>
  <c r="P954" i="1"/>
  <c r="K954" i="1"/>
  <c r="G954" i="1"/>
  <c r="F954" i="1"/>
  <c r="E954" i="1"/>
  <c r="U953" i="1"/>
  <c r="P953" i="1"/>
  <c r="K953" i="1"/>
  <c r="G953" i="1"/>
  <c r="F953" i="1"/>
  <c r="E953" i="1"/>
  <c r="U952" i="1"/>
  <c r="P952" i="1"/>
  <c r="K952" i="1"/>
  <c r="G952" i="1"/>
  <c r="F952" i="1"/>
  <c r="E952" i="1"/>
  <c r="U951" i="1"/>
  <c r="P951" i="1"/>
  <c r="K951" i="1"/>
  <c r="G951" i="1"/>
  <c r="F951" i="1"/>
  <c r="E951" i="1"/>
  <c r="U950" i="1"/>
  <c r="P950" i="1"/>
  <c r="K950" i="1"/>
  <c r="G950" i="1"/>
  <c r="F950" i="1"/>
  <c r="E950" i="1"/>
  <c r="U949" i="1"/>
  <c r="P949" i="1"/>
  <c r="K949" i="1"/>
  <c r="G949" i="1"/>
  <c r="F949" i="1"/>
  <c r="E949" i="1"/>
  <c r="U948" i="1"/>
  <c r="P948" i="1"/>
  <c r="K948" i="1"/>
  <c r="G948" i="1"/>
  <c r="F948" i="1"/>
  <c r="E948" i="1"/>
  <c r="U947" i="1"/>
  <c r="P947" i="1"/>
  <c r="K947" i="1"/>
  <c r="G947" i="1"/>
  <c r="F947" i="1"/>
  <c r="E947" i="1"/>
  <c r="U946" i="1"/>
  <c r="P946" i="1"/>
  <c r="K946" i="1"/>
  <c r="G946" i="1"/>
  <c r="F946" i="1"/>
  <c r="E946" i="1"/>
  <c r="U945" i="1"/>
  <c r="P945" i="1"/>
  <c r="K945" i="1"/>
  <c r="G945" i="1"/>
  <c r="F945" i="1"/>
  <c r="E945" i="1"/>
  <c r="U944" i="1"/>
  <c r="P944" i="1"/>
  <c r="K944" i="1"/>
  <c r="G944" i="1"/>
  <c r="F944" i="1"/>
  <c r="E944" i="1"/>
  <c r="U943" i="1"/>
  <c r="P943" i="1"/>
  <c r="K943" i="1"/>
  <c r="G943" i="1"/>
  <c r="F943" i="1"/>
  <c r="E943" i="1"/>
  <c r="U942" i="1"/>
  <c r="P942" i="1"/>
  <c r="K942" i="1"/>
  <c r="G942" i="1"/>
  <c r="F942" i="1"/>
  <c r="E942" i="1"/>
  <c r="U941" i="1"/>
  <c r="P941" i="1"/>
  <c r="K941" i="1"/>
  <c r="G941" i="1"/>
  <c r="F941" i="1"/>
  <c r="E941" i="1"/>
  <c r="U940" i="1"/>
  <c r="P940" i="1"/>
  <c r="K940" i="1"/>
  <c r="G940" i="1"/>
  <c r="F940" i="1"/>
  <c r="E940" i="1"/>
  <c r="U939" i="1"/>
  <c r="P939" i="1"/>
  <c r="K939" i="1"/>
  <c r="G939" i="1"/>
  <c r="F939" i="1"/>
  <c r="E939" i="1"/>
  <c r="U938" i="1"/>
  <c r="P938" i="1"/>
  <c r="K938" i="1"/>
  <c r="G938" i="1"/>
  <c r="F938" i="1"/>
  <c r="E938" i="1"/>
  <c r="U937" i="1"/>
  <c r="P937" i="1"/>
  <c r="K937" i="1"/>
  <c r="G937" i="1"/>
  <c r="F937" i="1"/>
  <c r="E937" i="1"/>
  <c r="U936" i="1"/>
  <c r="P936" i="1"/>
  <c r="K936" i="1"/>
  <c r="G936" i="1"/>
  <c r="F936" i="1"/>
  <c r="E936" i="1"/>
  <c r="U935" i="1"/>
  <c r="P935" i="1"/>
  <c r="K935" i="1"/>
  <c r="G935" i="1"/>
  <c r="F935" i="1"/>
  <c r="E935" i="1"/>
  <c r="U934" i="1"/>
  <c r="P934" i="1"/>
  <c r="K934" i="1"/>
  <c r="G934" i="1"/>
  <c r="F934" i="1"/>
  <c r="E934" i="1"/>
  <c r="U933" i="1"/>
  <c r="P933" i="1"/>
  <c r="K933" i="1"/>
  <c r="G933" i="1"/>
  <c r="F933" i="1"/>
  <c r="E933" i="1"/>
  <c r="U932" i="1"/>
  <c r="P932" i="1"/>
  <c r="K932" i="1"/>
  <c r="G932" i="1"/>
  <c r="F932" i="1"/>
  <c r="E932" i="1"/>
  <c r="U931" i="1"/>
  <c r="P931" i="1"/>
  <c r="K931" i="1"/>
  <c r="G931" i="1"/>
  <c r="F931" i="1"/>
  <c r="E931" i="1"/>
  <c r="U930" i="1"/>
  <c r="P930" i="1"/>
  <c r="K930" i="1"/>
  <c r="G930" i="1"/>
  <c r="F930" i="1"/>
  <c r="E930" i="1"/>
  <c r="U929" i="1"/>
  <c r="P929" i="1"/>
  <c r="K929" i="1"/>
  <c r="G929" i="1"/>
  <c r="F929" i="1"/>
  <c r="E929" i="1"/>
  <c r="U928" i="1"/>
  <c r="P928" i="1"/>
  <c r="K928" i="1"/>
  <c r="G928" i="1"/>
  <c r="F928" i="1"/>
  <c r="E928" i="1"/>
  <c r="U927" i="1"/>
  <c r="P927" i="1"/>
  <c r="K927" i="1"/>
  <c r="G927" i="1"/>
  <c r="F927" i="1"/>
  <c r="E927" i="1"/>
  <c r="U926" i="1"/>
  <c r="P926" i="1"/>
  <c r="K926" i="1"/>
  <c r="G926" i="1"/>
  <c r="F926" i="1"/>
  <c r="E926" i="1"/>
  <c r="U925" i="1"/>
  <c r="P925" i="1"/>
  <c r="K925" i="1"/>
  <c r="G925" i="1"/>
  <c r="F925" i="1"/>
  <c r="E925" i="1"/>
  <c r="U924" i="1"/>
  <c r="P924" i="1"/>
  <c r="K924" i="1"/>
  <c r="G924" i="1"/>
  <c r="F924" i="1"/>
  <c r="E924" i="1"/>
  <c r="U923" i="1"/>
  <c r="P923" i="1"/>
  <c r="K923" i="1"/>
  <c r="G923" i="1"/>
  <c r="F923" i="1"/>
  <c r="E923" i="1"/>
  <c r="U922" i="1"/>
  <c r="P922" i="1"/>
  <c r="K922" i="1"/>
  <c r="G922" i="1"/>
  <c r="F922" i="1"/>
  <c r="E922" i="1"/>
  <c r="U921" i="1"/>
  <c r="P921" i="1"/>
  <c r="K921" i="1"/>
  <c r="G921" i="1"/>
  <c r="F921" i="1"/>
  <c r="E921" i="1"/>
  <c r="U920" i="1"/>
  <c r="P920" i="1"/>
  <c r="K920" i="1"/>
  <c r="G920" i="1"/>
  <c r="F920" i="1"/>
  <c r="E920" i="1"/>
  <c r="U919" i="1"/>
  <c r="P919" i="1"/>
  <c r="K919" i="1"/>
  <c r="G919" i="1"/>
  <c r="F919" i="1"/>
  <c r="E919" i="1"/>
  <c r="U918" i="1"/>
  <c r="P918" i="1"/>
  <c r="K918" i="1"/>
  <c r="G918" i="1"/>
  <c r="F918" i="1"/>
  <c r="E918" i="1"/>
  <c r="U917" i="1"/>
  <c r="P917" i="1"/>
  <c r="K917" i="1"/>
  <c r="G917" i="1"/>
  <c r="F917" i="1"/>
  <c r="E917" i="1"/>
  <c r="U916" i="1"/>
  <c r="P916" i="1"/>
  <c r="K916" i="1"/>
  <c r="G916" i="1"/>
  <c r="F916" i="1"/>
  <c r="E916" i="1"/>
  <c r="U915" i="1"/>
  <c r="P915" i="1"/>
  <c r="K915" i="1"/>
  <c r="G915" i="1"/>
  <c r="F915" i="1"/>
  <c r="E915" i="1"/>
  <c r="U914" i="1"/>
  <c r="P914" i="1"/>
  <c r="K914" i="1"/>
  <c r="G914" i="1"/>
  <c r="F914" i="1"/>
  <c r="E914" i="1"/>
  <c r="U913" i="1"/>
  <c r="P913" i="1"/>
  <c r="K913" i="1"/>
  <c r="G913" i="1"/>
  <c r="F913" i="1"/>
  <c r="E913" i="1"/>
  <c r="U912" i="1"/>
  <c r="P912" i="1"/>
  <c r="K912" i="1"/>
  <c r="G912" i="1"/>
  <c r="F912" i="1"/>
  <c r="E912" i="1"/>
  <c r="U911" i="1"/>
  <c r="P911" i="1"/>
  <c r="K911" i="1"/>
  <c r="G911" i="1"/>
  <c r="F911" i="1"/>
  <c r="E911" i="1"/>
  <c r="U910" i="1"/>
  <c r="P910" i="1"/>
  <c r="K910" i="1"/>
  <c r="G910" i="1"/>
  <c r="F910" i="1"/>
  <c r="E910" i="1"/>
  <c r="U909" i="1"/>
  <c r="P909" i="1"/>
  <c r="K909" i="1"/>
  <c r="G909" i="1"/>
  <c r="F909" i="1"/>
  <c r="E909" i="1"/>
  <c r="U908" i="1"/>
  <c r="P908" i="1"/>
  <c r="G908" i="1"/>
  <c r="U907" i="1"/>
  <c r="P907" i="1"/>
  <c r="G907" i="1"/>
  <c r="F907" i="1"/>
  <c r="E907" i="1"/>
  <c r="U906" i="1"/>
  <c r="P906" i="1"/>
  <c r="G906" i="1"/>
  <c r="F906" i="1"/>
  <c r="E906" i="1"/>
  <c r="U905" i="1"/>
  <c r="P905" i="1"/>
  <c r="G905" i="1"/>
  <c r="F905" i="1"/>
  <c r="E905" i="1"/>
  <c r="U904" i="1"/>
  <c r="P904" i="1"/>
  <c r="F904" i="1"/>
  <c r="E904" i="1"/>
  <c r="U903" i="1"/>
  <c r="P903" i="1"/>
  <c r="F903" i="1"/>
  <c r="E903" i="1"/>
  <c r="U902" i="1"/>
  <c r="P902" i="1"/>
  <c r="F902" i="1"/>
  <c r="E902" i="1"/>
  <c r="U901" i="1"/>
  <c r="P901" i="1"/>
  <c r="F901" i="1"/>
  <c r="E901" i="1"/>
  <c r="U900" i="1"/>
  <c r="P900" i="1"/>
  <c r="F900" i="1"/>
  <c r="E900" i="1"/>
  <c r="U899" i="1"/>
  <c r="P899" i="1"/>
  <c r="F899" i="1"/>
  <c r="E899" i="1"/>
  <c r="U898" i="1"/>
  <c r="P898" i="1"/>
  <c r="F898" i="1"/>
  <c r="E898" i="1"/>
  <c r="U897" i="1"/>
  <c r="P897" i="1"/>
  <c r="G897" i="1"/>
  <c r="F897" i="1"/>
  <c r="E897" i="1"/>
  <c r="U896" i="1"/>
  <c r="P896" i="1"/>
  <c r="G896" i="1"/>
  <c r="U895" i="1"/>
  <c r="P895" i="1"/>
  <c r="G895" i="1"/>
  <c r="F895" i="1"/>
  <c r="E895" i="1"/>
  <c r="U894" i="1"/>
  <c r="P894" i="1"/>
  <c r="G894" i="1"/>
  <c r="F894" i="1"/>
  <c r="E894" i="1"/>
  <c r="U893" i="1"/>
  <c r="P893" i="1"/>
  <c r="G893" i="1"/>
  <c r="F893" i="1"/>
  <c r="E893" i="1"/>
  <c r="U892" i="1"/>
  <c r="P892" i="1"/>
  <c r="G892" i="1"/>
  <c r="F892" i="1"/>
  <c r="E892" i="1"/>
  <c r="U891" i="1"/>
  <c r="P891" i="1"/>
  <c r="G891" i="1"/>
  <c r="F891" i="1"/>
  <c r="E891" i="1"/>
  <c r="U890" i="1"/>
  <c r="P890" i="1"/>
  <c r="G890" i="1"/>
  <c r="F890" i="1"/>
  <c r="E890" i="1"/>
  <c r="U889" i="1"/>
  <c r="P889" i="1"/>
  <c r="G889" i="1"/>
  <c r="F889" i="1"/>
  <c r="E889" i="1"/>
  <c r="U888" i="1"/>
  <c r="P888" i="1"/>
  <c r="G888" i="1"/>
  <c r="F888" i="1"/>
  <c r="E888" i="1"/>
  <c r="U887" i="1"/>
  <c r="P887" i="1"/>
  <c r="G887" i="1"/>
  <c r="F887" i="1"/>
  <c r="E887" i="1"/>
  <c r="U886" i="1"/>
  <c r="P886" i="1"/>
  <c r="G886" i="1"/>
  <c r="F886" i="1"/>
  <c r="E886" i="1"/>
  <c r="U885" i="1"/>
  <c r="P885" i="1"/>
  <c r="G885" i="1"/>
  <c r="F885" i="1"/>
  <c r="E885" i="1"/>
  <c r="U884" i="1"/>
  <c r="P884" i="1"/>
  <c r="G884" i="1"/>
  <c r="F884" i="1"/>
  <c r="E884" i="1"/>
  <c r="U883" i="1"/>
  <c r="P883" i="1"/>
  <c r="G883" i="1"/>
  <c r="F883" i="1"/>
  <c r="E883" i="1"/>
  <c r="U882" i="1"/>
  <c r="P882" i="1"/>
  <c r="G882" i="1"/>
  <c r="U881" i="1"/>
  <c r="P881" i="1"/>
  <c r="G881" i="1"/>
  <c r="F881" i="1"/>
  <c r="E881" i="1"/>
  <c r="U880" i="1"/>
  <c r="P880" i="1"/>
  <c r="G880" i="1"/>
  <c r="F880" i="1"/>
  <c r="E880" i="1"/>
  <c r="U879" i="1"/>
  <c r="P879" i="1"/>
  <c r="G879" i="1"/>
  <c r="F879" i="1"/>
  <c r="E879" i="1"/>
  <c r="U878" i="1"/>
  <c r="P878" i="1"/>
  <c r="G878" i="1"/>
  <c r="F878" i="1"/>
  <c r="E878" i="1"/>
  <c r="U877" i="1"/>
  <c r="P877" i="1"/>
  <c r="G877" i="1"/>
  <c r="F877" i="1"/>
  <c r="E877" i="1"/>
  <c r="U876" i="1"/>
  <c r="P876" i="1"/>
  <c r="G876" i="1"/>
  <c r="F876" i="1"/>
  <c r="E876" i="1"/>
  <c r="U875" i="1"/>
  <c r="P875" i="1"/>
  <c r="G875" i="1"/>
  <c r="V874" i="1"/>
  <c r="G874" i="1"/>
  <c r="F874" i="1"/>
  <c r="E874" i="1"/>
  <c r="V873" i="1"/>
  <c r="G873" i="1" s="1"/>
  <c r="F873" i="1"/>
  <c r="E873" i="1"/>
  <c r="V872" i="1"/>
  <c r="G872" i="1"/>
  <c r="F872" i="1"/>
  <c r="E872" i="1"/>
  <c r="V871" i="1"/>
  <c r="G871" i="1"/>
  <c r="F871" i="1"/>
  <c r="E871" i="1"/>
  <c r="V870" i="1"/>
  <c r="G870" i="1" s="1"/>
  <c r="F870" i="1"/>
  <c r="E870" i="1"/>
  <c r="V869" i="1"/>
  <c r="G869" i="1"/>
  <c r="F869" i="1"/>
  <c r="E869" i="1"/>
  <c r="V868" i="1"/>
  <c r="G868" i="1"/>
  <c r="F868" i="1"/>
  <c r="E868" i="1"/>
  <c r="V867" i="1"/>
  <c r="G867" i="1" s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U849" i="1"/>
  <c r="P849" i="1"/>
  <c r="G849" i="1"/>
  <c r="F849" i="1"/>
  <c r="E849" i="1"/>
  <c r="U848" i="1"/>
  <c r="P848" i="1"/>
  <c r="G848" i="1"/>
  <c r="F848" i="1"/>
  <c r="E848" i="1"/>
  <c r="U847" i="1"/>
  <c r="P847" i="1"/>
  <c r="G847" i="1"/>
  <c r="F847" i="1"/>
  <c r="E847" i="1"/>
  <c r="U846" i="1"/>
  <c r="P846" i="1"/>
  <c r="G846" i="1"/>
  <c r="F846" i="1"/>
  <c r="E846" i="1"/>
  <c r="U845" i="1"/>
  <c r="P845" i="1"/>
  <c r="G845" i="1"/>
  <c r="F845" i="1"/>
  <c r="E845" i="1"/>
  <c r="U844" i="1"/>
  <c r="P844" i="1"/>
  <c r="G844" i="1"/>
  <c r="F844" i="1"/>
  <c r="E844" i="1"/>
  <c r="U843" i="1"/>
  <c r="P843" i="1"/>
  <c r="G843" i="1"/>
  <c r="F843" i="1"/>
  <c r="E843" i="1"/>
  <c r="U842" i="1"/>
  <c r="P842" i="1"/>
  <c r="G842" i="1"/>
  <c r="F842" i="1"/>
  <c r="E842" i="1"/>
  <c r="U841" i="1"/>
  <c r="P841" i="1"/>
  <c r="G841" i="1"/>
  <c r="F841" i="1"/>
  <c r="E841" i="1"/>
  <c r="U840" i="1"/>
  <c r="P840" i="1"/>
  <c r="G840" i="1"/>
  <c r="F840" i="1"/>
  <c r="E840" i="1"/>
  <c r="U839" i="1"/>
  <c r="P839" i="1"/>
  <c r="G839" i="1"/>
  <c r="F839" i="1"/>
  <c r="E839" i="1"/>
  <c r="U838" i="1"/>
  <c r="P838" i="1"/>
  <c r="G838" i="1"/>
  <c r="F838" i="1"/>
  <c r="E838" i="1"/>
  <c r="U837" i="1"/>
  <c r="P837" i="1"/>
  <c r="G837" i="1"/>
  <c r="F837" i="1"/>
  <c r="E837" i="1"/>
  <c r="U836" i="1"/>
  <c r="P836" i="1"/>
  <c r="G836" i="1"/>
  <c r="F836" i="1"/>
  <c r="E836" i="1"/>
  <c r="U835" i="1"/>
  <c r="P835" i="1"/>
  <c r="G835" i="1"/>
  <c r="F835" i="1"/>
  <c r="E835" i="1"/>
  <c r="U834" i="1"/>
  <c r="P834" i="1"/>
  <c r="G834" i="1"/>
  <c r="F834" i="1"/>
  <c r="E834" i="1"/>
  <c r="U833" i="1"/>
  <c r="P833" i="1"/>
  <c r="G833" i="1"/>
  <c r="F833" i="1"/>
  <c r="E833" i="1"/>
  <c r="U832" i="1"/>
  <c r="P832" i="1"/>
  <c r="G832" i="1"/>
  <c r="F832" i="1"/>
  <c r="E832" i="1"/>
  <c r="U831" i="1"/>
  <c r="P831" i="1"/>
  <c r="G831" i="1"/>
  <c r="F831" i="1"/>
  <c r="E831" i="1"/>
  <c r="U830" i="1"/>
  <c r="P830" i="1"/>
  <c r="G830" i="1"/>
  <c r="F830" i="1"/>
  <c r="E830" i="1"/>
  <c r="U829" i="1"/>
  <c r="P829" i="1"/>
  <c r="G829" i="1"/>
  <c r="F829" i="1"/>
  <c r="E829" i="1"/>
  <c r="U828" i="1"/>
  <c r="P828" i="1"/>
  <c r="G828" i="1"/>
  <c r="F828" i="1"/>
  <c r="E828" i="1"/>
  <c r="U827" i="1"/>
  <c r="P827" i="1"/>
  <c r="G827" i="1"/>
  <c r="F827" i="1"/>
  <c r="E827" i="1"/>
  <c r="U826" i="1"/>
  <c r="P826" i="1"/>
  <c r="G826" i="1"/>
  <c r="F826" i="1"/>
  <c r="E826" i="1"/>
  <c r="U825" i="1"/>
  <c r="P825" i="1"/>
  <c r="G825" i="1"/>
  <c r="F825" i="1"/>
  <c r="E825" i="1"/>
  <c r="U824" i="1"/>
  <c r="P824" i="1"/>
  <c r="G824" i="1"/>
  <c r="F824" i="1"/>
  <c r="E824" i="1"/>
  <c r="U823" i="1"/>
  <c r="P823" i="1"/>
  <c r="G823" i="1"/>
  <c r="F823" i="1"/>
  <c r="E823" i="1"/>
  <c r="U822" i="1"/>
  <c r="P822" i="1"/>
  <c r="G822" i="1"/>
  <c r="F822" i="1"/>
  <c r="E822" i="1"/>
  <c r="U821" i="1"/>
  <c r="P821" i="1"/>
  <c r="G821" i="1"/>
  <c r="F821" i="1"/>
  <c r="E821" i="1"/>
  <c r="U820" i="1"/>
  <c r="P820" i="1"/>
  <c r="G820" i="1"/>
  <c r="F820" i="1"/>
  <c r="E820" i="1"/>
  <c r="U819" i="1"/>
  <c r="P819" i="1"/>
  <c r="G819" i="1"/>
  <c r="F819" i="1"/>
  <c r="E819" i="1"/>
  <c r="U818" i="1"/>
  <c r="P818" i="1"/>
  <c r="G818" i="1"/>
  <c r="F818" i="1"/>
  <c r="E818" i="1"/>
  <c r="U817" i="1"/>
  <c r="P817" i="1"/>
  <c r="G817" i="1"/>
  <c r="F817" i="1"/>
  <c r="E817" i="1"/>
  <c r="U816" i="1"/>
  <c r="P816" i="1"/>
  <c r="G816" i="1"/>
  <c r="F816" i="1"/>
  <c r="E816" i="1"/>
  <c r="U815" i="1"/>
  <c r="P815" i="1"/>
  <c r="G815" i="1"/>
  <c r="F815" i="1"/>
  <c r="U814" i="1"/>
  <c r="P814" i="1"/>
  <c r="G814" i="1"/>
  <c r="F814" i="1"/>
  <c r="E814" i="1"/>
  <c r="U813" i="1"/>
  <c r="P813" i="1"/>
  <c r="G813" i="1"/>
  <c r="F813" i="1"/>
  <c r="E813" i="1"/>
  <c r="U812" i="1"/>
  <c r="P812" i="1"/>
  <c r="G812" i="1"/>
  <c r="F812" i="1"/>
  <c r="E812" i="1"/>
  <c r="U811" i="1"/>
  <c r="P811" i="1"/>
  <c r="G811" i="1"/>
  <c r="F811" i="1"/>
  <c r="E811" i="1"/>
  <c r="U810" i="1"/>
  <c r="P810" i="1"/>
  <c r="G810" i="1"/>
  <c r="F810" i="1"/>
  <c r="E810" i="1"/>
  <c r="U809" i="1"/>
  <c r="P809" i="1"/>
  <c r="G809" i="1"/>
  <c r="F809" i="1"/>
  <c r="E809" i="1"/>
  <c r="U808" i="1"/>
  <c r="P808" i="1"/>
  <c r="G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U775" i="1"/>
  <c r="P775" i="1"/>
  <c r="V774" i="1"/>
  <c r="G774" i="1" s="1"/>
  <c r="P774" i="1"/>
  <c r="F774" i="1"/>
  <c r="V773" i="1"/>
  <c r="E773" i="1" s="1"/>
  <c r="P773" i="1"/>
  <c r="F773" i="1"/>
  <c r="V772" i="1"/>
  <c r="G772" i="1" s="1"/>
  <c r="P772" i="1"/>
  <c r="F772" i="1"/>
  <c r="V771" i="1"/>
  <c r="E771" i="1" s="1"/>
  <c r="P771" i="1"/>
  <c r="F771" i="1"/>
  <c r="V770" i="1"/>
  <c r="E770" i="1" s="1"/>
  <c r="P770" i="1"/>
  <c r="F770" i="1"/>
  <c r="V769" i="1"/>
  <c r="G769" i="1" s="1"/>
  <c r="P769" i="1"/>
  <c r="F769" i="1"/>
  <c r="V768" i="1"/>
  <c r="E768" i="1" s="1"/>
  <c r="P768" i="1"/>
  <c r="G768" i="1"/>
  <c r="F768" i="1"/>
  <c r="V767" i="1"/>
  <c r="E767" i="1" s="1"/>
  <c r="P767" i="1"/>
  <c r="F767" i="1"/>
  <c r="V766" i="1"/>
  <c r="E766" i="1" s="1"/>
  <c r="P766" i="1"/>
  <c r="F766" i="1"/>
  <c r="V765" i="1"/>
  <c r="E765" i="1" s="1"/>
  <c r="U765" i="1"/>
  <c r="P765" i="1"/>
  <c r="F765" i="1"/>
  <c r="V764" i="1"/>
  <c r="G764" i="1" s="1"/>
  <c r="P764" i="1"/>
  <c r="F764" i="1"/>
  <c r="E764" i="1"/>
  <c r="V763" i="1"/>
  <c r="P763" i="1"/>
  <c r="G763" i="1"/>
  <c r="F763" i="1"/>
  <c r="E763" i="1"/>
  <c r="V762" i="1"/>
  <c r="G762" i="1" s="1"/>
  <c r="P762" i="1"/>
  <c r="F762" i="1"/>
  <c r="E762" i="1"/>
  <c r="V761" i="1"/>
  <c r="G761" i="1" s="1"/>
  <c r="P761" i="1"/>
  <c r="F761" i="1"/>
  <c r="E761" i="1"/>
  <c r="V760" i="1"/>
  <c r="G760" i="1" s="1"/>
  <c r="P760" i="1"/>
  <c r="F760" i="1"/>
  <c r="E760" i="1"/>
  <c r="V759" i="1"/>
  <c r="G759" i="1" s="1"/>
  <c r="P759" i="1"/>
  <c r="F759" i="1"/>
  <c r="E759" i="1"/>
  <c r="V758" i="1"/>
  <c r="P758" i="1"/>
  <c r="G758" i="1"/>
  <c r="F758" i="1"/>
  <c r="E758" i="1"/>
  <c r="V757" i="1"/>
  <c r="P757" i="1"/>
  <c r="G757" i="1"/>
  <c r="F757" i="1"/>
  <c r="E757" i="1"/>
  <c r="V756" i="1"/>
  <c r="G756" i="1" s="1"/>
  <c r="P756" i="1"/>
  <c r="F756" i="1"/>
  <c r="E756" i="1"/>
  <c r="V755" i="1"/>
  <c r="G755" i="1" s="1"/>
  <c r="U755" i="1"/>
  <c r="P755" i="1"/>
  <c r="F755" i="1"/>
  <c r="E755" i="1"/>
  <c r="V754" i="1"/>
  <c r="G754" i="1" s="1"/>
  <c r="P754" i="1"/>
  <c r="F754" i="1"/>
  <c r="E754" i="1"/>
  <c r="V753" i="1"/>
  <c r="G753" i="1" s="1"/>
  <c r="P753" i="1"/>
  <c r="F753" i="1"/>
  <c r="E753" i="1"/>
  <c r="V752" i="1"/>
  <c r="G752" i="1" s="1"/>
  <c r="P752" i="1"/>
  <c r="F752" i="1"/>
  <c r="E752" i="1"/>
  <c r="V751" i="1"/>
  <c r="P751" i="1"/>
  <c r="G751" i="1"/>
  <c r="F751" i="1"/>
  <c r="E751" i="1"/>
  <c r="V750" i="1"/>
  <c r="G750" i="1" s="1"/>
  <c r="P750" i="1"/>
  <c r="F750" i="1"/>
  <c r="E750" i="1"/>
  <c r="V749" i="1"/>
  <c r="G749" i="1" s="1"/>
  <c r="P749" i="1"/>
  <c r="F749" i="1"/>
  <c r="E749" i="1"/>
  <c r="V748" i="1"/>
  <c r="G748" i="1" s="1"/>
  <c r="P748" i="1"/>
  <c r="F748" i="1"/>
  <c r="E748" i="1"/>
  <c r="V747" i="1"/>
  <c r="P747" i="1"/>
  <c r="G747" i="1"/>
  <c r="F747" i="1"/>
  <c r="E747" i="1"/>
  <c r="V746" i="1"/>
  <c r="P746" i="1"/>
  <c r="G746" i="1"/>
  <c r="F746" i="1"/>
  <c r="E746" i="1"/>
  <c r="V745" i="1"/>
  <c r="G745" i="1" s="1"/>
  <c r="U745" i="1"/>
  <c r="P745" i="1"/>
  <c r="F745" i="1"/>
  <c r="E745" i="1"/>
  <c r="V744" i="1"/>
  <c r="G744" i="1" s="1"/>
  <c r="P744" i="1"/>
  <c r="F744" i="1"/>
  <c r="E744" i="1"/>
  <c r="V743" i="1"/>
  <c r="P743" i="1"/>
  <c r="G743" i="1"/>
  <c r="F743" i="1"/>
  <c r="E743" i="1"/>
  <c r="V742" i="1"/>
  <c r="P742" i="1"/>
  <c r="G742" i="1"/>
  <c r="F742" i="1"/>
  <c r="E742" i="1"/>
  <c r="V741" i="1"/>
  <c r="G741" i="1" s="1"/>
  <c r="P741" i="1"/>
  <c r="F741" i="1"/>
  <c r="E741" i="1"/>
  <c r="V740" i="1"/>
  <c r="G740" i="1" s="1"/>
  <c r="P740" i="1"/>
  <c r="F740" i="1"/>
  <c r="E740" i="1"/>
  <c r="V739" i="1"/>
  <c r="G739" i="1" s="1"/>
  <c r="P739" i="1"/>
  <c r="F739" i="1"/>
  <c r="E739" i="1"/>
  <c r="V738" i="1"/>
  <c r="G738" i="1" s="1"/>
  <c r="P738" i="1"/>
  <c r="F738" i="1"/>
  <c r="E738" i="1"/>
  <c r="V737" i="1"/>
  <c r="P737" i="1"/>
  <c r="G737" i="1"/>
  <c r="F737" i="1"/>
  <c r="E737" i="1"/>
  <c r="V736" i="1"/>
  <c r="P736" i="1"/>
  <c r="G736" i="1"/>
  <c r="F736" i="1"/>
  <c r="E736" i="1"/>
  <c r="V735" i="1"/>
  <c r="G735" i="1" s="1"/>
  <c r="P735" i="1"/>
  <c r="F735" i="1"/>
  <c r="E735" i="1"/>
  <c r="V734" i="1"/>
  <c r="G734" i="1" s="1"/>
  <c r="P734" i="1"/>
  <c r="F734" i="1"/>
  <c r="E734" i="1"/>
  <c r="V733" i="1"/>
  <c r="G733" i="1" s="1"/>
  <c r="P733" i="1"/>
  <c r="F733" i="1"/>
  <c r="E733" i="1"/>
  <c r="V732" i="1"/>
  <c r="G732" i="1" s="1"/>
  <c r="P732" i="1"/>
  <c r="F732" i="1"/>
  <c r="E732" i="1"/>
  <c r="V731" i="1"/>
  <c r="G731" i="1" s="1"/>
  <c r="P731" i="1"/>
  <c r="F731" i="1"/>
  <c r="E731" i="1"/>
  <c r="V730" i="1"/>
  <c r="P730" i="1"/>
  <c r="G730" i="1"/>
  <c r="F730" i="1"/>
  <c r="E730" i="1"/>
  <c r="V729" i="1"/>
  <c r="G729" i="1" s="1"/>
  <c r="P729" i="1"/>
  <c r="F729" i="1"/>
  <c r="E729" i="1"/>
  <c r="V728" i="1"/>
  <c r="P728" i="1"/>
  <c r="G728" i="1"/>
  <c r="F728" i="1"/>
  <c r="E728" i="1"/>
  <c r="V727" i="1"/>
  <c r="G727" i="1" s="1"/>
  <c r="U727" i="1"/>
  <c r="P727" i="1"/>
  <c r="F727" i="1"/>
  <c r="E727" i="1"/>
  <c r="V726" i="1"/>
  <c r="G726" i="1" s="1"/>
  <c r="N726" i="1"/>
  <c r="P726" i="1" s="1"/>
  <c r="F726" i="1"/>
  <c r="E726" i="1"/>
  <c r="V725" i="1"/>
  <c r="G725" i="1" s="1"/>
  <c r="N725" i="1"/>
  <c r="P725" i="1" s="1"/>
  <c r="F725" i="1"/>
  <c r="E725" i="1"/>
  <c r="V724" i="1"/>
  <c r="G724" i="1" s="1"/>
  <c r="N724" i="1"/>
  <c r="P724" i="1" s="1"/>
  <c r="F724" i="1"/>
  <c r="E724" i="1"/>
  <c r="V723" i="1"/>
  <c r="G723" i="1" s="1"/>
  <c r="N723" i="1"/>
  <c r="P723" i="1" s="1"/>
  <c r="F723" i="1"/>
  <c r="E723" i="1"/>
  <c r="V722" i="1"/>
  <c r="G722" i="1" s="1"/>
  <c r="N722" i="1"/>
  <c r="P722" i="1" s="1"/>
  <c r="F722" i="1"/>
  <c r="E722" i="1"/>
  <c r="V721" i="1"/>
  <c r="N721" i="1"/>
  <c r="P721" i="1" s="1"/>
  <c r="G721" i="1"/>
  <c r="F721" i="1"/>
  <c r="E721" i="1"/>
  <c r="V720" i="1"/>
  <c r="G720" i="1" s="1"/>
  <c r="N720" i="1"/>
  <c r="P720" i="1" s="1"/>
  <c r="F720" i="1"/>
  <c r="E720" i="1"/>
  <c r="V719" i="1"/>
  <c r="G719" i="1" s="1"/>
  <c r="N719" i="1"/>
  <c r="P719" i="1" s="1"/>
  <c r="F719" i="1"/>
  <c r="E719" i="1"/>
  <c r="V718" i="1"/>
  <c r="G718" i="1" s="1"/>
  <c r="N718" i="1"/>
  <c r="P718" i="1" s="1"/>
  <c r="F718" i="1"/>
  <c r="E718" i="1"/>
  <c r="V717" i="1"/>
  <c r="G717" i="1" s="1"/>
  <c r="N717" i="1"/>
  <c r="P717" i="1" s="1"/>
  <c r="F717" i="1"/>
  <c r="E717" i="1"/>
  <c r="V716" i="1"/>
  <c r="G716" i="1" s="1"/>
  <c r="N716" i="1"/>
  <c r="P716" i="1" s="1"/>
  <c r="F716" i="1"/>
  <c r="E716" i="1"/>
  <c r="V715" i="1"/>
  <c r="G715" i="1" s="1"/>
  <c r="N715" i="1"/>
  <c r="P715" i="1" s="1"/>
  <c r="F715" i="1"/>
  <c r="E715" i="1"/>
  <c r="V714" i="1"/>
  <c r="G714" i="1" s="1"/>
  <c r="N714" i="1"/>
  <c r="P714" i="1" s="1"/>
  <c r="F714" i="1"/>
  <c r="E714" i="1"/>
  <c r="V713" i="1"/>
  <c r="N713" i="1"/>
  <c r="P713" i="1" s="1"/>
  <c r="G713" i="1"/>
  <c r="F713" i="1"/>
  <c r="E713" i="1"/>
  <c r="V712" i="1"/>
  <c r="G712" i="1" s="1"/>
  <c r="N712" i="1"/>
  <c r="P712" i="1" s="1"/>
  <c r="F712" i="1"/>
  <c r="E712" i="1"/>
  <c r="V711" i="1"/>
  <c r="G711" i="1" s="1"/>
  <c r="N711" i="1"/>
  <c r="P711" i="1" s="1"/>
  <c r="F711" i="1"/>
  <c r="E711" i="1"/>
  <c r="V710" i="1"/>
  <c r="G710" i="1" s="1"/>
  <c r="N710" i="1"/>
  <c r="P710" i="1" s="1"/>
  <c r="F710" i="1"/>
  <c r="E710" i="1"/>
  <c r="V709" i="1"/>
  <c r="G709" i="1" s="1"/>
  <c r="N709" i="1"/>
  <c r="P709" i="1" s="1"/>
  <c r="F709" i="1"/>
  <c r="E709" i="1"/>
  <c r="V708" i="1"/>
  <c r="G708" i="1" s="1"/>
  <c r="N708" i="1"/>
  <c r="P708" i="1" s="1"/>
  <c r="F708" i="1"/>
  <c r="E708" i="1"/>
  <c r="V707" i="1"/>
  <c r="G707" i="1" s="1"/>
  <c r="N707" i="1"/>
  <c r="P707" i="1" s="1"/>
  <c r="F707" i="1"/>
  <c r="E707" i="1"/>
  <c r="V706" i="1"/>
  <c r="G706" i="1" s="1"/>
  <c r="N706" i="1"/>
  <c r="P706" i="1" s="1"/>
  <c r="F706" i="1"/>
  <c r="E706" i="1"/>
  <c r="V705" i="1"/>
  <c r="N705" i="1"/>
  <c r="P705" i="1" s="1"/>
  <c r="G705" i="1"/>
  <c r="F705" i="1"/>
  <c r="E705" i="1"/>
  <c r="V704" i="1"/>
  <c r="G704" i="1" s="1"/>
  <c r="N704" i="1"/>
  <c r="P704" i="1" s="1"/>
  <c r="F704" i="1"/>
  <c r="E704" i="1"/>
  <c r="V703" i="1"/>
  <c r="G703" i="1" s="1"/>
  <c r="N703" i="1"/>
  <c r="P703" i="1" s="1"/>
  <c r="F703" i="1"/>
  <c r="E703" i="1"/>
  <c r="V702" i="1"/>
  <c r="G702" i="1" s="1"/>
  <c r="N702" i="1"/>
  <c r="P702" i="1" s="1"/>
  <c r="F702" i="1"/>
  <c r="E702" i="1"/>
  <c r="V701" i="1"/>
  <c r="G701" i="1" s="1"/>
  <c r="N701" i="1"/>
  <c r="P701" i="1" s="1"/>
  <c r="F701" i="1"/>
  <c r="E701" i="1"/>
  <c r="V700" i="1"/>
  <c r="G700" i="1" s="1"/>
  <c r="N700" i="1"/>
  <c r="P700" i="1" s="1"/>
  <c r="F700" i="1"/>
  <c r="E700" i="1"/>
  <c r="V699" i="1"/>
  <c r="G699" i="1" s="1"/>
  <c r="N699" i="1"/>
  <c r="P699" i="1" s="1"/>
  <c r="F699" i="1"/>
  <c r="E699" i="1"/>
  <c r="V698" i="1"/>
  <c r="G698" i="1" s="1"/>
  <c r="N698" i="1"/>
  <c r="P698" i="1" s="1"/>
  <c r="F698" i="1"/>
  <c r="E698" i="1"/>
  <c r="V697" i="1"/>
  <c r="N697" i="1"/>
  <c r="P697" i="1" s="1"/>
  <c r="G697" i="1"/>
  <c r="F697" i="1"/>
  <c r="E697" i="1"/>
  <c r="V696" i="1"/>
  <c r="G696" i="1" s="1"/>
  <c r="N696" i="1"/>
  <c r="P696" i="1" s="1"/>
  <c r="F696" i="1"/>
  <c r="E696" i="1"/>
  <c r="V695" i="1"/>
  <c r="G695" i="1" s="1"/>
  <c r="N695" i="1"/>
  <c r="P695" i="1" s="1"/>
  <c r="F695" i="1"/>
  <c r="E695" i="1"/>
  <c r="V694" i="1"/>
  <c r="G694" i="1" s="1"/>
  <c r="N694" i="1"/>
  <c r="P694" i="1" s="1"/>
  <c r="F694" i="1"/>
  <c r="E694" i="1"/>
  <c r="V693" i="1"/>
  <c r="G693" i="1" s="1"/>
  <c r="N693" i="1"/>
  <c r="P693" i="1" s="1"/>
  <c r="F693" i="1"/>
  <c r="E693" i="1"/>
  <c r="V692" i="1"/>
  <c r="G692" i="1" s="1"/>
  <c r="N692" i="1"/>
  <c r="P692" i="1" s="1"/>
  <c r="F692" i="1"/>
  <c r="E692" i="1"/>
  <c r="V691" i="1"/>
  <c r="G691" i="1" s="1"/>
  <c r="N691" i="1"/>
  <c r="P691" i="1" s="1"/>
  <c r="F691" i="1"/>
  <c r="E691" i="1"/>
  <c r="V690" i="1"/>
  <c r="G690" i="1" s="1"/>
  <c r="N690" i="1"/>
  <c r="P690" i="1" s="1"/>
  <c r="F690" i="1"/>
  <c r="E690" i="1"/>
  <c r="V689" i="1"/>
  <c r="N689" i="1"/>
  <c r="P689" i="1" s="1"/>
  <c r="G689" i="1"/>
  <c r="F689" i="1"/>
  <c r="E689" i="1"/>
  <c r="V688" i="1"/>
  <c r="G688" i="1" s="1"/>
  <c r="N688" i="1"/>
  <c r="P688" i="1" s="1"/>
  <c r="F688" i="1"/>
  <c r="E688" i="1"/>
  <c r="V687" i="1"/>
  <c r="G687" i="1" s="1"/>
  <c r="N687" i="1"/>
  <c r="P687" i="1" s="1"/>
  <c r="F687" i="1"/>
  <c r="E687" i="1"/>
  <c r="V686" i="1"/>
  <c r="G686" i="1" s="1"/>
  <c r="N686" i="1"/>
  <c r="P686" i="1" s="1"/>
  <c r="F686" i="1"/>
  <c r="E686" i="1"/>
  <c r="V685" i="1"/>
  <c r="G685" i="1" s="1"/>
  <c r="N685" i="1"/>
  <c r="P685" i="1" s="1"/>
  <c r="F685" i="1"/>
  <c r="E685" i="1"/>
  <c r="V684" i="1"/>
  <c r="G684" i="1" s="1"/>
  <c r="N684" i="1"/>
  <c r="P684" i="1" s="1"/>
  <c r="F684" i="1"/>
  <c r="E684" i="1"/>
  <c r="V683" i="1"/>
  <c r="G683" i="1" s="1"/>
  <c r="N683" i="1"/>
  <c r="P683" i="1" s="1"/>
  <c r="F683" i="1"/>
  <c r="E683" i="1"/>
  <c r="V682" i="1"/>
  <c r="G682" i="1" s="1"/>
  <c r="N682" i="1"/>
  <c r="P682" i="1" s="1"/>
  <c r="F682" i="1"/>
  <c r="E682" i="1"/>
  <c r="V681" i="1"/>
  <c r="N681" i="1"/>
  <c r="P681" i="1" s="1"/>
  <c r="G681" i="1"/>
  <c r="F681" i="1"/>
  <c r="E681" i="1"/>
  <c r="V680" i="1"/>
  <c r="G680" i="1" s="1"/>
  <c r="N680" i="1"/>
  <c r="P680" i="1" s="1"/>
  <c r="F680" i="1"/>
  <c r="E680" i="1"/>
  <c r="V679" i="1"/>
  <c r="G679" i="1" s="1"/>
  <c r="N679" i="1"/>
  <c r="P679" i="1" s="1"/>
  <c r="F679" i="1"/>
  <c r="E679" i="1"/>
  <c r="V678" i="1"/>
  <c r="G678" i="1" s="1"/>
  <c r="N678" i="1"/>
  <c r="P678" i="1" s="1"/>
  <c r="F678" i="1"/>
  <c r="E678" i="1"/>
  <c r="V677" i="1"/>
  <c r="N677" i="1"/>
  <c r="P677" i="1" s="1"/>
  <c r="G677" i="1"/>
  <c r="F677" i="1"/>
  <c r="E677" i="1"/>
  <c r="V676" i="1"/>
  <c r="G676" i="1" s="1"/>
  <c r="N676" i="1"/>
  <c r="P676" i="1" s="1"/>
  <c r="F676" i="1"/>
  <c r="E676" i="1"/>
  <c r="V675" i="1"/>
  <c r="G675" i="1" s="1"/>
  <c r="N675" i="1"/>
  <c r="P675" i="1" s="1"/>
  <c r="F675" i="1"/>
  <c r="E675" i="1"/>
  <c r="V674" i="1"/>
  <c r="G674" i="1" s="1"/>
  <c r="N674" i="1"/>
  <c r="P674" i="1" s="1"/>
  <c r="F674" i="1"/>
  <c r="E674" i="1"/>
  <c r="V673" i="1"/>
  <c r="N673" i="1"/>
  <c r="P673" i="1" s="1"/>
  <c r="G673" i="1"/>
  <c r="F673" i="1"/>
  <c r="E673" i="1"/>
  <c r="V672" i="1"/>
  <c r="G672" i="1" s="1"/>
  <c r="N672" i="1"/>
  <c r="P672" i="1" s="1"/>
  <c r="F672" i="1"/>
  <c r="E672" i="1"/>
  <c r="V671" i="1"/>
  <c r="G671" i="1" s="1"/>
  <c r="N671" i="1"/>
  <c r="P671" i="1" s="1"/>
  <c r="F671" i="1"/>
  <c r="E671" i="1"/>
  <c r="V670" i="1"/>
  <c r="G670" i="1" s="1"/>
  <c r="N670" i="1"/>
  <c r="P670" i="1" s="1"/>
  <c r="F670" i="1"/>
  <c r="E670" i="1"/>
  <c r="V669" i="1"/>
  <c r="N669" i="1"/>
  <c r="P669" i="1" s="1"/>
  <c r="G669" i="1"/>
  <c r="F669" i="1"/>
  <c r="E669" i="1"/>
  <c r="V668" i="1"/>
  <c r="G668" i="1" s="1"/>
  <c r="N668" i="1"/>
  <c r="P668" i="1" s="1"/>
  <c r="F668" i="1"/>
  <c r="E668" i="1"/>
  <c r="V667" i="1"/>
  <c r="G667" i="1" s="1"/>
  <c r="N667" i="1"/>
  <c r="P667" i="1" s="1"/>
  <c r="F667" i="1"/>
  <c r="E667" i="1"/>
  <c r="V666" i="1"/>
  <c r="G666" i="1" s="1"/>
  <c r="N666" i="1"/>
  <c r="P666" i="1" s="1"/>
  <c r="F666" i="1"/>
  <c r="E666" i="1"/>
  <c r="V665" i="1"/>
  <c r="N665" i="1"/>
  <c r="P665" i="1" s="1"/>
  <c r="G665" i="1"/>
  <c r="F665" i="1"/>
  <c r="E665" i="1"/>
  <c r="V664" i="1"/>
  <c r="G664" i="1" s="1"/>
  <c r="N664" i="1"/>
  <c r="P664" i="1" s="1"/>
  <c r="F664" i="1"/>
  <c r="E664" i="1"/>
  <c r="V663" i="1"/>
  <c r="G663" i="1" s="1"/>
  <c r="N663" i="1"/>
  <c r="P663" i="1" s="1"/>
  <c r="F663" i="1"/>
  <c r="E663" i="1"/>
  <c r="V662" i="1"/>
  <c r="G662" i="1" s="1"/>
  <c r="N662" i="1"/>
  <c r="P662" i="1" s="1"/>
  <c r="F662" i="1"/>
  <c r="E662" i="1"/>
  <c r="V661" i="1"/>
  <c r="N661" i="1"/>
  <c r="P661" i="1" s="1"/>
  <c r="G661" i="1"/>
  <c r="F661" i="1"/>
  <c r="E661" i="1"/>
  <c r="V660" i="1"/>
  <c r="G660" i="1" s="1"/>
  <c r="N660" i="1"/>
  <c r="P660" i="1" s="1"/>
  <c r="F660" i="1"/>
  <c r="E660" i="1"/>
  <c r="V659" i="1"/>
  <c r="G659" i="1" s="1"/>
  <c r="N659" i="1"/>
  <c r="P659" i="1" s="1"/>
  <c r="F659" i="1"/>
  <c r="E659" i="1"/>
  <c r="V658" i="1"/>
  <c r="G658" i="1" s="1"/>
  <c r="N658" i="1"/>
  <c r="P658" i="1" s="1"/>
  <c r="F658" i="1"/>
  <c r="E658" i="1"/>
  <c r="V657" i="1"/>
  <c r="N657" i="1"/>
  <c r="P657" i="1" s="1"/>
  <c r="G657" i="1"/>
  <c r="F657" i="1"/>
  <c r="E657" i="1"/>
  <c r="V656" i="1"/>
  <c r="G656" i="1" s="1"/>
  <c r="N656" i="1"/>
  <c r="P656" i="1" s="1"/>
  <c r="F656" i="1"/>
  <c r="E656" i="1"/>
  <c r="V655" i="1"/>
  <c r="G655" i="1" s="1"/>
  <c r="N655" i="1"/>
  <c r="P655" i="1" s="1"/>
  <c r="F655" i="1"/>
  <c r="E655" i="1"/>
  <c r="V654" i="1"/>
  <c r="G654" i="1" s="1"/>
  <c r="P654" i="1"/>
  <c r="F654" i="1"/>
  <c r="E654" i="1"/>
  <c r="V653" i="1"/>
  <c r="N653" i="1"/>
  <c r="P653" i="1" s="1"/>
  <c r="G653" i="1"/>
  <c r="F653" i="1"/>
  <c r="E653" i="1"/>
  <c r="V652" i="1"/>
  <c r="N652" i="1"/>
  <c r="P652" i="1" s="1"/>
  <c r="G652" i="1"/>
  <c r="F652" i="1"/>
  <c r="E652" i="1"/>
  <c r="V651" i="1"/>
  <c r="G651" i="1" s="1"/>
  <c r="N651" i="1"/>
  <c r="P651" i="1" s="1"/>
  <c r="F651" i="1"/>
  <c r="E651" i="1"/>
  <c r="V650" i="1"/>
  <c r="G650" i="1" s="1"/>
  <c r="N650" i="1"/>
  <c r="P650" i="1" s="1"/>
  <c r="F650" i="1"/>
  <c r="E650" i="1"/>
  <c r="V649" i="1"/>
  <c r="N649" i="1"/>
  <c r="P649" i="1" s="1"/>
  <c r="G649" i="1"/>
  <c r="F649" i="1"/>
  <c r="E649" i="1"/>
  <c r="V648" i="1"/>
  <c r="G648" i="1" s="1"/>
  <c r="N648" i="1"/>
  <c r="P648" i="1" s="1"/>
  <c r="F648" i="1"/>
  <c r="E648" i="1"/>
  <c r="V647" i="1"/>
  <c r="G647" i="1" s="1"/>
  <c r="N647" i="1"/>
  <c r="P647" i="1" s="1"/>
  <c r="F647" i="1"/>
  <c r="E647" i="1"/>
  <c r="V646" i="1"/>
  <c r="G646" i="1" s="1"/>
  <c r="N646" i="1"/>
  <c r="P646" i="1" s="1"/>
  <c r="F646" i="1"/>
  <c r="E646" i="1"/>
  <c r="V645" i="1"/>
  <c r="G645" i="1" s="1"/>
  <c r="N645" i="1"/>
  <c r="P645" i="1" s="1"/>
  <c r="F645" i="1"/>
  <c r="E645" i="1"/>
  <c r="V644" i="1"/>
  <c r="N644" i="1"/>
  <c r="P644" i="1" s="1"/>
  <c r="G644" i="1"/>
  <c r="F644" i="1"/>
  <c r="E644" i="1"/>
  <c r="V643" i="1"/>
  <c r="N643" i="1"/>
  <c r="P643" i="1" s="1"/>
  <c r="G643" i="1"/>
  <c r="F643" i="1"/>
  <c r="E643" i="1"/>
  <c r="V642" i="1"/>
  <c r="G642" i="1" s="1"/>
  <c r="N642" i="1"/>
  <c r="P642" i="1" s="1"/>
  <c r="F642" i="1"/>
  <c r="E642" i="1"/>
  <c r="V641" i="1"/>
  <c r="N641" i="1"/>
  <c r="P641" i="1" s="1"/>
  <c r="G641" i="1"/>
  <c r="F641" i="1"/>
  <c r="E641" i="1"/>
  <c r="V640" i="1"/>
  <c r="N640" i="1"/>
  <c r="P640" i="1" s="1"/>
  <c r="G640" i="1"/>
  <c r="F640" i="1"/>
  <c r="E640" i="1"/>
  <c r="V639" i="1"/>
  <c r="N639" i="1"/>
  <c r="P639" i="1" s="1"/>
  <c r="G639" i="1"/>
  <c r="F639" i="1"/>
  <c r="E639" i="1"/>
  <c r="V638" i="1"/>
  <c r="G638" i="1" s="1"/>
  <c r="N638" i="1"/>
  <c r="P638" i="1" s="1"/>
  <c r="F638" i="1"/>
  <c r="E638" i="1"/>
  <c r="V637" i="1"/>
  <c r="G637" i="1" s="1"/>
  <c r="N637" i="1"/>
  <c r="P637" i="1" s="1"/>
  <c r="F637" i="1"/>
  <c r="E637" i="1"/>
  <c r="V636" i="1"/>
  <c r="G636" i="1" s="1"/>
  <c r="N636" i="1"/>
  <c r="P636" i="1" s="1"/>
  <c r="F636" i="1"/>
  <c r="E636" i="1"/>
  <c r="V635" i="1"/>
  <c r="G635" i="1" s="1"/>
  <c r="P635" i="1"/>
  <c r="F635" i="1"/>
  <c r="E635" i="1"/>
  <c r="V634" i="1"/>
  <c r="P634" i="1"/>
  <c r="G634" i="1"/>
  <c r="F634" i="1"/>
  <c r="E634" i="1"/>
  <c r="V633" i="1"/>
  <c r="G633" i="1" s="1"/>
  <c r="P633" i="1"/>
  <c r="F633" i="1"/>
  <c r="E633" i="1"/>
  <c r="V632" i="1"/>
  <c r="P632" i="1"/>
  <c r="G632" i="1"/>
  <c r="F632" i="1"/>
  <c r="E632" i="1"/>
  <c r="V631" i="1"/>
  <c r="P631" i="1"/>
  <c r="G631" i="1"/>
  <c r="F631" i="1"/>
  <c r="E631" i="1"/>
  <c r="V630" i="1"/>
  <c r="G630" i="1" s="1"/>
  <c r="P630" i="1"/>
  <c r="F630" i="1"/>
  <c r="E630" i="1"/>
  <c r="V629" i="1"/>
  <c r="G629" i="1" s="1"/>
  <c r="P629" i="1"/>
  <c r="F629" i="1"/>
  <c r="E629" i="1"/>
  <c r="V628" i="1"/>
  <c r="P628" i="1"/>
  <c r="G628" i="1"/>
  <c r="F628" i="1"/>
  <c r="E628" i="1"/>
  <c r="V627" i="1"/>
  <c r="P627" i="1"/>
  <c r="G627" i="1"/>
  <c r="F627" i="1"/>
  <c r="E627" i="1"/>
  <c r="V626" i="1"/>
  <c r="G626" i="1"/>
  <c r="F626" i="1"/>
  <c r="E626" i="1"/>
  <c r="V625" i="1"/>
  <c r="G625" i="1" s="1"/>
  <c r="N625" i="1"/>
  <c r="P625" i="1" s="1"/>
  <c r="F625" i="1"/>
  <c r="E625" i="1"/>
  <c r="V624" i="1"/>
  <c r="G624" i="1" s="1"/>
  <c r="N624" i="1"/>
  <c r="P624" i="1" s="1"/>
  <c r="F624" i="1"/>
  <c r="E624" i="1"/>
  <c r="V623" i="1"/>
  <c r="G623" i="1" s="1"/>
  <c r="N623" i="1"/>
  <c r="P623" i="1" s="1"/>
  <c r="F623" i="1"/>
  <c r="E623" i="1"/>
  <c r="V622" i="1"/>
  <c r="G622" i="1" s="1"/>
  <c r="N622" i="1"/>
  <c r="P622" i="1" s="1"/>
  <c r="F622" i="1"/>
  <c r="E622" i="1"/>
  <c r="V621" i="1"/>
  <c r="N621" i="1"/>
  <c r="P621" i="1" s="1"/>
  <c r="G621" i="1"/>
  <c r="F621" i="1"/>
  <c r="E621" i="1"/>
  <c r="V620" i="1"/>
  <c r="G620" i="1" s="1"/>
  <c r="N620" i="1"/>
  <c r="P620" i="1" s="1"/>
  <c r="F620" i="1"/>
  <c r="E620" i="1"/>
  <c r="V619" i="1"/>
  <c r="P619" i="1"/>
  <c r="N619" i="1"/>
  <c r="G619" i="1"/>
  <c r="F619" i="1"/>
  <c r="E619" i="1"/>
  <c r="V618" i="1"/>
  <c r="G618" i="1" s="1"/>
  <c r="N618" i="1"/>
  <c r="P618" i="1" s="1"/>
  <c r="F618" i="1"/>
  <c r="E618" i="1"/>
  <c r="V617" i="1"/>
  <c r="G617" i="1" s="1"/>
  <c r="P617" i="1"/>
  <c r="N617" i="1"/>
  <c r="F617" i="1"/>
  <c r="E617" i="1"/>
  <c r="V616" i="1"/>
  <c r="G616" i="1" s="1"/>
  <c r="N616" i="1"/>
  <c r="P616" i="1" s="1"/>
  <c r="F616" i="1"/>
  <c r="E616" i="1"/>
  <c r="V615" i="1"/>
  <c r="G615" i="1" s="1"/>
  <c r="P615" i="1"/>
  <c r="F615" i="1"/>
  <c r="E615" i="1"/>
  <c r="V614" i="1"/>
  <c r="G614" i="1" s="1"/>
  <c r="P614" i="1"/>
  <c r="F614" i="1"/>
  <c r="E614" i="1"/>
  <c r="V613" i="1"/>
  <c r="P613" i="1"/>
  <c r="G613" i="1"/>
  <c r="F613" i="1"/>
  <c r="E613" i="1"/>
  <c r="V612" i="1"/>
  <c r="P612" i="1"/>
  <c r="G612" i="1"/>
  <c r="F612" i="1"/>
  <c r="E612" i="1"/>
  <c r="V611" i="1"/>
  <c r="G611" i="1" s="1"/>
  <c r="P611" i="1"/>
  <c r="F611" i="1"/>
  <c r="E611" i="1"/>
  <c r="V610" i="1"/>
  <c r="G610" i="1" s="1"/>
  <c r="P610" i="1"/>
  <c r="F610" i="1"/>
  <c r="E610" i="1"/>
  <c r="V609" i="1"/>
  <c r="G609" i="1" s="1"/>
  <c r="P609" i="1"/>
  <c r="F609" i="1"/>
  <c r="E609" i="1"/>
  <c r="V608" i="1"/>
  <c r="P608" i="1"/>
  <c r="G608" i="1"/>
  <c r="F608" i="1"/>
  <c r="E608" i="1"/>
  <c r="V607" i="1"/>
  <c r="G607" i="1" s="1"/>
  <c r="P607" i="1"/>
  <c r="F607" i="1"/>
  <c r="E607" i="1"/>
  <c r="V606" i="1"/>
  <c r="G606" i="1" s="1"/>
  <c r="P606" i="1"/>
  <c r="F606" i="1"/>
  <c r="E606" i="1"/>
  <c r="V605" i="1"/>
  <c r="G605" i="1" s="1"/>
  <c r="P605" i="1"/>
  <c r="F605" i="1"/>
  <c r="E605" i="1"/>
  <c r="V604" i="1"/>
  <c r="P604" i="1"/>
  <c r="G604" i="1"/>
  <c r="F604" i="1"/>
  <c r="E604" i="1"/>
  <c r="V603" i="1"/>
  <c r="G603" i="1" s="1"/>
  <c r="P603" i="1"/>
  <c r="F603" i="1"/>
  <c r="E603" i="1"/>
  <c r="V602" i="1"/>
  <c r="G602" i="1" s="1"/>
  <c r="P602" i="1"/>
  <c r="F602" i="1"/>
  <c r="E602" i="1"/>
  <c r="V601" i="1"/>
  <c r="G601" i="1" s="1"/>
  <c r="P601" i="1"/>
  <c r="F601" i="1"/>
  <c r="E601" i="1"/>
  <c r="V600" i="1"/>
  <c r="P600" i="1"/>
  <c r="G600" i="1"/>
  <c r="F600" i="1"/>
  <c r="E600" i="1"/>
  <c r="V599" i="1"/>
  <c r="G599" i="1" s="1"/>
  <c r="P599" i="1"/>
  <c r="F599" i="1"/>
  <c r="E599" i="1"/>
  <c r="V598" i="1"/>
  <c r="P598" i="1"/>
  <c r="G598" i="1"/>
  <c r="F598" i="1"/>
  <c r="E598" i="1"/>
  <c r="V597" i="1"/>
  <c r="G597" i="1" s="1"/>
  <c r="P597" i="1"/>
  <c r="F597" i="1"/>
  <c r="E597" i="1"/>
  <c r="V596" i="1"/>
  <c r="P596" i="1"/>
  <c r="G596" i="1"/>
  <c r="F596" i="1"/>
  <c r="E596" i="1"/>
  <c r="V595" i="1"/>
  <c r="P595" i="1"/>
  <c r="G595" i="1"/>
  <c r="F595" i="1"/>
  <c r="E595" i="1"/>
  <c r="V594" i="1"/>
  <c r="G594" i="1" s="1"/>
  <c r="P594" i="1"/>
  <c r="F594" i="1"/>
  <c r="E594" i="1"/>
  <c r="V593" i="1"/>
  <c r="G593" i="1" s="1"/>
  <c r="P593" i="1"/>
  <c r="F593" i="1"/>
  <c r="E593" i="1"/>
  <c r="V592" i="1"/>
  <c r="G592" i="1" s="1"/>
  <c r="P592" i="1"/>
  <c r="F592" i="1"/>
  <c r="E592" i="1"/>
  <c r="V591" i="1"/>
  <c r="G591" i="1" s="1"/>
  <c r="P591" i="1"/>
  <c r="F591" i="1"/>
  <c r="E591" i="1"/>
  <c r="V590" i="1"/>
  <c r="G590" i="1" s="1"/>
  <c r="P590" i="1"/>
  <c r="F590" i="1"/>
  <c r="E590" i="1"/>
  <c r="V589" i="1"/>
  <c r="G589" i="1" s="1"/>
  <c r="U589" i="1"/>
  <c r="P589" i="1"/>
  <c r="F589" i="1"/>
  <c r="E589" i="1"/>
  <c r="V588" i="1"/>
  <c r="G588" i="1" s="1"/>
  <c r="P588" i="1"/>
  <c r="F588" i="1"/>
  <c r="E588" i="1"/>
  <c r="U587" i="1"/>
  <c r="P587" i="1"/>
  <c r="G587" i="1"/>
  <c r="U586" i="1"/>
  <c r="P586" i="1"/>
  <c r="G586" i="1"/>
  <c r="F586" i="1"/>
  <c r="E586" i="1"/>
  <c r="U585" i="1"/>
  <c r="P585" i="1"/>
  <c r="G585" i="1"/>
  <c r="F585" i="1"/>
  <c r="E585" i="1"/>
  <c r="U584" i="1"/>
  <c r="P584" i="1"/>
  <c r="G584" i="1"/>
  <c r="F584" i="1"/>
  <c r="E584" i="1"/>
  <c r="U583" i="1"/>
  <c r="P583" i="1"/>
  <c r="G583" i="1"/>
  <c r="F583" i="1"/>
  <c r="E583" i="1"/>
  <c r="U582" i="1"/>
  <c r="P582" i="1"/>
  <c r="G582" i="1"/>
  <c r="F582" i="1"/>
  <c r="E582" i="1"/>
  <c r="U581" i="1"/>
  <c r="P581" i="1"/>
  <c r="G581" i="1"/>
  <c r="F581" i="1"/>
  <c r="E581" i="1"/>
  <c r="U580" i="1"/>
  <c r="P580" i="1"/>
  <c r="G580" i="1"/>
  <c r="F580" i="1"/>
  <c r="E580" i="1"/>
  <c r="U579" i="1"/>
  <c r="P579" i="1"/>
  <c r="G579" i="1"/>
  <c r="F579" i="1"/>
  <c r="E579" i="1"/>
  <c r="U578" i="1"/>
  <c r="P578" i="1"/>
  <c r="G578" i="1"/>
  <c r="F578" i="1"/>
  <c r="E578" i="1"/>
  <c r="U577" i="1"/>
  <c r="P577" i="1"/>
  <c r="G577" i="1"/>
  <c r="F577" i="1"/>
  <c r="E577" i="1"/>
  <c r="U576" i="1"/>
  <c r="P576" i="1"/>
  <c r="G576" i="1"/>
  <c r="F576" i="1"/>
  <c r="E576" i="1"/>
  <c r="U575" i="1"/>
  <c r="P575" i="1"/>
  <c r="G575" i="1"/>
  <c r="F575" i="1"/>
  <c r="E575" i="1"/>
  <c r="U574" i="1"/>
  <c r="P574" i="1"/>
  <c r="G574" i="1"/>
  <c r="F574" i="1"/>
  <c r="E574" i="1"/>
  <c r="U573" i="1"/>
  <c r="P573" i="1"/>
  <c r="G573" i="1"/>
  <c r="F573" i="1"/>
  <c r="E573" i="1"/>
  <c r="U572" i="1"/>
  <c r="P572" i="1"/>
  <c r="G572" i="1"/>
  <c r="F572" i="1"/>
  <c r="E572" i="1"/>
  <c r="U571" i="1"/>
  <c r="P571" i="1"/>
  <c r="G571" i="1"/>
  <c r="F571" i="1"/>
  <c r="E571" i="1"/>
  <c r="U570" i="1"/>
  <c r="P570" i="1"/>
  <c r="G570" i="1"/>
  <c r="F570" i="1"/>
  <c r="E570" i="1"/>
  <c r="U569" i="1"/>
  <c r="P569" i="1"/>
  <c r="G569" i="1"/>
  <c r="F569" i="1"/>
  <c r="E569" i="1"/>
  <c r="U568" i="1"/>
  <c r="P568" i="1"/>
  <c r="G568" i="1"/>
  <c r="F568" i="1"/>
  <c r="E568" i="1"/>
  <c r="U567" i="1"/>
  <c r="P567" i="1"/>
  <c r="G567" i="1"/>
  <c r="F567" i="1"/>
  <c r="E567" i="1"/>
  <c r="U566" i="1"/>
  <c r="P566" i="1"/>
  <c r="G566" i="1"/>
  <c r="F566" i="1"/>
  <c r="E566" i="1"/>
  <c r="U565" i="1"/>
  <c r="P565" i="1"/>
  <c r="G565" i="1"/>
  <c r="F565" i="1"/>
  <c r="E565" i="1"/>
  <c r="U564" i="1"/>
  <c r="P564" i="1"/>
  <c r="G564" i="1"/>
  <c r="F564" i="1"/>
  <c r="E564" i="1"/>
  <c r="U563" i="1"/>
  <c r="P563" i="1"/>
  <c r="G563" i="1"/>
  <c r="F563" i="1"/>
  <c r="E563" i="1"/>
  <c r="U562" i="1"/>
  <c r="P562" i="1"/>
  <c r="G562" i="1"/>
  <c r="F562" i="1"/>
  <c r="E562" i="1"/>
  <c r="U561" i="1"/>
  <c r="P561" i="1"/>
  <c r="G561" i="1"/>
  <c r="F561" i="1"/>
  <c r="E561" i="1"/>
  <c r="U560" i="1"/>
  <c r="P560" i="1"/>
  <c r="G560" i="1"/>
  <c r="F560" i="1"/>
  <c r="E560" i="1"/>
  <c r="U559" i="1"/>
  <c r="P559" i="1"/>
  <c r="G559" i="1"/>
  <c r="F559" i="1"/>
  <c r="E559" i="1"/>
  <c r="U558" i="1"/>
  <c r="P558" i="1"/>
  <c r="G558" i="1"/>
  <c r="F558" i="1"/>
  <c r="E558" i="1"/>
  <c r="U557" i="1"/>
  <c r="P557" i="1"/>
  <c r="G557" i="1"/>
  <c r="F557" i="1"/>
  <c r="E557" i="1"/>
  <c r="U556" i="1"/>
  <c r="P556" i="1"/>
  <c r="G556" i="1"/>
  <c r="F556" i="1"/>
  <c r="E556" i="1"/>
  <c r="U555" i="1"/>
  <c r="P555" i="1"/>
  <c r="G555" i="1"/>
  <c r="F555" i="1"/>
  <c r="E555" i="1"/>
  <c r="U554" i="1"/>
  <c r="P554" i="1"/>
  <c r="G554" i="1"/>
  <c r="F554" i="1"/>
  <c r="E554" i="1"/>
  <c r="U553" i="1"/>
  <c r="P553" i="1"/>
  <c r="G553" i="1"/>
  <c r="F553" i="1"/>
  <c r="E553" i="1"/>
  <c r="U552" i="1"/>
  <c r="P552" i="1"/>
  <c r="G552" i="1"/>
  <c r="F552" i="1"/>
  <c r="E552" i="1"/>
  <c r="U551" i="1"/>
  <c r="P551" i="1"/>
  <c r="G551" i="1"/>
  <c r="F551" i="1"/>
  <c r="E551" i="1"/>
  <c r="U550" i="1"/>
  <c r="P550" i="1"/>
  <c r="G550" i="1"/>
  <c r="F550" i="1"/>
  <c r="E550" i="1"/>
  <c r="U549" i="1"/>
  <c r="P549" i="1"/>
  <c r="G549" i="1"/>
  <c r="F549" i="1"/>
  <c r="E549" i="1"/>
  <c r="U548" i="1"/>
  <c r="P548" i="1"/>
  <c r="G548" i="1"/>
  <c r="F548" i="1"/>
  <c r="E548" i="1"/>
  <c r="U547" i="1"/>
  <c r="P547" i="1"/>
  <c r="G547" i="1"/>
  <c r="F547" i="1"/>
  <c r="E547" i="1"/>
  <c r="U546" i="1"/>
  <c r="P546" i="1"/>
  <c r="G546" i="1"/>
  <c r="F546" i="1"/>
  <c r="E546" i="1"/>
  <c r="U545" i="1"/>
  <c r="P545" i="1"/>
  <c r="G545" i="1"/>
  <c r="F545" i="1"/>
  <c r="E545" i="1"/>
  <c r="U544" i="1"/>
  <c r="P544" i="1"/>
  <c r="G544" i="1"/>
  <c r="F544" i="1"/>
  <c r="E544" i="1"/>
  <c r="U543" i="1"/>
  <c r="P543" i="1"/>
  <c r="G543" i="1"/>
  <c r="F543" i="1"/>
  <c r="E543" i="1"/>
  <c r="U542" i="1"/>
  <c r="P542" i="1"/>
  <c r="G542" i="1"/>
  <c r="F542" i="1"/>
  <c r="E542" i="1"/>
  <c r="U541" i="1"/>
  <c r="P541" i="1"/>
  <c r="G541" i="1"/>
  <c r="F541" i="1"/>
  <c r="E541" i="1"/>
  <c r="U540" i="1"/>
  <c r="P540" i="1"/>
  <c r="G540" i="1"/>
  <c r="F540" i="1"/>
  <c r="E540" i="1"/>
  <c r="U539" i="1"/>
  <c r="P539" i="1"/>
  <c r="G539" i="1"/>
  <c r="F539" i="1"/>
  <c r="E539" i="1"/>
  <c r="U538" i="1"/>
  <c r="P538" i="1"/>
  <c r="G538" i="1"/>
  <c r="F538" i="1"/>
  <c r="E538" i="1"/>
  <c r="U537" i="1"/>
  <c r="P537" i="1"/>
  <c r="G537" i="1"/>
  <c r="F537" i="1"/>
  <c r="E537" i="1"/>
  <c r="U536" i="1"/>
  <c r="P536" i="1"/>
  <c r="G536" i="1"/>
  <c r="F536" i="1"/>
  <c r="E536" i="1"/>
  <c r="U535" i="1"/>
  <c r="P535" i="1"/>
  <c r="G535" i="1"/>
  <c r="F535" i="1"/>
  <c r="E535" i="1"/>
  <c r="U534" i="1"/>
  <c r="P534" i="1"/>
  <c r="G534" i="1"/>
  <c r="F534" i="1"/>
  <c r="E534" i="1"/>
  <c r="U533" i="1"/>
  <c r="P533" i="1"/>
  <c r="G533" i="1"/>
  <c r="F533" i="1"/>
  <c r="E533" i="1"/>
  <c r="U532" i="1"/>
  <c r="P532" i="1"/>
  <c r="G532" i="1"/>
  <c r="F532" i="1"/>
  <c r="E532" i="1"/>
  <c r="U531" i="1"/>
  <c r="P531" i="1"/>
  <c r="G531" i="1"/>
  <c r="F531" i="1"/>
  <c r="E531" i="1"/>
  <c r="U530" i="1"/>
  <c r="P530" i="1"/>
  <c r="G530" i="1"/>
  <c r="F530" i="1"/>
  <c r="E530" i="1"/>
  <c r="U529" i="1"/>
  <c r="P529" i="1"/>
  <c r="G529" i="1"/>
  <c r="F529" i="1"/>
  <c r="E529" i="1"/>
  <c r="U528" i="1"/>
  <c r="P528" i="1"/>
  <c r="G528" i="1"/>
  <c r="F528" i="1"/>
  <c r="E528" i="1"/>
  <c r="U527" i="1"/>
  <c r="P527" i="1"/>
  <c r="G527" i="1"/>
  <c r="F527" i="1"/>
  <c r="E527" i="1"/>
  <c r="U526" i="1"/>
  <c r="P526" i="1"/>
  <c r="G526" i="1"/>
  <c r="F526" i="1"/>
  <c r="E526" i="1"/>
  <c r="U525" i="1"/>
  <c r="P525" i="1"/>
  <c r="G525" i="1"/>
  <c r="F525" i="1"/>
  <c r="E525" i="1"/>
  <c r="U524" i="1"/>
  <c r="P524" i="1"/>
  <c r="G524" i="1"/>
  <c r="F524" i="1"/>
  <c r="E524" i="1"/>
  <c r="U523" i="1"/>
  <c r="P523" i="1"/>
  <c r="G523" i="1"/>
  <c r="F523" i="1"/>
  <c r="E523" i="1"/>
  <c r="U522" i="1"/>
  <c r="P522" i="1"/>
  <c r="G522" i="1"/>
  <c r="F522" i="1"/>
  <c r="E522" i="1"/>
  <c r="U521" i="1"/>
  <c r="P521" i="1"/>
  <c r="G521" i="1"/>
  <c r="F521" i="1"/>
  <c r="E521" i="1"/>
  <c r="U520" i="1"/>
  <c r="P520" i="1"/>
  <c r="G520" i="1"/>
  <c r="F520" i="1"/>
  <c r="E520" i="1"/>
  <c r="U519" i="1"/>
  <c r="P519" i="1"/>
  <c r="G519" i="1"/>
  <c r="F519" i="1"/>
  <c r="E519" i="1"/>
  <c r="U518" i="1"/>
  <c r="P518" i="1"/>
  <c r="G518" i="1"/>
  <c r="F518" i="1"/>
  <c r="E518" i="1"/>
  <c r="U517" i="1"/>
  <c r="P517" i="1"/>
  <c r="G517" i="1"/>
  <c r="F517" i="1"/>
  <c r="E517" i="1"/>
  <c r="U516" i="1"/>
  <c r="P516" i="1"/>
  <c r="G516" i="1"/>
  <c r="F516" i="1"/>
  <c r="E516" i="1"/>
  <c r="U515" i="1"/>
  <c r="P515" i="1"/>
  <c r="G515" i="1"/>
  <c r="F515" i="1"/>
  <c r="E515" i="1"/>
  <c r="U514" i="1"/>
  <c r="P514" i="1"/>
  <c r="G514" i="1"/>
  <c r="F514" i="1"/>
  <c r="E514" i="1"/>
  <c r="U513" i="1"/>
  <c r="P513" i="1"/>
  <c r="G513" i="1"/>
  <c r="F513" i="1"/>
  <c r="E513" i="1"/>
  <c r="U512" i="1"/>
  <c r="P512" i="1"/>
  <c r="G512" i="1"/>
  <c r="F512" i="1"/>
  <c r="E512" i="1"/>
  <c r="U511" i="1"/>
  <c r="P511" i="1"/>
  <c r="G511" i="1"/>
  <c r="F511" i="1"/>
  <c r="E511" i="1"/>
  <c r="U510" i="1"/>
  <c r="P510" i="1"/>
  <c r="G510" i="1"/>
  <c r="F510" i="1"/>
  <c r="E510" i="1"/>
  <c r="U509" i="1"/>
  <c r="P509" i="1"/>
  <c r="G509" i="1"/>
  <c r="F509" i="1"/>
  <c r="E509" i="1"/>
  <c r="U508" i="1"/>
  <c r="P508" i="1"/>
  <c r="G508" i="1"/>
  <c r="F508" i="1"/>
  <c r="E508" i="1"/>
  <c r="U507" i="1"/>
  <c r="P507" i="1"/>
  <c r="G507" i="1"/>
  <c r="F507" i="1"/>
  <c r="E507" i="1"/>
  <c r="U506" i="1"/>
  <c r="P506" i="1"/>
  <c r="G506" i="1"/>
  <c r="F506" i="1"/>
  <c r="E506" i="1"/>
  <c r="U505" i="1"/>
  <c r="P505" i="1"/>
  <c r="G505" i="1"/>
  <c r="F505" i="1"/>
  <c r="E505" i="1"/>
  <c r="U504" i="1"/>
  <c r="P504" i="1"/>
  <c r="G504" i="1"/>
  <c r="F504" i="1"/>
  <c r="E504" i="1"/>
  <c r="U503" i="1"/>
  <c r="P503" i="1"/>
  <c r="G503" i="1"/>
  <c r="F503" i="1"/>
  <c r="E503" i="1"/>
  <c r="U502" i="1"/>
  <c r="P502" i="1"/>
  <c r="G502" i="1"/>
  <c r="F502" i="1"/>
  <c r="E502" i="1"/>
  <c r="U501" i="1"/>
  <c r="P501" i="1"/>
  <c r="G501" i="1"/>
  <c r="F501" i="1"/>
  <c r="E501" i="1"/>
  <c r="U500" i="1"/>
  <c r="P500" i="1"/>
  <c r="G500" i="1"/>
  <c r="F500" i="1"/>
  <c r="E500" i="1"/>
  <c r="U499" i="1"/>
  <c r="P499" i="1"/>
  <c r="G499" i="1"/>
  <c r="F499" i="1"/>
  <c r="E499" i="1"/>
  <c r="U498" i="1"/>
  <c r="P498" i="1"/>
  <c r="G498" i="1"/>
  <c r="F498" i="1"/>
  <c r="E498" i="1"/>
  <c r="U497" i="1"/>
  <c r="P497" i="1"/>
  <c r="G497" i="1"/>
  <c r="F497" i="1"/>
  <c r="E497" i="1"/>
  <c r="U496" i="1"/>
  <c r="P496" i="1"/>
  <c r="G496" i="1"/>
  <c r="F496" i="1"/>
  <c r="E496" i="1"/>
  <c r="U495" i="1"/>
  <c r="P495" i="1"/>
  <c r="G495" i="1"/>
  <c r="F495" i="1"/>
  <c r="E495" i="1"/>
  <c r="U494" i="1"/>
  <c r="P494" i="1"/>
  <c r="G494" i="1"/>
  <c r="F494" i="1"/>
  <c r="E494" i="1"/>
  <c r="U493" i="1"/>
  <c r="P493" i="1"/>
  <c r="G493" i="1"/>
  <c r="F493" i="1"/>
  <c r="E493" i="1"/>
  <c r="U492" i="1"/>
  <c r="P492" i="1"/>
  <c r="G492" i="1"/>
  <c r="F492" i="1"/>
  <c r="E492" i="1"/>
  <c r="U491" i="1"/>
  <c r="P491" i="1"/>
  <c r="G491" i="1"/>
  <c r="F491" i="1"/>
  <c r="E491" i="1"/>
  <c r="U490" i="1"/>
  <c r="P490" i="1"/>
  <c r="G490" i="1"/>
  <c r="F490" i="1"/>
  <c r="E490" i="1"/>
  <c r="U489" i="1"/>
  <c r="P489" i="1"/>
  <c r="G489" i="1"/>
  <c r="F489" i="1"/>
  <c r="E489" i="1"/>
  <c r="U488" i="1"/>
  <c r="P488" i="1"/>
  <c r="G488" i="1"/>
  <c r="F488" i="1"/>
  <c r="E488" i="1"/>
  <c r="U487" i="1"/>
  <c r="P487" i="1"/>
  <c r="G487" i="1"/>
  <c r="F487" i="1"/>
  <c r="E487" i="1"/>
  <c r="U486" i="1"/>
  <c r="P486" i="1"/>
  <c r="G486" i="1"/>
  <c r="F486" i="1"/>
  <c r="E486" i="1"/>
  <c r="U485" i="1"/>
  <c r="P485" i="1"/>
  <c r="G485" i="1"/>
  <c r="F485" i="1"/>
  <c r="E485" i="1"/>
  <c r="U484" i="1"/>
  <c r="P484" i="1"/>
  <c r="G484" i="1"/>
  <c r="F484" i="1"/>
  <c r="E484" i="1"/>
  <c r="U483" i="1"/>
  <c r="P483" i="1"/>
  <c r="G483" i="1"/>
  <c r="F483" i="1"/>
  <c r="E483" i="1"/>
  <c r="U482" i="1"/>
  <c r="P482" i="1"/>
  <c r="G482" i="1"/>
  <c r="F482" i="1"/>
  <c r="E482" i="1"/>
  <c r="U481" i="1"/>
  <c r="P481" i="1"/>
  <c r="G481" i="1"/>
  <c r="F481" i="1"/>
  <c r="E481" i="1"/>
  <c r="U480" i="1"/>
  <c r="P480" i="1"/>
  <c r="G480" i="1"/>
  <c r="F480" i="1"/>
  <c r="E480" i="1"/>
  <c r="U479" i="1"/>
  <c r="P479" i="1"/>
  <c r="G479" i="1"/>
  <c r="F479" i="1"/>
  <c r="E479" i="1"/>
  <c r="U478" i="1"/>
  <c r="P478" i="1"/>
  <c r="G478" i="1"/>
  <c r="F478" i="1"/>
  <c r="E478" i="1"/>
  <c r="U477" i="1"/>
  <c r="P477" i="1"/>
  <c r="G477" i="1"/>
  <c r="F477" i="1"/>
  <c r="E477" i="1"/>
  <c r="U476" i="1"/>
  <c r="P476" i="1"/>
  <c r="G476" i="1"/>
  <c r="F476" i="1"/>
  <c r="E476" i="1"/>
  <c r="U475" i="1"/>
  <c r="P475" i="1"/>
  <c r="G475" i="1"/>
  <c r="F475" i="1"/>
  <c r="E475" i="1"/>
  <c r="U474" i="1"/>
  <c r="P474" i="1"/>
  <c r="G474" i="1"/>
  <c r="F474" i="1"/>
  <c r="E474" i="1"/>
  <c r="U473" i="1"/>
  <c r="P473" i="1"/>
  <c r="G473" i="1"/>
  <c r="F473" i="1"/>
  <c r="E473" i="1"/>
  <c r="U472" i="1"/>
  <c r="P472" i="1"/>
  <c r="G472" i="1"/>
  <c r="F472" i="1"/>
  <c r="E472" i="1"/>
  <c r="U471" i="1"/>
  <c r="P471" i="1"/>
  <c r="G471" i="1"/>
  <c r="F471" i="1"/>
  <c r="E471" i="1"/>
  <c r="U470" i="1"/>
  <c r="P470" i="1"/>
  <c r="G470" i="1"/>
  <c r="F470" i="1"/>
  <c r="E470" i="1"/>
  <c r="U469" i="1"/>
  <c r="P469" i="1"/>
  <c r="G469" i="1"/>
  <c r="F469" i="1"/>
  <c r="E469" i="1"/>
  <c r="U468" i="1"/>
  <c r="P468" i="1"/>
  <c r="G468" i="1"/>
  <c r="F468" i="1"/>
  <c r="E468" i="1"/>
  <c r="U467" i="1"/>
  <c r="P467" i="1"/>
  <c r="G467" i="1"/>
  <c r="F467" i="1"/>
  <c r="E467" i="1"/>
  <c r="U466" i="1"/>
  <c r="P466" i="1"/>
  <c r="G466" i="1"/>
  <c r="F466" i="1"/>
  <c r="E466" i="1"/>
  <c r="U465" i="1"/>
  <c r="P465" i="1"/>
  <c r="G465" i="1"/>
  <c r="F465" i="1"/>
  <c r="E465" i="1"/>
  <c r="U464" i="1"/>
  <c r="P464" i="1"/>
  <c r="G464" i="1"/>
  <c r="F464" i="1"/>
  <c r="E464" i="1"/>
  <c r="U463" i="1"/>
  <c r="P463" i="1"/>
  <c r="G463" i="1"/>
  <c r="F463" i="1"/>
  <c r="E463" i="1"/>
  <c r="U462" i="1"/>
  <c r="P462" i="1"/>
  <c r="G462" i="1"/>
  <c r="F462" i="1"/>
  <c r="E462" i="1"/>
  <c r="U461" i="1"/>
  <c r="P461" i="1"/>
  <c r="G461" i="1"/>
  <c r="F461" i="1"/>
  <c r="E461" i="1"/>
  <c r="U460" i="1"/>
  <c r="P460" i="1"/>
  <c r="G460" i="1"/>
  <c r="F460" i="1"/>
  <c r="E460" i="1"/>
  <c r="U459" i="1"/>
  <c r="P459" i="1"/>
  <c r="G459" i="1"/>
  <c r="F459" i="1"/>
  <c r="E459" i="1"/>
  <c r="U458" i="1"/>
  <c r="P458" i="1"/>
  <c r="G458" i="1"/>
  <c r="F458" i="1"/>
  <c r="E458" i="1"/>
  <c r="U457" i="1"/>
  <c r="P457" i="1"/>
  <c r="G457" i="1"/>
  <c r="F457" i="1"/>
  <c r="E457" i="1"/>
  <c r="U456" i="1"/>
  <c r="P456" i="1"/>
  <c r="G456" i="1"/>
  <c r="F456" i="1"/>
  <c r="E456" i="1"/>
  <c r="U455" i="1"/>
  <c r="P455" i="1"/>
  <c r="G455" i="1"/>
  <c r="F455" i="1"/>
  <c r="E455" i="1"/>
  <c r="U454" i="1"/>
  <c r="P454" i="1"/>
  <c r="G454" i="1"/>
  <c r="F454" i="1"/>
  <c r="E454" i="1"/>
  <c r="U453" i="1"/>
  <c r="P453" i="1"/>
  <c r="G453" i="1"/>
  <c r="F453" i="1"/>
  <c r="E453" i="1"/>
  <c r="U452" i="1"/>
  <c r="P452" i="1"/>
  <c r="G452" i="1"/>
  <c r="F452" i="1"/>
  <c r="E452" i="1"/>
  <c r="U451" i="1"/>
  <c r="P451" i="1"/>
  <c r="G451" i="1"/>
  <c r="F451" i="1"/>
  <c r="E451" i="1"/>
  <c r="U450" i="1"/>
  <c r="P450" i="1"/>
  <c r="G450" i="1"/>
  <c r="F450" i="1"/>
  <c r="E450" i="1"/>
  <c r="U449" i="1"/>
  <c r="P449" i="1"/>
  <c r="G449" i="1"/>
  <c r="F449" i="1"/>
  <c r="E449" i="1"/>
  <c r="U448" i="1"/>
  <c r="P448" i="1"/>
  <c r="G448" i="1"/>
  <c r="F448" i="1"/>
  <c r="E448" i="1"/>
  <c r="U447" i="1"/>
  <c r="P447" i="1"/>
  <c r="G447" i="1"/>
  <c r="F447" i="1"/>
  <c r="E447" i="1"/>
  <c r="U446" i="1"/>
  <c r="P446" i="1"/>
  <c r="G446" i="1"/>
  <c r="F446" i="1"/>
  <c r="E446" i="1"/>
  <c r="U445" i="1"/>
  <c r="P445" i="1"/>
  <c r="G445" i="1"/>
  <c r="F445" i="1"/>
  <c r="E445" i="1"/>
  <c r="U444" i="1"/>
  <c r="P444" i="1"/>
  <c r="G444" i="1"/>
  <c r="F444" i="1"/>
  <c r="E444" i="1"/>
  <c r="U443" i="1"/>
  <c r="P443" i="1"/>
  <c r="G443" i="1"/>
  <c r="F443" i="1"/>
  <c r="E443" i="1"/>
  <c r="U442" i="1"/>
  <c r="P442" i="1"/>
  <c r="G442" i="1"/>
  <c r="F442" i="1"/>
  <c r="E442" i="1"/>
  <c r="U441" i="1"/>
  <c r="P441" i="1"/>
  <c r="G441" i="1"/>
  <c r="F441" i="1"/>
  <c r="E441" i="1"/>
  <c r="U440" i="1"/>
  <c r="P440" i="1"/>
  <c r="G440" i="1"/>
  <c r="F440" i="1"/>
  <c r="E440" i="1"/>
  <c r="U439" i="1"/>
  <c r="P439" i="1"/>
  <c r="G439" i="1"/>
  <c r="F439" i="1"/>
  <c r="E439" i="1"/>
  <c r="U438" i="1"/>
  <c r="P438" i="1"/>
  <c r="G438" i="1"/>
  <c r="F438" i="1"/>
  <c r="E438" i="1"/>
  <c r="U437" i="1"/>
  <c r="P437" i="1"/>
  <c r="G437" i="1"/>
  <c r="F437" i="1"/>
  <c r="E437" i="1"/>
  <c r="U436" i="1"/>
  <c r="P436" i="1"/>
  <c r="G436" i="1"/>
  <c r="F436" i="1"/>
  <c r="E436" i="1"/>
  <c r="U435" i="1"/>
  <c r="P435" i="1"/>
  <c r="G435" i="1"/>
  <c r="F435" i="1"/>
  <c r="E435" i="1"/>
  <c r="U434" i="1"/>
  <c r="P434" i="1"/>
  <c r="G434" i="1"/>
  <c r="F434" i="1"/>
  <c r="E434" i="1"/>
  <c r="U433" i="1"/>
  <c r="P433" i="1"/>
  <c r="G433" i="1"/>
  <c r="F433" i="1"/>
  <c r="E433" i="1"/>
  <c r="U432" i="1"/>
  <c r="P432" i="1"/>
  <c r="G432" i="1"/>
  <c r="F432" i="1"/>
  <c r="E432" i="1"/>
  <c r="U431" i="1"/>
  <c r="P431" i="1"/>
  <c r="G431" i="1"/>
  <c r="F431" i="1"/>
  <c r="E431" i="1"/>
  <c r="U430" i="1"/>
  <c r="P430" i="1"/>
  <c r="G430" i="1"/>
  <c r="F430" i="1"/>
  <c r="E430" i="1"/>
  <c r="U429" i="1"/>
  <c r="P429" i="1"/>
  <c r="G429" i="1"/>
  <c r="F429" i="1"/>
  <c r="E429" i="1"/>
  <c r="U428" i="1"/>
  <c r="P428" i="1"/>
  <c r="G428" i="1"/>
  <c r="F428" i="1"/>
  <c r="E428" i="1"/>
  <c r="U427" i="1"/>
  <c r="P427" i="1"/>
  <c r="G427" i="1"/>
  <c r="F427" i="1"/>
  <c r="E427" i="1"/>
  <c r="U426" i="1"/>
  <c r="P426" i="1"/>
  <c r="G426" i="1"/>
  <c r="F426" i="1"/>
  <c r="E426" i="1"/>
  <c r="U425" i="1"/>
  <c r="P425" i="1"/>
  <c r="G425" i="1"/>
  <c r="F425" i="1"/>
  <c r="E425" i="1"/>
  <c r="U424" i="1"/>
  <c r="P424" i="1"/>
  <c r="G424" i="1"/>
  <c r="G423" i="1"/>
  <c r="F423" i="1"/>
  <c r="E423" i="1"/>
  <c r="V423" i="1" s="1"/>
  <c r="F422" i="1"/>
  <c r="E422" i="1"/>
  <c r="V422" i="1" s="1"/>
  <c r="G422" i="1" s="1"/>
  <c r="F421" i="1"/>
  <c r="E421" i="1"/>
  <c r="V421" i="1" s="1"/>
  <c r="G421" i="1" s="1"/>
  <c r="F420" i="1"/>
  <c r="E420" i="1"/>
  <c r="V420" i="1" s="1"/>
  <c r="F419" i="1"/>
  <c r="E419" i="1"/>
  <c r="V419" i="1" s="1"/>
  <c r="G419" i="1" s="1"/>
  <c r="F418" i="1"/>
  <c r="E418" i="1"/>
  <c r="V418" i="1" s="1"/>
  <c r="G418" i="1" s="1"/>
  <c r="F417" i="1"/>
  <c r="E417" i="1"/>
  <c r="V417" i="1" s="1"/>
  <c r="G417" i="1" s="1"/>
  <c r="F416" i="1"/>
  <c r="E416" i="1"/>
  <c r="V416" i="1" s="1"/>
  <c r="G416" i="1" s="1"/>
  <c r="F415" i="1"/>
  <c r="E415" i="1"/>
  <c r="V415" i="1" s="1"/>
  <c r="G415" i="1" s="1"/>
  <c r="F414" i="1"/>
  <c r="E414" i="1"/>
  <c r="V414" i="1" s="1"/>
  <c r="G414" i="1" s="1"/>
  <c r="F413" i="1"/>
  <c r="E413" i="1"/>
  <c r="V413" i="1" s="1"/>
  <c r="F412" i="1"/>
  <c r="E412" i="1"/>
  <c r="V412" i="1" s="1"/>
  <c r="F411" i="1"/>
  <c r="E411" i="1"/>
  <c r="V411" i="1" s="1"/>
  <c r="G411" i="1" s="1"/>
  <c r="F410" i="1"/>
  <c r="E410" i="1"/>
  <c r="V410" i="1" s="1"/>
  <c r="G410" i="1" s="1"/>
  <c r="G409" i="1"/>
  <c r="F409" i="1"/>
  <c r="E409" i="1"/>
  <c r="V409" i="1" s="1"/>
  <c r="F408" i="1"/>
  <c r="E408" i="1"/>
  <c r="V408" i="1" s="1"/>
  <c r="G408" i="1" s="1"/>
  <c r="V407" i="1"/>
  <c r="G407" i="1" s="1"/>
  <c r="F407" i="1"/>
  <c r="E407" i="1"/>
  <c r="F406" i="1"/>
  <c r="E406" i="1"/>
  <c r="V406" i="1" s="1"/>
  <c r="G406" i="1" s="1"/>
  <c r="G405" i="1"/>
  <c r="F405" i="1"/>
  <c r="E405" i="1"/>
  <c r="V405" i="1" s="1"/>
  <c r="F404" i="1"/>
  <c r="E404" i="1"/>
  <c r="V404" i="1" s="1"/>
  <c r="G404" i="1" s="1"/>
  <c r="F403" i="1"/>
  <c r="E403" i="1"/>
  <c r="V403" i="1" s="1"/>
  <c r="G403" i="1" s="1"/>
  <c r="F402" i="1"/>
  <c r="E402" i="1"/>
  <c r="V402" i="1" s="1"/>
  <c r="G402" i="1" s="1"/>
  <c r="F401" i="1"/>
  <c r="E401" i="1"/>
  <c r="V401" i="1" s="1"/>
  <c r="G401" i="1" s="1"/>
  <c r="F400" i="1"/>
  <c r="E400" i="1"/>
  <c r="V400" i="1" s="1"/>
  <c r="G400" i="1" s="1"/>
  <c r="F399" i="1"/>
  <c r="E399" i="1"/>
  <c r="V399" i="1" s="1"/>
  <c r="G399" i="1" s="1"/>
  <c r="V398" i="1"/>
  <c r="G398" i="1"/>
  <c r="F398" i="1"/>
  <c r="E398" i="1"/>
  <c r="G397" i="1"/>
  <c r="F397" i="1"/>
  <c r="E397" i="1"/>
  <c r="V397" i="1" s="1"/>
  <c r="G396" i="1"/>
  <c r="F396" i="1"/>
  <c r="E396" i="1"/>
  <c r="V396" i="1" s="1"/>
  <c r="F395" i="1"/>
  <c r="E395" i="1"/>
  <c r="V395" i="1" s="1"/>
  <c r="G395" i="1" s="1"/>
  <c r="F394" i="1"/>
  <c r="E394" i="1"/>
  <c r="V394" i="1" s="1"/>
  <c r="G394" i="1" s="1"/>
  <c r="F393" i="1"/>
  <c r="E393" i="1"/>
  <c r="V393" i="1" s="1"/>
  <c r="G393" i="1" s="1"/>
  <c r="F392" i="1"/>
  <c r="E392" i="1"/>
  <c r="V392" i="1" s="1"/>
  <c r="G392" i="1" s="1"/>
  <c r="F391" i="1"/>
  <c r="E391" i="1"/>
  <c r="V391" i="1" s="1"/>
  <c r="G391" i="1" s="1"/>
  <c r="F390" i="1"/>
  <c r="E390" i="1"/>
  <c r="V390" i="1" s="1"/>
  <c r="G390" i="1" s="1"/>
  <c r="F389" i="1"/>
  <c r="E389" i="1"/>
  <c r="V389" i="1" s="1"/>
  <c r="G389" i="1" s="1"/>
  <c r="F388" i="1"/>
  <c r="E388" i="1"/>
  <c r="V388" i="1" s="1"/>
  <c r="G388" i="1" s="1"/>
  <c r="F387" i="1"/>
  <c r="E387" i="1"/>
  <c r="V387" i="1" s="1"/>
  <c r="G387" i="1" s="1"/>
  <c r="V386" i="1"/>
  <c r="G386" i="1" s="1"/>
  <c r="F386" i="1"/>
  <c r="E386" i="1"/>
  <c r="F385" i="1"/>
  <c r="E385" i="1"/>
  <c r="V385" i="1" s="1"/>
  <c r="G385" i="1" s="1"/>
  <c r="F384" i="1"/>
  <c r="E384" i="1"/>
  <c r="V384" i="1" s="1"/>
  <c r="G384" i="1" s="1"/>
  <c r="F383" i="1"/>
  <c r="E383" i="1"/>
  <c r="V383" i="1" s="1"/>
  <c r="G383" i="1" s="1"/>
  <c r="F382" i="1"/>
  <c r="E382" i="1"/>
  <c r="V382" i="1" s="1"/>
  <c r="G382" i="1" s="1"/>
  <c r="F381" i="1"/>
  <c r="E381" i="1"/>
  <c r="V381" i="1" s="1"/>
  <c r="G381" i="1" s="1"/>
  <c r="F380" i="1"/>
  <c r="E380" i="1"/>
  <c r="V380" i="1" s="1"/>
  <c r="G380" i="1" s="1"/>
  <c r="G379" i="1"/>
  <c r="F379" i="1"/>
  <c r="E379" i="1"/>
  <c r="V379" i="1" s="1"/>
  <c r="G378" i="1"/>
  <c r="F378" i="1"/>
  <c r="E378" i="1"/>
  <c r="V378" i="1" s="1"/>
  <c r="F377" i="1"/>
  <c r="E377" i="1"/>
  <c r="V377" i="1" s="1"/>
  <c r="G377" i="1" s="1"/>
  <c r="F376" i="1"/>
  <c r="E376" i="1"/>
  <c r="V376" i="1" s="1"/>
  <c r="G376" i="1" s="1"/>
  <c r="F375" i="1"/>
  <c r="E375" i="1"/>
  <c r="V375" i="1" s="1"/>
  <c r="G375" i="1" s="1"/>
  <c r="F374" i="1"/>
  <c r="E374" i="1"/>
  <c r="V374" i="1" s="1"/>
  <c r="G374" i="1" s="1"/>
  <c r="F373" i="1"/>
  <c r="E373" i="1"/>
  <c r="V373" i="1" s="1"/>
  <c r="G373" i="1" s="1"/>
  <c r="F372" i="1"/>
  <c r="E372" i="1"/>
  <c r="V372" i="1" s="1"/>
  <c r="G372" i="1" s="1"/>
  <c r="F371" i="1"/>
  <c r="E371" i="1"/>
  <c r="V371" i="1" s="1"/>
  <c r="G371" i="1" s="1"/>
  <c r="F370" i="1"/>
  <c r="E370" i="1"/>
  <c r="V370" i="1" s="1"/>
  <c r="G370" i="1" s="1"/>
  <c r="G369" i="1"/>
  <c r="F369" i="1"/>
  <c r="E369" i="1"/>
  <c r="V369" i="1" s="1"/>
  <c r="F368" i="1"/>
  <c r="E368" i="1"/>
  <c r="V368" i="1" s="1"/>
  <c r="G368" i="1" s="1"/>
  <c r="F367" i="1"/>
  <c r="E367" i="1"/>
  <c r="V367" i="1" s="1"/>
  <c r="G367" i="1" s="1"/>
  <c r="F366" i="1"/>
  <c r="E366" i="1"/>
  <c r="V366" i="1" s="1"/>
  <c r="G366" i="1" s="1"/>
  <c r="F365" i="1"/>
  <c r="E365" i="1"/>
  <c r="V365" i="1" s="1"/>
  <c r="G365" i="1" s="1"/>
  <c r="F364" i="1"/>
  <c r="E364" i="1"/>
  <c r="V364" i="1" s="1"/>
  <c r="G364" i="1" s="1"/>
  <c r="F363" i="1"/>
  <c r="E363" i="1"/>
  <c r="V363" i="1" s="1"/>
  <c r="G363" i="1" s="1"/>
  <c r="V362" i="1"/>
  <c r="G362" i="1"/>
  <c r="F362" i="1"/>
  <c r="E362" i="1"/>
  <c r="F361" i="1"/>
  <c r="E361" i="1"/>
  <c r="V361" i="1" s="1"/>
  <c r="G361" i="1" s="1"/>
  <c r="G360" i="1"/>
  <c r="F360" i="1"/>
  <c r="E360" i="1"/>
  <c r="V360" i="1" s="1"/>
  <c r="F359" i="1"/>
  <c r="E359" i="1"/>
  <c r="V359" i="1" s="1"/>
  <c r="G359" i="1" s="1"/>
  <c r="F358" i="1"/>
  <c r="E358" i="1"/>
  <c r="V358" i="1" s="1"/>
  <c r="G358" i="1" s="1"/>
  <c r="F357" i="1"/>
  <c r="E357" i="1"/>
  <c r="V357" i="1" s="1"/>
  <c r="G357" i="1" s="1"/>
  <c r="F356" i="1"/>
  <c r="E356" i="1"/>
  <c r="V356" i="1" s="1"/>
  <c r="G356" i="1" s="1"/>
  <c r="F355" i="1"/>
  <c r="E355" i="1"/>
  <c r="V355" i="1" s="1"/>
  <c r="G355" i="1" s="1"/>
  <c r="F354" i="1"/>
  <c r="E354" i="1"/>
  <c r="V354" i="1" s="1"/>
  <c r="G354" i="1" s="1"/>
  <c r="F353" i="1"/>
  <c r="E353" i="1"/>
  <c r="V353" i="1" s="1"/>
  <c r="G353" i="1" s="1"/>
  <c r="F352" i="1"/>
  <c r="E352" i="1"/>
  <c r="V352" i="1" s="1"/>
  <c r="G352" i="1" s="1"/>
  <c r="F351" i="1"/>
  <c r="E351" i="1"/>
  <c r="V351" i="1" s="1"/>
  <c r="G351" i="1" s="1"/>
  <c r="V350" i="1"/>
  <c r="G350" i="1" s="1"/>
  <c r="F350" i="1"/>
  <c r="E350" i="1"/>
  <c r="F349" i="1"/>
  <c r="E349" i="1"/>
  <c r="V349" i="1" s="1"/>
  <c r="G349" i="1" s="1"/>
  <c r="F348" i="1"/>
  <c r="E348" i="1"/>
  <c r="V348" i="1" s="1"/>
  <c r="G348" i="1" s="1"/>
  <c r="F347" i="1"/>
  <c r="E347" i="1"/>
  <c r="V347" i="1" s="1"/>
  <c r="G347" i="1" s="1"/>
  <c r="F346" i="1"/>
  <c r="E346" i="1"/>
  <c r="V346" i="1" s="1"/>
  <c r="G346" i="1" s="1"/>
  <c r="F345" i="1"/>
  <c r="E345" i="1"/>
  <c r="V345" i="1" s="1"/>
  <c r="G345" i="1" s="1"/>
  <c r="F344" i="1"/>
  <c r="E344" i="1"/>
  <c r="V344" i="1" s="1"/>
  <c r="G344" i="1" s="1"/>
  <c r="G343" i="1"/>
  <c r="F343" i="1"/>
  <c r="E343" i="1"/>
  <c r="V343" i="1" s="1"/>
  <c r="F342" i="1"/>
  <c r="E342" i="1"/>
  <c r="V342" i="1" s="1"/>
  <c r="G342" i="1" s="1"/>
  <c r="F341" i="1"/>
  <c r="E341" i="1"/>
  <c r="V341" i="1" s="1"/>
  <c r="G341" i="1" s="1"/>
  <c r="F340" i="1"/>
  <c r="E340" i="1"/>
  <c r="V340" i="1" s="1"/>
  <c r="G340" i="1" s="1"/>
  <c r="F339" i="1"/>
  <c r="E339" i="1"/>
  <c r="V339" i="1" s="1"/>
  <c r="G339" i="1" s="1"/>
  <c r="F338" i="1"/>
  <c r="E338" i="1"/>
  <c r="V338" i="1" s="1"/>
  <c r="G338" i="1" s="1"/>
  <c r="F337" i="1"/>
  <c r="E337" i="1"/>
  <c r="V337" i="1" s="1"/>
  <c r="G337" i="1" s="1"/>
  <c r="F336" i="1"/>
  <c r="E336" i="1"/>
  <c r="V336" i="1" s="1"/>
  <c r="G336" i="1" s="1"/>
  <c r="V335" i="1"/>
  <c r="G335" i="1" s="1"/>
  <c r="F335" i="1"/>
  <c r="E335" i="1"/>
  <c r="F334" i="1"/>
  <c r="E334" i="1"/>
  <c r="V334" i="1" s="1"/>
  <c r="G334" i="1" s="1"/>
  <c r="G333" i="1"/>
  <c r="F333" i="1"/>
  <c r="E333" i="1"/>
  <c r="V333" i="1" s="1"/>
  <c r="F332" i="1"/>
  <c r="E332" i="1"/>
  <c r="V332" i="1" s="1"/>
  <c r="G332" i="1" s="1"/>
  <c r="F331" i="1"/>
  <c r="E331" i="1"/>
  <c r="V331" i="1" s="1"/>
  <c r="G331" i="1" s="1"/>
  <c r="F330" i="1"/>
  <c r="E330" i="1"/>
  <c r="V330" i="1" s="1"/>
  <c r="G330" i="1" s="1"/>
  <c r="F329" i="1"/>
  <c r="E329" i="1"/>
  <c r="V329" i="1" s="1"/>
  <c r="G329" i="1" s="1"/>
  <c r="F328" i="1"/>
  <c r="E328" i="1"/>
  <c r="V328" i="1" s="1"/>
  <c r="G328" i="1" s="1"/>
  <c r="F327" i="1"/>
  <c r="E327" i="1"/>
  <c r="V327" i="1" s="1"/>
  <c r="G327" i="1" s="1"/>
  <c r="V326" i="1"/>
  <c r="G326" i="1"/>
  <c r="F326" i="1"/>
  <c r="E326" i="1"/>
  <c r="G325" i="1"/>
  <c r="F325" i="1"/>
  <c r="E325" i="1"/>
  <c r="V325" i="1" s="1"/>
  <c r="G324" i="1"/>
  <c r="F324" i="1"/>
  <c r="E324" i="1"/>
  <c r="V324" i="1" s="1"/>
  <c r="F323" i="1"/>
  <c r="E323" i="1"/>
  <c r="V323" i="1" s="1"/>
  <c r="G323" i="1" s="1"/>
  <c r="F322" i="1"/>
  <c r="E322" i="1"/>
  <c r="V322" i="1" s="1"/>
  <c r="G322" i="1" s="1"/>
  <c r="F321" i="1"/>
  <c r="E321" i="1"/>
  <c r="V321" i="1" s="1"/>
  <c r="G321" i="1" s="1"/>
  <c r="F320" i="1"/>
  <c r="E320" i="1"/>
  <c r="V320" i="1" s="1"/>
  <c r="G320" i="1" s="1"/>
  <c r="F319" i="1"/>
  <c r="E319" i="1"/>
  <c r="V319" i="1" s="1"/>
  <c r="G319" i="1" s="1"/>
  <c r="F318" i="1"/>
  <c r="E318" i="1"/>
  <c r="V318" i="1" s="1"/>
  <c r="G318" i="1" s="1"/>
  <c r="F317" i="1"/>
  <c r="E317" i="1"/>
  <c r="V317" i="1" s="1"/>
  <c r="G317" i="1" s="1"/>
  <c r="F316" i="1"/>
  <c r="E316" i="1"/>
  <c r="V316" i="1" s="1"/>
  <c r="G316" i="1" s="1"/>
  <c r="F315" i="1"/>
  <c r="E315" i="1"/>
  <c r="V315" i="1" s="1"/>
  <c r="G315" i="1" s="1"/>
  <c r="V314" i="1"/>
  <c r="G314" i="1" s="1"/>
  <c r="F314" i="1"/>
  <c r="E314" i="1"/>
  <c r="F313" i="1"/>
  <c r="E313" i="1"/>
  <c r="V313" i="1" s="1"/>
  <c r="G313" i="1" s="1"/>
  <c r="F312" i="1"/>
  <c r="E312" i="1"/>
  <c r="V312" i="1" s="1"/>
  <c r="G312" i="1" s="1"/>
  <c r="F311" i="1"/>
  <c r="E311" i="1"/>
  <c r="V311" i="1" s="1"/>
  <c r="G311" i="1" s="1"/>
  <c r="F310" i="1"/>
  <c r="E310" i="1"/>
  <c r="V310" i="1" s="1"/>
  <c r="G310" i="1" s="1"/>
  <c r="F309" i="1"/>
  <c r="E309" i="1"/>
  <c r="V309" i="1" s="1"/>
  <c r="G309" i="1" s="1"/>
  <c r="F308" i="1"/>
  <c r="E308" i="1"/>
  <c r="V308" i="1" s="1"/>
  <c r="G308" i="1" s="1"/>
  <c r="G307" i="1"/>
  <c r="F307" i="1"/>
  <c r="E307" i="1"/>
  <c r="V307" i="1" s="1"/>
  <c r="G306" i="1"/>
  <c r="F306" i="1"/>
  <c r="E306" i="1"/>
  <c r="V306" i="1" s="1"/>
  <c r="F305" i="1"/>
  <c r="E305" i="1"/>
  <c r="V305" i="1" s="1"/>
  <c r="G305" i="1" s="1"/>
  <c r="F304" i="1"/>
  <c r="E304" i="1"/>
  <c r="V304" i="1" s="1"/>
  <c r="G304" i="1" s="1"/>
  <c r="F303" i="1"/>
  <c r="E303" i="1"/>
  <c r="V303" i="1" s="1"/>
  <c r="G303" i="1" s="1"/>
  <c r="F302" i="1"/>
  <c r="E302" i="1"/>
  <c r="V302" i="1" s="1"/>
  <c r="G302" i="1" s="1"/>
  <c r="F301" i="1"/>
  <c r="E301" i="1"/>
  <c r="V301" i="1" s="1"/>
  <c r="G301" i="1" s="1"/>
  <c r="F300" i="1"/>
  <c r="E300" i="1"/>
  <c r="V300" i="1" s="1"/>
  <c r="G300" i="1" s="1"/>
  <c r="F299" i="1"/>
  <c r="E299" i="1"/>
  <c r="V299" i="1" s="1"/>
  <c r="G299" i="1" s="1"/>
  <c r="F298" i="1"/>
  <c r="E298" i="1"/>
  <c r="V298" i="1" s="1"/>
  <c r="G298" i="1" s="1"/>
  <c r="G297" i="1"/>
  <c r="F297" i="1"/>
  <c r="E297" i="1"/>
  <c r="V297" i="1" s="1"/>
  <c r="F296" i="1"/>
  <c r="E296" i="1"/>
  <c r="V296" i="1" s="1"/>
  <c r="G296" i="1" s="1"/>
  <c r="F295" i="1"/>
  <c r="E295" i="1"/>
  <c r="V295" i="1" s="1"/>
  <c r="G295" i="1" s="1"/>
  <c r="F294" i="1"/>
  <c r="E294" i="1"/>
  <c r="V294" i="1" s="1"/>
  <c r="G294" i="1" s="1"/>
  <c r="F293" i="1"/>
  <c r="E293" i="1"/>
  <c r="V293" i="1" s="1"/>
  <c r="G293" i="1" s="1"/>
  <c r="F292" i="1"/>
  <c r="E292" i="1"/>
  <c r="V292" i="1" s="1"/>
  <c r="G292" i="1" s="1"/>
  <c r="F291" i="1"/>
  <c r="E291" i="1"/>
  <c r="V291" i="1" s="1"/>
  <c r="G291" i="1" s="1"/>
  <c r="F290" i="1"/>
  <c r="E290" i="1"/>
  <c r="V290" i="1" s="1"/>
  <c r="G290" i="1" s="1"/>
  <c r="F289" i="1"/>
  <c r="E289" i="1"/>
  <c r="V289" i="1" s="1"/>
  <c r="G289" i="1" s="1"/>
  <c r="F288" i="1"/>
  <c r="E288" i="1"/>
  <c r="V288" i="1" s="1"/>
  <c r="G288" i="1" s="1"/>
  <c r="F287" i="1"/>
  <c r="E287" i="1"/>
  <c r="V287" i="1" s="1"/>
  <c r="G287" i="1" s="1"/>
  <c r="F286" i="1"/>
  <c r="E286" i="1"/>
  <c r="V286" i="1" s="1"/>
  <c r="G286" i="1" s="1"/>
  <c r="F285" i="1"/>
  <c r="E285" i="1"/>
  <c r="V285" i="1" s="1"/>
  <c r="G285" i="1" s="1"/>
  <c r="F284" i="1"/>
  <c r="E284" i="1"/>
  <c r="V284" i="1" s="1"/>
  <c r="G284" i="1" s="1"/>
  <c r="F283" i="1"/>
  <c r="E283" i="1"/>
  <c r="V283" i="1" s="1"/>
  <c r="G283" i="1" s="1"/>
  <c r="F282" i="1"/>
  <c r="E282" i="1"/>
  <c r="V282" i="1" s="1"/>
  <c r="G282" i="1" s="1"/>
  <c r="F281" i="1"/>
  <c r="E281" i="1"/>
  <c r="V281" i="1" s="1"/>
  <c r="G281" i="1" s="1"/>
  <c r="F280" i="1"/>
  <c r="E280" i="1"/>
  <c r="V280" i="1" s="1"/>
  <c r="G280" i="1" s="1"/>
  <c r="F279" i="1"/>
  <c r="E279" i="1"/>
  <c r="V279" i="1" s="1"/>
  <c r="G279" i="1" s="1"/>
  <c r="F278" i="1"/>
  <c r="E278" i="1"/>
  <c r="V278" i="1" s="1"/>
  <c r="G278" i="1" s="1"/>
  <c r="F277" i="1"/>
  <c r="E277" i="1"/>
  <c r="V277" i="1" s="1"/>
  <c r="G277" i="1" s="1"/>
  <c r="F276" i="1"/>
  <c r="E276" i="1"/>
  <c r="V276" i="1" s="1"/>
  <c r="G276" i="1" s="1"/>
  <c r="F275" i="1"/>
  <c r="E275" i="1"/>
  <c r="V275" i="1" s="1"/>
  <c r="G275" i="1" s="1"/>
  <c r="F274" i="1"/>
  <c r="E274" i="1"/>
  <c r="V274" i="1" s="1"/>
  <c r="G274" i="1" s="1"/>
  <c r="F273" i="1"/>
  <c r="E273" i="1"/>
  <c r="V273" i="1" s="1"/>
  <c r="G273" i="1" s="1"/>
  <c r="V272" i="1"/>
  <c r="G272" i="1"/>
  <c r="F272" i="1"/>
  <c r="E272" i="1"/>
  <c r="F271" i="1"/>
  <c r="E271" i="1"/>
  <c r="V271" i="1" s="1"/>
  <c r="G271" i="1" s="1"/>
  <c r="U270" i="1"/>
  <c r="P270" i="1"/>
  <c r="G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U253" i="1"/>
  <c r="P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U189" i="1"/>
  <c r="G189" i="1"/>
  <c r="F189" i="1"/>
  <c r="E189" i="1"/>
  <c r="U188" i="1"/>
  <c r="G188" i="1"/>
  <c r="F188" i="1"/>
  <c r="E188" i="1"/>
  <c r="U187" i="1"/>
  <c r="P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U170" i="1"/>
  <c r="P170" i="1"/>
  <c r="G170" i="1"/>
  <c r="F170" i="1"/>
  <c r="E170" i="1"/>
  <c r="U169" i="1"/>
  <c r="P169" i="1"/>
  <c r="G169" i="1"/>
  <c r="F169" i="1"/>
  <c r="E169" i="1"/>
  <c r="U168" i="1"/>
  <c r="P168" i="1"/>
  <c r="G168" i="1"/>
  <c r="F168" i="1"/>
  <c r="E168" i="1"/>
  <c r="U167" i="1"/>
  <c r="P167" i="1"/>
  <c r="G167" i="1"/>
  <c r="F167" i="1"/>
  <c r="E167" i="1"/>
  <c r="U166" i="1"/>
  <c r="P166" i="1"/>
  <c r="G166" i="1"/>
  <c r="F166" i="1"/>
  <c r="E166" i="1"/>
  <c r="U165" i="1"/>
  <c r="P165" i="1"/>
  <c r="G165" i="1"/>
  <c r="F165" i="1"/>
  <c r="E165" i="1"/>
  <c r="U164" i="1"/>
  <c r="P164" i="1"/>
  <c r="G164" i="1"/>
  <c r="F164" i="1"/>
  <c r="E164" i="1"/>
  <c r="U163" i="1"/>
  <c r="P163" i="1"/>
  <c r="G163" i="1"/>
  <c r="F163" i="1"/>
  <c r="E163" i="1"/>
  <c r="U162" i="1"/>
  <c r="P162" i="1"/>
  <c r="G162" i="1"/>
  <c r="F162" i="1"/>
  <c r="E162" i="1"/>
  <c r="U161" i="1"/>
  <c r="P161" i="1"/>
  <c r="G161" i="1"/>
  <c r="F161" i="1"/>
  <c r="E161" i="1"/>
  <c r="U160" i="1"/>
  <c r="P160" i="1"/>
  <c r="G160" i="1"/>
  <c r="F160" i="1"/>
  <c r="E160" i="1"/>
  <c r="U159" i="1"/>
  <c r="P159" i="1"/>
  <c r="G159" i="1"/>
  <c r="F159" i="1"/>
  <c r="E159" i="1"/>
  <c r="U158" i="1"/>
  <c r="P158" i="1"/>
  <c r="G158" i="1"/>
  <c r="F158" i="1"/>
  <c r="E158" i="1"/>
  <c r="U157" i="1"/>
  <c r="P157" i="1"/>
  <c r="G157" i="1"/>
  <c r="F157" i="1"/>
  <c r="E157" i="1"/>
  <c r="U156" i="1"/>
  <c r="P156" i="1"/>
  <c r="G156" i="1"/>
  <c r="F156" i="1"/>
  <c r="E156" i="1"/>
  <c r="U155" i="1"/>
  <c r="P155" i="1"/>
  <c r="G155" i="1"/>
  <c r="F155" i="1"/>
  <c r="E155" i="1"/>
  <c r="U154" i="1"/>
  <c r="P154" i="1"/>
  <c r="G154" i="1"/>
  <c r="F154" i="1"/>
  <c r="E154" i="1"/>
  <c r="U153" i="1"/>
  <c r="P153" i="1"/>
  <c r="G153" i="1"/>
  <c r="F153" i="1"/>
  <c r="E153" i="1"/>
  <c r="U152" i="1"/>
  <c r="P152" i="1"/>
  <c r="G152" i="1"/>
  <c r="F152" i="1"/>
  <c r="E152" i="1"/>
  <c r="U151" i="1"/>
  <c r="P151" i="1"/>
  <c r="G151" i="1"/>
  <c r="F151" i="1"/>
  <c r="E151" i="1"/>
  <c r="U150" i="1"/>
  <c r="P150" i="1"/>
  <c r="G150" i="1"/>
  <c r="F150" i="1"/>
  <c r="E150" i="1"/>
  <c r="U149" i="1"/>
  <c r="P149" i="1"/>
  <c r="G149" i="1"/>
  <c r="F149" i="1"/>
  <c r="E149" i="1"/>
  <c r="U148" i="1"/>
  <c r="P148" i="1"/>
  <c r="G148" i="1"/>
  <c r="F148" i="1"/>
  <c r="E148" i="1"/>
  <c r="U147" i="1"/>
  <c r="P147" i="1"/>
  <c r="G147" i="1"/>
  <c r="F147" i="1"/>
  <c r="E147" i="1"/>
  <c r="U146" i="1"/>
  <c r="P146" i="1"/>
  <c r="G146" i="1"/>
  <c r="F146" i="1"/>
  <c r="E146" i="1"/>
  <c r="U145" i="1"/>
  <c r="P145" i="1"/>
  <c r="G145" i="1"/>
  <c r="F145" i="1"/>
  <c r="E145" i="1"/>
  <c r="U144" i="1"/>
  <c r="P144" i="1"/>
  <c r="G144" i="1"/>
  <c r="F144" i="1"/>
  <c r="E144" i="1"/>
  <c r="U143" i="1"/>
  <c r="P143" i="1"/>
  <c r="G143" i="1"/>
  <c r="F143" i="1"/>
  <c r="E143" i="1"/>
  <c r="U142" i="1"/>
  <c r="P142" i="1"/>
  <c r="G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U131" i="1"/>
  <c r="P131" i="1"/>
  <c r="G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U121" i="1"/>
  <c r="P121" i="1"/>
  <c r="G121" i="1"/>
  <c r="U120" i="1"/>
  <c r="P120" i="1"/>
  <c r="G120" i="1"/>
  <c r="F120" i="1"/>
  <c r="E120" i="1"/>
  <c r="U119" i="1"/>
  <c r="P119" i="1"/>
  <c r="G119" i="1"/>
  <c r="F119" i="1"/>
  <c r="E119" i="1"/>
  <c r="U118" i="1"/>
  <c r="P118" i="1"/>
  <c r="G118" i="1"/>
  <c r="F118" i="1"/>
  <c r="E118" i="1"/>
  <c r="U117" i="1"/>
  <c r="P117" i="1"/>
  <c r="G117" i="1"/>
  <c r="F117" i="1"/>
  <c r="E117" i="1"/>
  <c r="U116" i="1"/>
  <c r="P116" i="1"/>
  <c r="G116" i="1"/>
  <c r="F116" i="1"/>
  <c r="E116" i="1"/>
  <c r="U115" i="1"/>
  <c r="P115" i="1"/>
  <c r="G115" i="1"/>
  <c r="F115" i="1"/>
  <c r="E115" i="1"/>
  <c r="U114" i="1"/>
  <c r="P114" i="1"/>
  <c r="G114" i="1"/>
  <c r="F114" i="1"/>
  <c r="E114" i="1"/>
  <c r="U113" i="1"/>
  <c r="P113" i="1"/>
  <c r="G113" i="1"/>
  <c r="F113" i="1"/>
  <c r="E113" i="1"/>
  <c r="U112" i="1"/>
  <c r="P112" i="1"/>
  <c r="G112" i="1"/>
  <c r="F112" i="1"/>
  <c r="E112" i="1"/>
  <c r="U111" i="1"/>
  <c r="P111" i="1"/>
  <c r="G111" i="1"/>
  <c r="F111" i="1"/>
  <c r="E111" i="1"/>
  <c r="U110" i="1"/>
  <c r="P110" i="1"/>
  <c r="G110" i="1"/>
  <c r="F110" i="1"/>
  <c r="E110" i="1"/>
  <c r="U109" i="1"/>
  <c r="P109" i="1"/>
  <c r="F109" i="1"/>
  <c r="E109" i="1"/>
  <c r="U108" i="1"/>
  <c r="P108" i="1"/>
  <c r="G108" i="1"/>
  <c r="F108" i="1"/>
  <c r="E108" i="1"/>
  <c r="U107" i="1"/>
  <c r="P107" i="1"/>
  <c r="G107" i="1"/>
  <c r="F107" i="1"/>
  <c r="E107" i="1"/>
  <c r="U106" i="1"/>
  <c r="P106" i="1"/>
  <c r="G106" i="1"/>
  <c r="F106" i="1"/>
  <c r="E106" i="1"/>
  <c r="U105" i="1"/>
  <c r="P105" i="1"/>
  <c r="G105" i="1"/>
  <c r="F105" i="1"/>
  <c r="E105" i="1"/>
  <c r="U104" i="1"/>
  <c r="P104" i="1"/>
  <c r="G104" i="1"/>
  <c r="F104" i="1"/>
  <c r="E104" i="1"/>
  <c r="U103" i="1"/>
  <c r="P103" i="1"/>
  <c r="G103" i="1"/>
  <c r="F103" i="1"/>
  <c r="E103" i="1"/>
  <c r="U102" i="1"/>
  <c r="P102" i="1"/>
  <c r="F102" i="1"/>
  <c r="E102" i="1"/>
  <c r="U101" i="1"/>
  <c r="P101" i="1"/>
  <c r="G101" i="1"/>
  <c r="F101" i="1"/>
  <c r="E101" i="1"/>
  <c r="U100" i="1"/>
  <c r="P100" i="1"/>
  <c r="F100" i="1"/>
  <c r="E100" i="1"/>
  <c r="U99" i="1"/>
  <c r="P99" i="1"/>
  <c r="F99" i="1"/>
  <c r="E99" i="1"/>
  <c r="U98" i="1"/>
  <c r="P98" i="1"/>
  <c r="F98" i="1"/>
  <c r="E98" i="1"/>
  <c r="U97" i="1"/>
  <c r="P97" i="1"/>
  <c r="F97" i="1"/>
  <c r="E97" i="1"/>
  <c r="U96" i="1"/>
  <c r="P96" i="1"/>
  <c r="F96" i="1"/>
  <c r="U95" i="1"/>
  <c r="P95" i="1"/>
  <c r="G95" i="1"/>
  <c r="F95" i="1"/>
  <c r="E95" i="1"/>
  <c r="U94" i="1"/>
  <c r="P94" i="1"/>
  <c r="G94" i="1"/>
  <c r="F94" i="1"/>
  <c r="E94" i="1"/>
  <c r="U93" i="1"/>
  <c r="P93" i="1"/>
  <c r="G93" i="1"/>
  <c r="F93" i="1"/>
  <c r="E93" i="1"/>
  <c r="U92" i="1"/>
  <c r="P92" i="1"/>
  <c r="G92" i="1"/>
  <c r="F92" i="1"/>
  <c r="E92" i="1"/>
  <c r="U91" i="1"/>
  <c r="P91" i="1"/>
  <c r="G91" i="1"/>
  <c r="F91" i="1"/>
  <c r="E91" i="1"/>
  <c r="U90" i="1"/>
  <c r="P90" i="1"/>
  <c r="F90" i="1"/>
  <c r="E90" i="1"/>
  <c r="U89" i="1"/>
  <c r="P89" i="1"/>
  <c r="G89" i="1"/>
  <c r="F89" i="1"/>
  <c r="E89" i="1"/>
  <c r="U88" i="1"/>
  <c r="P88" i="1"/>
  <c r="G88" i="1"/>
  <c r="F88" i="1"/>
  <c r="E88" i="1"/>
  <c r="U87" i="1"/>
  <c r="P87" i="1"/>
  <c r="G87" i="1"/>
  <c r="F87" i="1"/>
  <c r="E87" i="1"/>
  <c r="U86" i="1"/>
  <c r="P86" i="1"/>
  <c r="G86" i="1"/>
  <c r="F86" i="1"/>
  <c r="E86" i="1"/>
  <c r="U85" i="1"/>
  <c r="P85" i="1"/>
  <c r="G85" i="1"/>
  <c r="F85" i="1"/>
  <c r="E85" i="1"/>
  <c r="U84" i="1"/>
  <c r="P84" i="1"/>
  <c r="G84" i="1"/>
  <c r="F84" i="1"/>
  <c r="E84" i="1"/>
  <c r="U83" i="1"/>
  <c r="P83" i="1"/>
  <c r="G83" i="1"/>
  <c r="F83" i="1"/>
  <c r="E83" i="1"/>
  <c r="U82" i="1"/>
  <c r="P82" i="1"/>
  <c r="G82" i="1"/>
  <c r="F82" i="1"/>
  <c r="E82" i="1"/>
  <c r="U81" i="1"/>
  <c r="P81" i="1"/>
  <c r="G81" i="1"/>
  <c r="F81" i="1"/>
  <c r="E81" i="1"/>
  <c r="U80" i="1"/>
  <c r="P80" i="1"/>
  <c r="G80" i="1"/>
  <c r="F80" i="1"/>
  <c r="E80" i="1"/>
  <c r="U79" i="1"/>
  <c r="P79" i="1"/>
  <c r="G79" i="1"/>
  <c r="F79" i="1"/>
  <c r="E79" i="1"/>
  <c r="U78" i="1"/>
  <c r="P78" i="1"/>
  <c r="G78" i="1"/>
  <c r="F78" i="1"/>
  <c r="E78" i="1"/>
  <c r="U77" i="1"/>
  <c r="P77" i="1"/>
  <c r="G77" i="1"/>
  <c r="F77" i="1"/>
  <c r="E77" i="1"/>
  <c r="U76" i="1"/>
  <c r="P76" i="1"/>
  <c r="G76" i="1"/>
  <c r="F76" i="1"/>
  <c r="E76" i="1"/>
  <c r="U75" i="1"/>
  <c r="P75" i="1"/>
  <c r="G75" i="1"/>
  <c r="F75" i="1"/>
  <c r="E75" i="1"/>
  <c r="U74" i="1"/>
  <c r="P74" i="1"/>
  <c r="G74" i="1"/>
  <c r="F74" i="1"/>
  <c r="E74" i="1"/>
  <c r="U73" i="1"/>
  <c r="P73" i="1"/>
  <c r="G73" i="1"/>
  <c r="F73" i="1"/>
  <c r="E73" i="1"/>
  <c r="U72" i="1"/>
  <c r="P72" i="1"/>
  <c r="G72" i="1"/>
  <c r="F72" i="1"/>
  <c r="E72" i="1"/>
  <c r="U71" i="1"/>
  <c r="P71" i="1"/>
  <c r="G71" i="1"/>
  <c r="F71" i="1"/>
  <c r="E71" i="1"/>
  <c r="U70" i="1"/>
  <c r="P70" i="1"/>
  <c r="G70" i="1"/>
  <c r="F70" i="1"/>
  <c r="E70" i="1"/>
  <c r="U69" i="1"/>
  <c r="P69" i="1"/>
  <c r="G69" i="1"/>
  <c r="F69" i="1"/>
  <c r="E69" i="1"/>
  <c r="U68" i="1"/>
  <c r="P68" i="1"/>
  <c r="G68" i="1"/>
  <c r="F68" i="1"/>
  <c r="E68" i="1"/>
  <c r="U67" i="1"/>
  <c r="P67" i="1"/>
  <c r="G67" i="1"/>
  <c r="F67" i="1"/>
  <c r="E67" i="1"/>
  <c r="U66" i="1"/>
  <c r="P66" i="1"/>
  <c r="G66" i="1"/>
  <c r="F66" i="1"/>
  <c r="E66" i="1"/>
  <c r="U65" i="1"/>
  <c r="P65" i="1"/>
  <c r="G65" i="1"/>
  <c r="F65" i="1"/>
  <c r="E65" i="1"/>
  <c r="U64" i="1"/>
  <c r="P64" i="1"/>
  <c r="G64" i="1"/>
  <c r="F64" i="1"/>
  <c r="E64" i="1"/>
  <c r="U63" i="1"/>
  <c r="P63" i="1"/>
  <c r="G63" i="1"/>
  <c r="F63" i="1"/>
  <c r="E63" i="1"/>
  <c r="U62" i="1"/>
  <c r="P62" i="1"/>
  <c r="G62" i="1"/>
  <c r="F62" i="1"/>
  <c r="E62" i="1"/>
  <c r="U61" i="1"/>
  <c r="P61" i="1"/>
  <c r="G61" i="1"/>
  <c r="F61" i="1"/>
  <c r="E61" i="1"/>
  <c r="U60" i="1"/>
  <c r="P60" i="1"/>
  <c r="G60" i="1"/>
  <c r="F60" i="1"/>
  <c r="E60" i="1"/>
  <c r="U59" i="1"/>
  <c r="P59" i="1"/>
  <c r="G59" i="1"/>
  <c r="F59" i="1"/>
  <c r="E59" i="1"/>
  <c r="U58" i="1"/>
  <c r="P58" i="1"/>
  <c r="G58" i="1"/>
  <c r="F58" i="1"/>
  <c r="E58" i="1"/>
  <c r="U57" i="1"/>
  <c r="P57" i="1"/>
  <c r="G57" i="1"/>
  <c r="F57" i="1"/>
  <c r="E57" i="1"/>
  <c r="U56" i="1"/>
  <c r="P56" i="1"/>
  <c r="G56" i="1"/>
  <c r="F56" i="1"/>
  <c r="E56" i="1"/>
  <c r="U55" i="1"/>
  <c r="P55" i="1"/>
  <c r="G55" i="1"/>
  <c r="F55" i="1"/>
  <c r="E55" i="1"/>
  <c r="U54" i="1"/>
  <c r="P54" i="1"/>
  <c r="G54" i="1"/>
  <c r="F54" i="1"/>
  <c r="E54" i="1"/>
  <c r="U53" i="1"/>
  <c r="P53" i="1"/>
  <c r="G53" i="1"/>
  <c r="F53" i="1"/>
  <c r="E53" i="1"/>
  <c r="U52" i="1"/>
  <c r="P52" i="1"/>
  <c r="G52" i="1"/>
  <c r="F52" i="1"/>
  <c r="E52" i="1"/>
  <c r="U51" i="1"/>
  <c r="P51" i="1"/>
  <c r="G51" i="1"/>
  <c r="F51" i="1"/>
  <c r="E51" i="1"/>
  <c r="U50" i="1"/>
  <c r="P50" i="1"/>
  <c r="G50" i="1"/>
  <c r="F50" i="1"/>
  <c r="E50" i="1"/>
  <c r="U49" i="1"/>
  <c r="P49" i="1"/>
  <c r="G49" i="1"/>
  <c r="F49" i="1"/>
  <c r="E49" i="1"/>
  <c r="U48" i="1"/>
  <c r="P48" i="1"/>
  <c r="G48" i="1"/>
  <c r="F48" i="1"/>
  <c r="E48" i="1"/>
  <c r="U47" i="1"/>
  <c r="P47" i="1"/>
  <c r="G47" i="1"/>
  <c r="F47" i="1"/>
  <c r="E47" i="1"/>
  <c r="U46" i="1"/>
  <c r="P46" i="1"/>
  <c r="G46" i="1"/>
  <c r="F46" i="1"/>
  <c r="E46" i="1"/>
  <c r="U45" i="1"/>
  <c r="P45" i="1"/>
  <c r="G45" i="1"/>
  <c r="F45" i="1"/>
  <c r="E45" i="1"/>
  <c r="U44" i="1"/>
  <c r="P44" i="1"/>
  <c r="G44" i="1"/>
  <c r="F44" i="1"/>
  <c r="E44" i="1"/>
  <c r="U43" i="1"/>
  <c r="P43" i="1"/>
  <c r="G43" i="1"/>
  <c r="F43" i="1"/>
  <c r="E43" i="1"/>
  <c r="U42" i="1"/>
  <c r="P42" i="1"/>
  <c r="G42" i="1"/>
  <c r="F42" i="1"/>
  <c r="E42" i="1"/>
  <c r="U41" i="1"/>
  <c r="P41" i="1"/>
  <c r="G41" i="1"/>
  <c r="F41" i="1"/>
  <c r="E41" i="1"/>
  <c r="U40" i="1"/>
  <c r="P40" i="1"/>
  <c r="G40" i="1"/>
  <c r="F40" i="1"/>
  <c r="E40" i="1"/>
  <c r="U39" i="1"/>
  <c r="P39" i="1"/>
  <c r="G39" i="1"/>
  <c r="F39" i="1"/>
  <c r="E39" i="1"/>
  <c r="U38" i="1"/>
  <c r="P38" i="1"/>
  <c r="G38" i="1"/>
  <c r="F38" i="1"/>
  <c r="E38" i="1"/>
  <c r="U37" i="1"/>
  <c r="P37" i="1"/>
  <c r="G37" i="1"/>
  <c r="F37" i="1"/>
  <c r="E37" i="1"/>
  <c r="U36" i="1"/>
  <c r="P36" i="1"/>
  <c r="G36" i="1"/>
  <c r="U35" i="1"/>
  <c r="P35" i="1"/>
  <c r="G35" i="1"/>
  <c r="F35" i="1"/>
  <c r="E35" i="1"/>
  <c r="U34" i="1"/>
  <c r="P34" i="1"/>
  <c r="G34" i="1"/>
  <c r="F34" i="1"/>
  <c r="E34" i="1"/>
  <c r="U33" i="1"/>
  <c r="P33" i="1"/>
  <c r="G33" i="1"/>
  <c r="F33" i="1"/>
  <c r="E33" i="1"/>
  <c r="U32" i="1"/>
  <c r="P32" i="1"/>
  <c r="G32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U25" i="1"/>
  <c r="P25" i="1"/>
  <c r="G25" i="1"/>
  <c r="F25" i="1"/>
  <c r="E25" i="1"/>
  <c r="U24" i="1"/>
  <c r="P24" i="1"/>
  <c r="G24" i="1"/>
  <c r="F24" i="1"/>
  <c r="E24" i="1"/>
  <c r="U23" i="1"/>
  <c r="P23" i="1"/>
  <c r="F23" i="1"/>
  <c r="E23" i="1"/>
  <c r="U22" i="1"/>
  <c r="P22" i="1"/>
  <c r="F22" i="1"/>
  <c r="E22" i="1"/>
  <c r="U21" i="1"/>
  <c r="P21" i="1"/>
  <c r="G21" i="1"/>
  <c r="F21" i="1"/>
  <c r="E21" i="1"/>
  <c r="U20" i="1"/>
  <c r="P20" i="1"/>
  <c r="G20" i="1"/>
  <c r="F20" i="1"/>
  <c r="E20" i="1"/>
  <c r="U19" i="1"/>
  <c r="P19" i="1"/>
  <c r="G19" i="1"/>
  <c r="F19" i="1"/>
  <c r="E19" i="1"/>
  <c r="U18" i="1"/>
  <c r="P18" i="1"/>
  <c r="G18" i="1"/>
  <c r="F18" i="1"/>
  <c r="E18" i="1"/>
  <c r="U17" i="1"/>
  <c r="P17" i="1"/>
  <c r="G17" i="1"/>
  <c r="F17" i="1"/>
  <c r="E17" i="1"/>
  <c r="U16" i="1"/>
  <c r="P16" i="1"/>
  <c r="F16" i="1"/>
  <c r="E16" i="1"/>
  <c r="U15" i="1"/>
  <c r="P15" i="1"/>
  <c r="G15" i="1"/>
  <c r="F15" i="1"/>
  <c r="E15" i="1"/>
  <c r="U14" i="1"/>
  <c r="P14" i="1"/>
  <c r="G14" i="1"/>
  <c r="U13" i="1"/>
  <c r="P13" i="1"/>
  <c r="G13" i="1"/>
  <c r="F13" i="1"/>
  <c r="E13" i="1"/>
  <c r="U12" i="1"/>
  <c r="P12" i="1"/>
  <c r="G12" i="1"/>
  <c r="F12" i="1"/>
  <c r="E12" i="1"/>
  <c r="U11" i="1"/>
  <c r="P11" i="1"/>
  <c r="G11" i="1"/>
  <c r="F11" i="1"/>
  <c r="E11" i="1"/>
  <c r="U10" i="1"/>
  <c r="P10" i="1"/>
  <c r="G10" i="1"/>
  <c r="F10" i="1"/>
  <c r="E10" i="1"/>
  <c r="U9" i="1"/>
  <c r="P9" i="1"/>
  <c r="G9" i="1"/>
  <c r="F9" i="1"/>
  <c r="E9" i="1"/>
  <c r="U8" i="1"/>
  <c r="P8" i="1"/>
  <c r="G8" i="1"/>
  <c r="F8" i="1"/>
  <c r="E8" i="1"/>
  <c r="U7" i="1"/>
  <c r="P7" i="1"/>
  <c r="G7" i="1"/>
  <c r="F7" i="1"/>
  <c r="E7" i="1"/>
  <c r="U6" i="1"/>
  <c r="P6" i="1"/>
  <c r="G6" i="1"/>
  <c r="F6" i="1"/>
  <c r="E6" i="1"/>
  <c r="U5" i="1"/>
  <c r="P5" i="1"/>
  <c r="G5" i="1"/>
  <c r="G1284" i="1" l="1"/>
  <c r="G766" i="1"/>
  <c r="G1245" i="1"/>
  <c r="G1249" i="1"/>
  <c r="G1261" i="1"/>
  <c r="G1273" i="1"/>
  <c r="G1285" i="1"/>
  <c r="G1297" i="1"/>
  <c r="G1309" i="1"/>
  <c r="G1321" i="1"/>
  <c r="G1274" i="1"/>
  <c r="G1286" i="1"/>
  <c r="G1298" i="1"/>
  <c r="G1310" i="1"/>
  <c r="G1322" i="1"/>
  <c r="E774" i="1"/>
  <c r="G1331" i="1"/>
  <c r="G767" i="1"/>
  <c r="G1317" i="1"/>
  <c r="G1295" i="1"/>
  <c r="G771" i="1"/>
  <c r="G413" i="1"/>
  <c r="G765" i="1"/>
  <c r="G1333" i="1"/>
  <c r="G1262" i="1"/>
  <c r="G1334" i="1"/>
  <c r="E769" i="1"/>
  <c r="E772" i="1"/>
  <c r="G1276" i="1"/>
  <c r="G1312" i="1"/>
  <c r="G1320" i="1"/>
  <c r="G1283" i="1"/>
  <c r="G420" i="1"/>
  <c r="G1247" i="1"/>
  <c r="G1319" i="1"/>
  <c r="G1244" i="1"/>
  <c r="G1268" i="1"/>
  <c r="G1280" i="1"/>
  <c r="G1292" i="1"/>
  <c r="G1304" i="1"/>
  <c r="G1316" i="1"/>
  <c r="G1328" i="1"/>
  <c r="G1259" i="1"/>
  <c r="G770" i="1"/>
  <c r="G1257" i="1"/>
  <c r="G1269" i="1"/>
  <c r="G1293" i="1"/>
  <c r="G1305" i="1"/>
  <c r="G1329" i="1"/>
  <c r="G773" i="1"/>
  <c r="G412" i="1"/>
  <c r="G1246" i="1"/>
  <c r="G1258" i="1"/>
  <c r="G1270" i="1"/>
  <c r="G1282" i="1"/>
  <c r="G1294" i="1"/>
  <c r="G1306" i="1"/>
  <c r="G1318" i="1"/>
  <c r="G13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John Stretton</author>
  </authors>
  <commentList>
    <comment ref="I4" authorId="0" shapeId="0" xr:uid="{6CBA6802-7894-4B2C-A6D4-89DE1C6D841D}">
      <text>
        <r>
          <rPr>
            <b/>
            <sz val="9"/>
            <color indexed="81"/>
            <rFont val="Tahoma"/>
            <family val="2"/>
          </rPr>
          <t>Please remove periods from the variable name.</t>
        </r>
      </text>
    </comment>
    <comment ref="J4" authorId="0" shapeId="0" xr:uid="{4285011E-484F-4DFB-8A2B-301AA239DC81}">
      <text>
        <r>
          <rPr>
            <b/>
            <sz val="9"/>
            <color indexed="81"/>
            <rFont val="Tahoma"/>
            <family val="2"/>
          </rPr>
          <t>s: sector
f: fuel
g: sector grouping
s-f: sector and fuel
g-f: sector grouping and fuel
u: unfcc sector
all: all</t>
        </r>
      </text>
    </comment>
    <comment ref="M4" authorId="0" shapeId="0" xr:uid="{356B66B5-8802-41D4-94A2-E8FEF58C996E}">
      <text>
        <r>
          <rPr>
            <b/>
            <sz val="9"/>
            <color indexed="81"/>
            <rFont val="Tahoma"/>
            <family val="2"/>
          </rPr>
          <t>Sector grouping is the dimensionality that has ind and tra rather than more detailed sectors</t>
        </r>
      </text>
    </comment>
    <comment ref="N4" authorId="0" shapeId="0" xr:uid="{73E40F65-0C3A-46A4-A402-46A20DB3B36D}">
      <text>
        <r>
          <rPr>
            <b/>
            <sz val="9"/>
            <color indexed="81"/>
            <rFont val="Tahoma"/>
            <family val="2"/>
          </rPr>
          <t>Pleaase use all if neither sector or sector grouping is present</t>
        </r>
      </text>
    </comment>
    <comment ref="R4" authorId="0" shapeId="0" xr:uid="{C7AEFEA4-1CD0-4F8F-8B86-4E8074EFAA58}">
      <text>
        <r>
          <rPr>
            <b/>
            <sz val="9"/>
            <color indexed="81"/>
            <rFont val="Tahoma"/>
            <family val="2"/>
          </rPr>
          <t>Please use a folr all if not present:
t=technoeconomic model
e=elasticity model
a = all
c = chosen model</t>
        </r>
      </text>
    </comment>
  </commentList>
</comments>
</file>

<file path=xl/sharedStrings.xml><?xml version="1.0" encoding="utf-8"?>
<sst xmlns="http://schemas.openxmlformats.org/spreadsheetml/2006/main" count="21583" uniqueCount="3364">
  <si>
    <t>CPATCode</t>
  </si>
  <si>
    <t>MTCode</t>
  </si>
  <si>
    <t>RCode</t>
  </si>
  <si>
    <t>Tab</t>
  </si>
  <si>
    <t>Variable</t>
  </si>
  <si>
    <t>AggregationLevel</t>
  </si>
  <si>
    <t>Unit</t>
  </si>
  <si>
    <t>GHGSector</t>
  </si>
  <si>
    <t>SectorGrouping</t>
  </si>
  <si>
    <t>Sector</t>
  </si>
  <si>
    <t xml:space="preserve"> DistAndAPDimension</t>
  </si>
  <si>
    <t>SummarySector</t>
  </si>
  <si>
    <t>FuelType</t>
  </si>
  <si>
    <t>Submodel</t>
  </si>
  <si>
    <t>Pollutant</t>
  </si>
  <si>
    <t>OtherClassification</t>
  </si>
  <si>
    <t>SummmaryAdditional</t>
  </si>
  <si>
    <t>SubScenario</t>
  </si>
  <si>
    <t/>
  </si>
  <si>
    <t>mit</t>
  </si>
  <si>
    <t>co2cov</t>
  </si>
  <si>
    <t>pc</t>
  </si>
  <si>
    <t>2</t>
  </si>
  <si>
    <t>cptraj</t>
  </si>
  <si>
    <t>usdtco2</t>
  </si>
  <si>
    <t>effcptraj</t>
  </si>
  <si>
    <t>pow</t>
  </si>
  <si>
    <t>tra</t>
  </si>
  <si>
    <t>res</t>
  </si>
  <si>
    <t>ind</t>
  </si>
  <si>
    <t>oth</t>
  </si>
  <si>
    <t>gdp</t>
  </si>
  <si>
    <t>pre</t>
  </si>
  <si>
    <t>exc</t>
  </si>
  <si>
    <t>pit</t>
  </si>
  <si>
    <t>inv</t>
  </si>
  <si>
    <t>cur</t>
  </si>
  <si>
    <t>tot</t>
  </si>
  <si>
    <t>rev</t>
  </si>
  <si>
    <t>usdbn</t>
  </si>
  <si>
    <t>1</t>
  </si>
  <si>
    <t>lngdppc</t>
  </si>
  <si>
    <t>unitless</t>
  </si>
  <si>
    <t>pop</t>
  </si>
  <si>
    <t>mn</t>
  </si>
  <si>
    <t>emis</t>
  </si>
  <si>
    <t>all</t>
  </si>
  <si>
    <t>mtco2e</t>
  </si>
  <si>
    <t>totexc</t>
  </si>
  <si>
    <t>ghg</t>
  </si>
  <si>
    <t>totinc</t>
  </si>
  <si>
    <t>u</t>
  </si>
  <si>
    <t>enrtot</t>
  </si>
  <si>
    <t>iprtot</t>
  </si>
  <si>
    <t>agrtot</t>
  </si>
  <si>
    <t>wsttot</t>
  </si>
  <si>
    <t>lucftot</t>
  </si>
  <si>
    <t>mtco2</t>
  </si>
  <si>
    <t>co2</t>
  </si>
  <si>
    <t>f</t>
  </si>
  <si>
    <t>coa</t>
  </si>
  <si>
    <t>nga</t>
  </si>
  <si>
    <t>oil</t>
  </si>
  <si>
    <t>gso</t>
  </si>
  <si>
    <t>die</t>
  </si>
  <si>
    <t>lpg</t>
  </si>
  <si>
    <t>ker</t>
  </si>
  <si>
    <t>s</t>
  </si>
  <si>
    <t>co2red</t>
  </si>
  <si>
    <t>t</t>
  </si>
  <si>
    <t>ch4</t>
  </si>
  <si>
    <t>nox</t>
  </si>
  <si>
    <t>fga</t>
  </si>
  <si>
    <t>enr</t>
  </si>
  <si>
    <t>ipr</t>
  </si>
  <si>
    <t>agr</t>
  </si>
  <si>
    <t>lucf</t>
  </si>
  <si>
    <t>wst</t>
  </si>
  <si>
    <t>fug</t>
  </si>
  <si>
    <t>index</t>
  </si>
  <si>
    <t>ghgind</t>
  </si>
  <si>
    <t>ghgchange</t>
  </si>
  <si>
    <t>ndcoption</t>
  </si>
  <si>
    <t>text</t>
  </si>
  <si>
    <t>option</t>
  </si>
  <si>
    <t>_</t>
  </si>
  <si>
    <t>ndcdesclong</t>
  </si>
  <si>
    <t>desc</t>
  </si>
  <si>
    <t>ndcdescshort</t>
  </si>
  <si>
    <t>ndcunct</t>
  </si>
  <si>
    <t>ndccont</t>
  </si>
  <si>
    <t>ndcunclevel</t>
  </si>
  <si>
    <t>ton</t>
  </si>
  <si>
    <t>trg</t>
  </si>
  <si>
    <t>ndcconlevel</t>
  </si>
  <si>
    <t>undc</t>
  </si>
  <si>
    <t>pct</t>
  </si>
  <si>
    <t>cndc</t>
  </si>
  <si>
    <t>andc</t>
  </si>
  <si>
    <t>rp</t>
  </si>
  <si>
    <t>usdkwh</t>
  </si>
  <si>
    <t>ecy</t>
  </si>
  <si>
    <t>usdgj</t>
  </si>
  <si>
    <t>bbusdl</t>
  </si>
  <si>
    <t>usdl</t>
  </si>
  <si>
    <t>co2ela</t>
  </si>
  <si>
    <t>unitusdless</t>
  </si>
  <si>
    <t>ela</t>
  </si>
  <si>
    <t>ndcerc</t>
  </si>
  <si>
    <t>erc</t>
  </si>
  <si>
    <t>ecr</t>
  </si>
  <si>
    <t>sup_cost</t>
  </si>
  <si>
    <t>sp</t>
  </si>
  <si>
    <t>oop</t>
  </si>
  <si>
    <t>txo</t>
  </si>
  <si>
    <t>c</t>
  </si>
  <si>
    <t>vat</t>
  </si>
  <si>
    <t>ets</t>
  </si>
  <si>
    <t>tcp</t>
  </si>
  <si>
    <t>usd/tCO2</t>
  </si>
  <si>
    <t>eff_price</t>
  </si>
  <si>
    <t>usdliter</t>
  </si>
  <si>
    <t>airpol_cost</t>
  </si>
  <si>
    <t>acc_cost</t>
  </si>
  <si>
    <t>con_cost</t>
  </si>
  <si>
    <t>rdm_cost</t>
  </si>
  <si>
    <t>scc_cost</t>
  </si>
  <si>
    <t>vat_cost</t>
  </si>
  <si>
    <t>rp_gso</t>
  </si>
  <si>
    <t>tgap_gso</t>
  </si>
  <si>
    <t>txo_co2e</t>
  </si>
  <si>
    <t>usdtonco2</t>
  </si>
  <si>
    <t>pig_gso</t>
  </si>
  <si>
    <t>pig_co2e</t>
  </si>
  <si>
    <t>rp_die</t>
  </si>
  <si>
    <t>tgap_die</t>
  </si>
  <si>
    <t>pig_die</t>
  </si>
  <si>
    <t>rp_lpg</t>
  </si>
  <si>
    <t>tgap_lpg</t>
  </si>
  <si>
    <t>pig_lpg</t>
  </si>
  <si>
    <t>rp_ker</t>
  </si>
  <si>
    <t>tgap_ker</t>
  </si>
  <si>
    <t>pig_ker</t>
  </si>
  <si>
    <t>usdGJ</t>
  </si>
  <si>
    <t>rp_coa</t>
  </si>
  <si>
    <t>tgap_coa</t>
  </si>
  <si>
    <t>txo_ind</t>
  </si>
  <si>
    <t>pig_coa</t>
  </si>
  <si>
    <t>txo_res</t>
  </si>
  <si>
    <t>txo_pow</t>
  </si>
  <si>
    <t>rp_nga</t>
  </si>
  <si>
    <t>tgap_nga</t>
  </si>
  <si>
    <t>pig_nga</t>
  </si>
  <si>
    <t>rp_ecy</t>
  </si>
  <si>
    <t>tgap_ecy</t>
  </si>
  <si>
    <t>pig_ecy</t>
  </si>
  <si>
    <t>app_co2e</t>
  </si>
  <si>
    <t>sel_scc</t>
  </si>
  <si>
    <t>ener</t>
  </si>
  <si>
    <t>ktoe</t>
  </si>
  <si>
    <t>nuc</t>
  </si>
  <si>
    <t>rnw</t>
  </si>
  <si>
    <t>bio</t>
  </si>
  <si>
    <t>s-f</t>
  </si>
  <si>
    <t>bld</t>
  </si>
  <si>
    <t>oen</t>
  </si>
  <si>
    <t>total</t>
  </si>
  <si>
    <t>nrn</t>
  </si>
  <si>
    <t>elec</t>
  </si>
  <si>
    <t>twh</t>
  </si>
  <si>
    <t>wnd</t>
  </si>
  <si>
    <t>sol</t>
  </si>
  <si>
    <t>hyd</t>
  </si>
  <si>
    <t>ore</t>
  </si>
  <si>
    <t>ren</t>
  </si>
  <si>
    <t>e</t>
  </si>
  <si>
    <t>g-f</t>
  </si>
  <si>
    <t>rod</t>
  </si>
  <si>
    <t>ral</t>
  </si>
  <si>
    <t>nav</t>
  </si>
  <si>
    <t>jfu</t>
  </si>
  <si>
    <t>ele</t>
  </si>
  <si>
    <t>avi</t>
  </si>
  <si>
    <t>foo</t>
  </si>
  <si>
    <t>srv</t>
  </si>
  <si>
    <t>mch</t>
  </si>
  <si>
    <t>irn</t>
  </si>
  <si>
    <t>nfm</t>
  </si>
  <si>
    <t>mac</t>
  </si>
  <si>
    <t>cem</t>
  </si>
  <si>
    <t>omn</t>
  </si>
  <si>
    <t>cst</t>
  </si>
  <si>
    <t>ftr</t>
  </si>
  <si>
    <t>nxp</t>
  </si>
  <si>
    <t>a</t>
  </si>
  <si>
    <t>usd</t>
  </si>
  <si>
    <t>new</t>
  </si>
  <si>
    <t>lpk</t>
  </si>
  <si>
    <t>sub</t>
  </si>
  <si>
    <t>air</t>
  </si>
  <si>
    <t>oap</t>
  </si>
  <si>
    <t>urb</t>
  </si>
  <si>
    <t>pm2</t>
  </si>
  <si>
    <t>rur</t>
  </si>
  <si>
    <t>mod</t>
  </si>
  <si>
    <t>obs</t>
  </si>
  <si>
    <t>who_guidelines</t>
  </si>
  <si>
    <t>gui</t>
  </si>
  <si>
    <t>whoguidelines</t>
  </si>
  <si>
    <t>cad</t>
  </si>
  <si>
    <t>ao3</t>
  </si>
  <si>
    <t>apm25</t>
  </si>
  <si>
    <t>hpm25</t>
  </si>
  <si>
    <t>net</t>
  </si>
  <si>
    <t>ada</t>
  </si>
  <si>
    <t>age2464</t>
  </si>
  <si>
    <t>age65plus</t>
  </si>
  <si>
    <t>u24</t>
  </si>
  <si>
    <t>yll</t>
  </si>
  <si>
    <t>yld</t>
  </si>
  <si>
    <t>mort</t>
  </si>
  <si>
    <t>ext</t>
  </si>
  <si>
    <t>gdploss</t>
  </si>
  <si>
    <t>loss</t>
  </si>
  <si>
    <t>ch</t>
  </si>
  <si>
    <t>airpolcost</t>
  </si>
  <si>
    <t>lit</t>
  </si>
  <si>
    <t>sav</t>
  </si>
  <si>
    <t>usdm</t>
  </si>
  <si>
    <t>gov</t>
  </si>
  <si>
    <t>ppr</t>
  </si>
  <si>
    <t>opo</t>
  </si>
  <si>
    <t>das</t>
  </si>
  <si>
    <t>dthktoe</t>
  </si>
  <si>
    <t>deathsktoe</t>
  </si>
  <si>
    <t>conc_pm</t>
  </si>
  <si>
    <t>ugm3</t>
  </si>
  <si>
    <t>cccosts</t>
  </si>
  <si>
    <t>tran</t>
  </si>
  <si>
    <t>vmt</t>
  </si>
  <si>
    <t>deaths</t>
  </si>
  <si>
    <t>congestionP</t>
  </si>
  <si>
    <t>acccost</t>
  </si>
  <si>
    <t>concost</t>
  </si>
  <si>
    <t>rdmcost</t>
  </si>
  <si>
    <t>dso</t>
  </si>
  <si>
    <t>wel</t>
  </si>
  <si>
    <t>cli</t>
  </si>
  <si>
    <t>rodaci</t>
  </si>
  <si>
    <t>rodcon</t>
  </si>
  <si>
    <t>ecodwl</t>
  </si>
  <si>
    <t>roddam</t>
  </si>
  <si>
    <t>decile --&gt;</t>
  </si>
  <si>
    <t>distn</t>
  </si>
  <si>
    <t>tef</t>
  </si>
  <si>
    <t>def</t>
  </si>
  <si>
    <t>ove</t>
  </si>
  <si>
    <t>ely</t>
  </si>
  <si>
    <t>ief</t>
  </si>
  <si>
    <t>app</t>
  </si>
  <si>
    <t>che</t>
  </si>
  <si>
    <t>clo</t>
  </si>
  <si>
    <t>com</t>
  </si>
  <si>
    <t>edu</t>
  </si>
  <si>
    <t>food</t>
  </si>
  <si>
    <t>hea</t>
  </si>
  <si>
    <t>hou</t>
  </si>
  <si>
    <t>pap</t>
  </si>
  <si>
    <t>pha</t>
  </si>
  <si>
    <t>ret</t>
  </si>
  <si>
    <t>teq</t>
  </si>
  <si>
    <t>tpu</t>
  </si>
  <si>
    <t>bsh</t>
  </si>
  <si>
    <t>ccl</t>
  </si>
  <si>
    <t>ethanol</t>
  </si>
  <si>
    <t>fwd</t>
  </si>
  <si>
    <t>cons_pc_na</t>
  </si>
  <si>
    <t>tot_cons_na</t>
  </si>
  <si>
    <t>pop_tot_adj</t>
  </si>
  <si>
    <t>pctrev_comp</t>
  </si>
  <si>
    <t>pct_gini_norec</t>
  </si>
  <si>
    <t>pct_gini_rec</t>
  </si>
  <si>
    <t>dpr</t>
  </si>
  <si>
    <t>pui</t>
  </si>
  <si>
    <t>cts</t>
  </si>
  <si>
    <t>tgt</t>
  </si>
  <si>
    <t>dist.year</t>
  </si>
  <si>
    <t>year</t>
  </si>
  <si>
    <t>dist.stat</t>
  </si>
  <si>
    <t>stat</t>
  </si>
  <si>
    <t>N/A</t>
  </si>
  <si>
    <t>rec</t>
  </si>
  <si>
    <t>sectors --&gt;</t>
  </si>
  <si>
    <t>GTAP Sector --&gt;</t>
  </si>
  <si>
    <t>CPAT Sector --&gt;</t>
  </si>
  <si>
    <t>dir</t>
  </si>
  <si>
    <t>wavg</t>
  </si>
  <si>
    <t>CPATsecdesc</t>
  </si>
  <si>
    <t>elinc</t>
  </si>
  <si>
    <t>gdpr</t>
  </si>
  <si>
    <t>emisco2</t>
  </si>
  <si>
    <t>co2intensityusdgdp</t>
  </si>
  <si>
    <t>co2inte</t>
  </si>
  <si>
    <t>renpropbase</t>
  </si>
  <si>
    <t>renprop</t>
  </si>
  <si>
    <t>co2intpow</t>
  </si>
  <si>
    <t>co2intp</t>
  </si>
  <si>
    <t>tsd</t>
  </si>
  <si>
    <t>eou</t>
  </si>
  <si>
    <t>ec</t>
  </si>
  <si>
    <t>bgs</t>
  </si>
  <si>
    <t>bdi</t>
  </si>
  <si>
    <t>obf</t>
  </si>
  <si>
    <t>heat</t>
  </si>
  <si>
    <t>cap</t>
  </si>
  <si>
    <t>MWe</t>
  </si>
  <si>
    <t>effcap</t>
  </si>
  <si>
    <t>nni</t>
  </si>
  <si>
    <t>inflation</t>
  </si>
  <si>
    <t>realoilbbl</t>
  </si>
  <si>
    <t>usdbbl</t>
  </si>
  <si>
    <t>realcoalton</t>
  </si>
  <si>
    <t>usdton</t>
  </si>
  <si>
    <t>realngammbtu</t>
  </si>
  <si>
    <t>usdbbbtu</t>
  </si>
  <si>
    <t>realoilglobal</t>
  </si>
  <si>
    <t>reacoalglobal</t>
  </si>
  <si>
    <t>realngaglobal</t>
  </si>
  <si>
    <t>forgasolinemarkup</t>
  </si>
  <si>
    <t>usdpl</t>
  </si>
  <si>
    <t>fordieselmarkup</t>
  </si>
  <si>
    <t>forkerosenemarkup</t>
  </si>
  <si>
    <t>forglpgmarkup</t>
  </si>
  <si>
    <t>mu1</t>
  </si>
  <si>
    <t>mu2</t>
  </si>
  <si>
    <t>ef</t>
  </si>
  <si>
    <t>CPATIndicator</t>
  </si>
  <si>
    <t>Emissions coverage</t>
  </si>
  <si>
    <t>Carbon tax trajectory</t>
  </si>
  <si>
    <t>Effective carbon tax trajectory</t>
  </si>
  <si>
    <t>Emissions covered by sector: power sector</t>
  </si>
  <si>
    <t>Emissions covered, transport sector</t>
  </si>
  <si>
    <t>Emissions covered, residential sector</t>
  </si>
  <si>
    <t>Emissions covered, industry</t>
  </si>
  <si>
    <t>Emissions covered, other energy use</t>
  </si>
  <si>
    <t>Effect on GDP: Baseline GDP growth</t>
  </si>
  <si>
    <t>Effect on GDP: Personal income tax</t>
  </si>
  <si>
    <t>Effect on GDP: Public investment</t>
  </si>
  <si>
    <t>Effect on GDP: Current Spending</t>
  </si>
  <si>
    <t>Effect on GDP: Transfers</t>
  </si>
  <si>
    <t>Effect on GDP: total policy (%)</t>
  </si>
  <si>
    <t>Total revenues, % of GDP (baseline)</t>
  </si>
  <si>
    <t>Total revenues, % of GDP (policy)</t>
  </si>
  <si>
    <t>Base erosion, % of GDP</t>
  </si>
  <si>
    <t>Revenues - Carbon tax, % of GDP</t>
  </si>
  <si>
    <t>Power sector carbon tax revenues</t>
  </si>
  <si>
    <t>Transport sector carbon tax revenues</t>
  </si>
  <si>
    <t>Buildings sector carbon tax revenues</t>
  </si>
  <si>
    <t>Industry sector carbon tax revenues</t>
  </si>
  <si>
    <t>Baseline ln(GDP per capita)</t>
  </si>
  <si>
    <t>Baseline GDP</t>
  </si>
  <si>
    <t>Post-policy GDP</t>
  </si>
  <si>
    <t>Population</t>
  </si>
  <si>
    <t>Total GHG emissions, exc. LULUCF (baseline)</t>
  </si>
  <si>
    <t>Total GHG emissions, inc. LULUCF (baseline)</t>
  </si>
  <si>
    <t>Energy-related GHG emissions (baseline)</t>
  </si>
  <si>
    <t>Industrial processes GHG emissions (baseline)</t>
  </si>
  <si>
    <t>Agriculture, GHG emissions (baseline)</t>
  </si>
  <si>
    <t>Waste GHG emissions (baseline)</t>
  </si>
  <si>
    <t>LULUCF, GHG emissions (baseline)</t>
  </si>
  <si>
    <t>Total CO2 emissions - baseline</t>
  </si>
  <si>
    <t>Total energy related CO2 emissions (baseline)</t>
  </si>
  <si>
    <t>Energy related CO2 emissions - Coal (baseline)</t>
  </si>
  <si>
    <t>Energy related CO2 emissions - Natural gas (baseline)</t>
  </si>
  <si>
    <t>Energy related CO2 emissions - Non-road oil (baseline)</t>
  </si>
  <si>
    <t>Energy related CO2 emissions  - Gasoline (baseline)</t>
  </si>
  <si>
    <t>Energy related CO2 emissions - Diesel (baseline)</t>
  </si>
  <si>
    <t>Energy related CO2 emissions - LPG (baseline)</t>
  </si>
  <si>
    <t>Energy related CO2 emissions - Kerosene (baseline)</t>
  </si>
  <si>
    <t>Energy related CO2 emissions - Power sector (baseline)</t>
  </si>
  <si>
    <t>Energy related CO2 emissions - Transport (baseline)</t>
  </si>
  <si>
    <t>Energy related CO2 emissions - Residential (baseline)</t>
  </si>
  <si>
    <t>Energy related CO2 emissions - Industry (baseline)</t>
  </si>
  <si>
    <t>Energy related CO2 emissions - Other (baseline)</t>
  </si>
  <si>
    <t>Total GHG emissions, exc. LULUCF (policy)</t>
  </si>
  <si>
    <t>Total GHG emissions, inc. LULUCF (policy)</t>
  </si>
  <si>
    <t>Energy-related GHG emissions (policy)</t>
  </si>
  <si>
    <t>Industrial processes GHG emissions (policy)</t>
  </si>
  <si>
    <t>Agriculture, GHG emissions (policy)</t>
  </si>
  <si>
    <t>LULUCF, GHG emissions (policy)</t>
  </si>
  <si>
    <t>Waste GHG emissions (policy)</t>
  </si>
  <si>
    <t>Total CO2 emissions - policy</t>
  </si>
  <si>
    <t>Total energy related CO2 emissions - policy</t>
  </si>
  <si>
    <t>Energy related CO2 emissions - Coal (policy)</t>
  </si>
  <si>
    <t>Energy related CO2 emissions - Natural gas (policy)</t>
  </si>
  <si>
    <t>Energy related CO2 emissions - Non-road oil (policy)</t>
  </si>
  <si>
    <t>Energy related CO2 emissions  - Gasoline (policy)</t>
  </si>
  <si>
    <t>Energy related CO2 emissions - Diesel (policy)</t>
  </si>
  <si>
    <t>Energy related CO2 emissions - LPG (policy)</t>
  </si>
  <si>
    <t>Energy related CO2 emissions - Kerosene (policy)</t>
  </si>
  <si>
    <t>Energy related CO2 emissions - Power sector (policy)</t>
  </si>
  <si>
    <t>Energy related CO2 emissions - Transport (policy)</t>
  </si>
  <si>
    <t>Energy related CO2 emissions - Residential (policy)</t>
  </si>
  <si>
    <t>Energy related CO2 emissions - Industry (policy)</t>
  </si>
  <si>
    <t>Energy related CO2 emissions - Other (policy)</t>
  </si>
  <si>
    <t>Change in CO2 emissions - (policy vs. baseline)</t>
  </si>
  <si>
    <t>Total GHG emissions, excl LULUCF - baseline</t>
  </si>
  <si>
    <t>Carbon dioxide (CO2) - baseline</t>
  </si>
  <si>
    <t>Methane (CH4) - baseline</t>
  </si>
  <si>
    <t>Nitrous oxide (N2O) - baseline</t>
  </si>
  <si>
    <t>F-gases (PFCs, HFCs, SF6, NF3) - baseline</t>
  </si>
  <si>
    <t>Total GHG emissions, excl LULUCF - policy</t>
  </si>
  <si>
    <t>Carbon dioxide (CO2) - policy</t>
  </si>
  <si>
    <t>Methane (CH4) - policy</t>
  </si>
  <si>
    <t>Nitrous oxide (N2O) - policy</t>
  </si>
  <si>
    <t>F-gases (PFCs, HFCs, SF6, NF3) - policy</t>
  </si>
  <si>
    <t>GHG emissions, baseline (2018=100)</t>
  </si>
  <si>
    <t>Change in GHG emissions exc LULUCF - (policy vs. baseline)</t>
  </si>
  <si>
    <t>NDC option</t>
  </si>
  <si>
    <t>NDC, description - long</t>
  </si>
  <si>
    <t>NDC, description - short</t>
  </si>
  <si>
    <t>NDC target: unconditional (2018=100)</t>
  </si>
  <si>
    <t>NDC target: conditional (2018=100)</t>
  </si>
  <si>
    <t>Unconditional NDC, target level (mtCO2e)</t>
  </si>
  <si>
    <t>Conditional NDC, target level (mtCO2e)</t>
  </si>
  <si>
    <t>Unconditional NDC, reduction against the modelled baseline (% by 2030)</t>
  </si>
  <si>
    <t>Conditional NDC, reduction against the modelled baseline (% by 2030)</t>
  </si>
  <si>
    <t>Average NDC, reduction against the modelled baseline (% by 2030)</t>
  </si>
  <si>
    <t>CO2 emissions intensity of output,cement (tCO2 per $m GVA)</t>
  </si>
  <si>
    <t>CO2 emissions intensity of output, iron/steel (tCO2 per $m GVA)</t>
  </si>
  <si>
    <t>CO2 emissions intensity of output, mining (tCO2 per $m GVA)</t>
  </si>
  <si>
    <t>CO2 emissions intensity of output, manufactures (tCO2 per $m GVA)</t>
  </si>
  <si>
    <t>CO2 emissions intensity of output, other metals (tCO2 per $m GVA)</t>
  </si>
  <si>
    <t>CO2 emissions intensity of output, food (tCO2 per $m GVA)</t>
  </si>
  <si>
    <t>CO2 emissions intensity of output, services (tCO2 per $m GVA)</t>
  </si>
  <si>
    <t>CO2 emissions intensity of output, machinery (tCO2 per $m GVA)</t>
  </si>
  <si>
    <t>CO2 emissions intensity of output, construction (tCO2 per $m GVA)</t>
  </si>
  <si>
    <t>CO2 emissions and GVA, fuel refining</t>
  </si>
  <si>
    <t>CO2 emissions and GVA, food</t>
  </si>
  <si>
    <t>CO2 emissions and GVA, mining</t>
  </si>
  <si>
    <t>CO2 emissions and GVA, manufactures</t>
  </si>
  <si>
    <t>CO2 emissions and GVA, cement</t>
  </si>
  <si>
    <t>CO2 emissions and GVA, iron/steel</t>
  </si>
  <si>
    <t>CO2 emissions and GVA, construction</t>
  </si>
  <si>
    <t>CO2 emissions and GVA, machinery</t>
  </si>
  <si>
    <t>CO2 emissions and GVA, other metals</t>
  </si>
  <si>
    <t>CO2 emissions and GVA, services</t>
  </si>
  <si>
    <t>Electricity ($/kwh)</t>
  </si>
  <si>
    <t>Coal ($/GJ)</t>
  </si>
  <si>
    <t>Natural gas ($/GJ)</t>
  </si>
  <si>
    <t>Oil ($/bbl)</t>
  </si>
  <si>
    <t>Gasoline ($/liter)</t>
  </si>
  <si>
    <t>Diesel ($/liter)</t>
  </si>
  <si>
    <t>LPG ($/liter)</t>
  </si>
  <si>
    <t>Kerosene ($/liter)</t>
  </si>
  <si>
    <t>Electricity (% change)</t>
  </si>
  <si>
    <t>Coal (% change)</t>
  </si>
  <si>
    <t>Natural gas (% change)</t>
  </si>
  <si>
    <t>Oil (% change)</t>
  </si>
  <si>
    <t>Gasoline (% change)</t>
  </si>
  <si>
    <t>Diesel (% change)</t>
  </si>
  <si>
    <t>LPG (% change)</t>
  </si>
  <si>
    <t>Kerosene (% change)</t>
  </si>
  <si>
    <t>Implied economy-wide CO2 elasticity</t>
  </si>
  <si>
    <t>Implied additional carbon price to achieve NDC (US$ per ton CO2)</t>
  </si>
  <si>
    <t>Effective carbon rate - economy-wide (US$ per ton CO2)</t>
  </si>
  <si>
    <t>Electricity retail price in industry, ($/kWh), baseline</t>
  </si>
  <si>
    <t>Electricity retail price in residential use, $/kWh (baseline)</t>
  </si>
  <si>
    <t>Coal retail price in industry, ($/GJ), baseline</t>
  </si>
  <si>
    <t>Natural gas retail price in industry, ($/GJ), baseline</t>
  </si>
  <si>
    <t>Coal retail price in residential use, ($/GJ), baseline</t>
  </si>
  <si>
    <t>Natural gas retail price in residential use, ($/GJ), baseline</t>
  </si>
  <si>
    <t>Coal retail price in power sector, ($/GJ), baseline</t>
  </si>
  <si>
    <t>Natural gas retail price in power sector ($/GJ), baseline</t>
  </si>
  <si>
    <t>Electricity retail price in industry, ($/kWh), policy</t>
  </si>
  <si>
    <t>Electricity retail price in residential use, ($/kWh), policy</t>
  </si>
  <si>
    <t>Coal retail price in industry, ($/GJ), policy</t>
  </si>
  <si>
    <t>Natural gas retail price in industry, ($/GJ), policy</t>
  </si>
  <si>
    <t>Coal retail price in residential use, ($/GJ), policy</t>
  </si>
  <si>
    <t>Natural gas retail price in residential use, ($/GJ), policy</t>
  </si>
  <si>
    <t>Coal retail price in power sector, ($/GJ), policy</t>
  </si>
  <si>
    <t>Natural gas retail price in power sector ($/GJ), policy</t>
  </si>
  <si>
    <t>Electricity supply costs in industry, $/kWh</t>
  </si>
  <si>
    <t>Electricity supply costs in residential use, $/kWh</t>
  </si>
  <si>
    <t>Coal supply costs in industry, ($/GJ)</t>
  </si>
  <si>
    <t>Natural gas supply costs in industry, ($/GJ)</t>
  </si>
  <si>
    <t>Coal supply costs in residential use, ($/GJ)</t>
  </si>
  <si>
    <t>Natural gas supply costs in residential use, ($/GJ)</t>
  </si>
  <si>
    <t>Coal supply costs in power sector, ($/GJ)</t>
  </si>
  <si>
    <t>Natural gas supply costs in power sector ($/GJ)</t>
  </si>
  <si>
    <t>Oil  supply costs, ($/bbl)</t>
  </si>
  <si>
    <t>Gasoline supply costs, ($/liter)</t>
  </si>
  <si>
    <t>Diesel supply costs, ($/liter)</t>
  </si>
  <si>
    <t>LPG supply costs, ($/liter)</t>
  </si>
  <si>
    <t>Kerosene supply costs, ($/liter)</t>
  </si>
  <si>
    <t>Electricity, excise and other taxes in industry, ($/kWh)</t>
  </si>
  <si>
    <t>Electricity, excise and other taxes in residential use, ($/kWh)</t>
  </si>
  <si>
    <t>Coal, excise and other taxes in industry, ($/GJ)</t>
  </si>
  <si>
    <t>Natural gas, excise and other taxes in industry, ($/GJ)</t>
  </si>
  <si>
    <t>Coal, excise and other taxes in residential use, ($/GJ)</t>
  </si>
  <si>
    <t>Natural gas, excise and other taxes in residential use, ($/GJ)</t>
  </si>
  <si>
    <t>Coal, excise and other taxes in power, ($/GJ)</t>
  </si>
  <si>
    <t>Natural gas, excise and other taxes in power, ($/GJ)</t>
  </si>
  <si>
    <t>Oil, excise and other taxes , ($/bbl)</t>
  </si>
  <si>
    <t>Gasoline, excise and other taxes, ($/liter)</t>
  </si>
  <si>
    <t>Diesel, excise and other taxes, ($/liter)</t>
  </si>
  <si>
    <t>LPG, excise and other taxes, ($/liter)</t>
  </si>
  <si>
    <t>Kerosene, excise and other taxes, ($/liter)</t>
  </si>
  <si>
    <t>Electricity, VAT in industry, ($/kWh)</t>
  </si>
  <si>
    <t>Electricity, VAT in residential use, ($/kWh)</t>
  </si>
  <si>
    <t>Coal, VAT in industry, ($/GJ)</t>
  </si>
  <si>
    <t>Natural gas, VAT in industry, ($/GJ)</t>
  </si>
  <si>
    <t>Coal, VAT in residential use, ($/GJ)</t>
  </si>
  <si>
    <t>Natural gas, VAT in residential use, ($/GJ)</t>
  </si>
  <si>
    <t>Coal, VAT in power sector, ($/GJ)</t>
  </si>
  <si>
    <t>Natural gas, VAT in power sector, ($/GJ)</t>
  </si>
  <si>
    <t>Oil, VAT, ($/bbl)</t>
  </si>
  <si>
    <t>Gasoline, VAT, ($/liter)</t>
  </si>
  <si>
    <t>Diesel, VAT, ($/liter)</t>
  </si>
  <si>
    <t>LPG, VAT, ($/liter)</t>
  </si>
  <si>
    <t>Kerosene, VAT, ($/liter)</t>
  </si>
  <si>
    <t>Electricity, Current Carbon Tax in industry, ($/kWh)</t>
  </si>
  <si>
    <t>Electricity, Current Carbon Tax in residential use, ($/kWh)</t>
  </si>
  <si>
    <t>Coal, Current Carbon Tax in industry, ($/GJ)</t>
  </si>
  <si>
    <t>Natural gas, Current Carbon Tax in industry, ($/GJ)</t>
  </si>
  <si>
    <t>Coal, Current Carbon Tax in residential use, ($/GJ)</t>
  </si>
  <si>
    <t>Natural gas, Current Carbon Tax in residential use, ($/GJ)</t>
  </si>
  <si>
    <t>Coal, Current Carbon Tax in power sector, ($/GJ)</t>
  </si>
  <si>
    <t>Natural gas, Current Carbon Tax in power sector, ($/GJ)</t>
  </si>
  <si>
    <t>Oil, Current Carbon Tax, ($/bbl)</t>
  </si>
  <si>
    <t>Gasoline, Current Carbon Tax, ($/liter)</t>
  </si>
  <si>
    <t>Diesel, Current Carbon Tax, ($/liter)</t>
  </si>
  <si>
    <t>LPG, Current Carbon Tax, ($/liter)</t>
  </si>
  <si>
    <t>Kerosene, Current Carbon Tax, ($/liter)</t>
  </si>
  <si>
    <t>Electricity, Current ETS in industry, ($/kWh)</t>
  </si>
  <si>
    <t>Electricity, Current ETS in residential use, ($/kWh)</t>
  </si>
  <si>
    <t>Coal, Current ETS in industry, ($/GJ)</t>
  </si>
  <si>
    <t>Natural gas, Current ETS in industry, ($/GJ)</t>
  </si>
  <si>
    <t>Coal, Current ETS in residential use, ($/GJ)</t>
  </si>
  <si>
    <t>Natural gas, Current ETS in residential use, ($/GJ)</t>
  </si>
  <si>
    <t>Coal, Current ETS in power sector, ($/GJ)</t>
  </si>
  <si>
    <t>Natural gas, Current ETS in power sector, ($/GJ)</t>
  </si>
  <si>
    <t>Oil, Current ETS, ($/bbl)</t>
  </si>
  <si>
    <t>Gasoline, Current ETS, ($/liter)</t>
  </si>
  <si>
    <t>Diesel, Current ETS, ($/liter)</t>
  </si>
  <si>
    <t>LPG, Current ETS, ($/liter)</t>
  </si>
  <si>
    <t>Kerosene, Current ETS, ($/liter)</t>
  </si>
  <si>
    <t>Baseline Total Carbon Price - coal</t>
  </si>
  <si>
    <t>Baseline Total Carbon Price - natural gas</t>
  </si>
  <si>
    <t>Baseline Total Carbon Price - gasoline</t>
  </si>
  <si>
    <t>Baseline Total Carbon Price - diesel</t>
  </si>
  <si>
    <t>Baseline Total Carbon Price - lpg</t>
  </si>
  <si>
    <t>Baseline Total Carbon Price - kerosene</t>
  </si>
  <si>
    <t>Baseline Total Carbon Price - other oil products</t>
  </si>
  <si>
    <t>Baseline Total Carbon Price</t>
  </si>
  <si>
    <t>Policy Total Carbon Price - coal</t>
  </si>
  <si>
    <t>Policy Total Carbon Price - natural gas</t>
  </si>
  <si>
    <t>Policy Total Carbon Price - gasoline</t>
  </si>
  <si>
    <t>Policy Total Carbon Price - diesel</t>
  </si>
  <si>
    <t>Policy Total Carbon Price - lpg</t>
  </si>
  <si>
    <t>Policy Total Carbon Price - kerosene</t>
  </si>
  <si>
    <t>Policy Total Carbon Price - other oil products</t>
  </si>
  <si>
    <t>Policy Total Carbon Price</t>
  </si>
  <si>
    <t>Gasoline - efficient price, gso, all</t>
  </si>
  <si>
    <t>Supply cost, gso, all</t>
  </si>
  <si>
    <t>Air pollution costs, gso, all</t>
  </si>
  <si>
    <t>Road accident costs, gso, all</t>
  </si>
  <si>
    <t>Congestion costs, gso, all</t>
  </si>
  <si>
    <t>Road damage costs, gso, all</t>
  </si>
  <si>
    <t>Global warming costs (national), gso, all</t>
  </si>
  <si>
    <t>Potential VAT (assuming general rate), gso, all</t>
  </si>
  <si>
    <t>Retail price, gso, all</t>
  </si>
  <si>
    <t>Tax gap, gso, all</t>
  </si>
  <si>
    <t>Baseline excises and other taxes, gso, all</t>
  </si>
  <si>
    <t>Baseline excises and other taxes - CO2 equivalent, gso, all</t>
  </si>
  <si>
    <t>Pigouvian tax, gso, all</t>
  </si>
  <si>
    <t>Pigouvian tax CO2 equivalent, gso, all</t>
  </si>
  <si>
    <t>Diesel - efficient price, die, all</t>
  </si>
  <si>
    <t>Supply cost, die, all</t>
  </si>
  <si>
    <t>Air pollution costs, die, all</t>
  </si>
  <si>
    <t>Road accident costs, die, all</t>
  </si>
  <si>
    <t>Congestion costs, die, all</t>
  </si>
  <si>
    <t>Road damage costs, die, all</t>
  </si>
  <si>
    <t>Global warming costs (national), die, all</t>
  </si>
  <si>
    <t>Potential VAT (assuming general rate), die, all</t>
  </si>
  <si>
    <t>Retail price, die, all</t>
  </si>
  <si>
    <t>Tax gap, die, all</t>
  </si>
  <si>
    <t>Baseline excises and other taxes, die, all</t>
  </si>
  <si>
    <t>Baseline excises and other taxes - CO2 equivalent, die, all</t>
  </si>
  <si>
    <t>Pigouvian tax, die, all</t>
  </si>
  <si>
    <t>Pigouvian tax CO2 equivalent, die, all</t>
  </si>
  <si>
    <t>LPG - efficient price, lpg, all</t>
  </si>
  <si>
    <t>Supply cost, lpg, all</t>
  </si>
  <si>
    <t>Air pollution costs, lpg, all</t>
  </si>
  <si>
    <t>Global warming costs (national), lpg, all</t>
  </si>
  <si>
    <t>Potential VAT (assuming general rate), lpg, all</t>
  </si>
  <si>
    <t>Retail price, lpg, all</t>
  </si>
  <si>
    <t>Tax gap, lpg, all</t>
  </si>
  <si>
    <t>Baseline excises and other taxes, lpg, all</t>
  </si>
  <si>
    <t>Baseline excises and other taxes - CO2 equivalent, lpg, all</t>
  </si>
  <si>
    <t>Pigouvian tax, lpg, all</t>
  </si>
  <si>
    <t>Pigouvian tax CO2 equivalent, lpg, all</t>
  </si>
  <si>
    <t>Kerosene - efficient price, ker, all</t>
  </si>
  <si>
    <t>Supply cost, ker, all</t>
  </si>
  <si>
    <t>Air pollution costs, ker, all</t>
  </si>
  <si>
    <t>Global warming costs (national), ker, all</t>
  </si>
  <si>
    <t>Potential VAT (assuming general rate), ker, all</t>
  </si>
  <si>
    <t>Retail price, ker, all</t>
  </si>
  <si>
    <t>Tax gap, ker, all</t>
  </si>
  <si>
    <t>Baseline excises and other taxes, ker, all</t>
  </si>
  <si>
    <t>Baseline excises and other taxes - CO2 equivalent, ker, all</t>
  </si>
  <si>
    <t>Pigouvian tax, ker, all</t>
  </si>
  <si>
    <t>Pigouvian tax CO2 equivalent, ker, all</t>
  </si>
  <si>
    <t>Coal in industry - efficient price, coa, ind</t>
  </si>
  <si>
    <t>Supply cost, coa, ind</t>
  </si>
  <si>
    <t>Air pollution costs, coa, ind</t>
  </si>
  <si>
    <t>Global warming costs (national), coa, ind</t>
  </si>
  <si>
    <t>Potential VAT (assuming general rate), coa, ind</t>
  </si>
  <si>
    <t>Retail price, coa, ind</t>
  </si>
  <si>
    <t>Tax gap, coa, ind</t>
  </si>
  <si>
    <t>Baseline excises and other taxes, coa, ind</t>
  </si>
  <si>
    <t>Baseline excises and other taxes - CO2 equivalent, coa, ind</t>
  </si>
  <si>
    <t>Pigouvian tax, coa, ind</t>
  </si>
  <si>
    <t>Pigouvian tax CO2 equivalent, coa, ind</t>
  </si>
  <si>
    <t>Coal in residential - efficient price, coa, res</t>
  </si>
  <si>
    <t>Supply cost, coa, res</t>
  </si>
  <si>
    <t>Air pollution costs, coa, res</t>
  </si>
  <si>
    <t>Global warming costs (national), coa, res</t>
  </si>
  <si>
    <t>Potential VAT (assuming general rate), coa, res</t>
  </si>
  <si>
    <t>Retail price, coa, res</t>
  </si>
  <si>
    <t>Tax gap, coa, res</t>
  </si>
  <si>
    <t>Baseline excises and other taxes, coa, res</t>
  </si>
  <si>
    <t>Baseline excises and other taxes - CO2 equivalent, coa, res</t>
  </si>
  <si>
    <t>Pigouvian tax, coa, res</t>
  </si>
  <si>
    <t>Pigouvian tax CO2 equivalent, coa, res</t>
  </si>
  <si>
    <t>Coal in power - efficient price, coa, pow</t>
  </si>
  <si>
    <t>Supply cost, coa, pow</t>
  </si>
  <si>
    <t>Air pollution costs, coa, pow</t>
  </si>
  <si>
    <t>Global warming costs (national), coa, pow</t>
  </si>
  <si>
    <t>Potential VAT (assuming general rate), coa, pow</t>
  </si>
  <si>
    <t>Retail price, coa, pow</t>
  </si>
  <si>
    <t>Tax gap, coa, pow</t>
  </si>
  <si>
    <t>Baseline excises and other taxes, coa, pow</t>
  </si>
  <si>
    <t>Baseline excises and other taxes - CO2 equivalent, coa, pow</t>
  </si>
  <si>
    <t>Pigouvian tax, coa, pow</t>
  </si>
  <si>
    <t>Pigouvian tax CO2 equivalent, coa, pow</t>
  </si>
  <si>
    <t>Natural gas in industry - efficient price, nga, ind</t>
  </si>
  <si>
    <t>Supply cost, nga, ind</t>
  </si>
  <si>
    <t>Air pollution costs, nga, ind</t>
  </si>
  <si>
    <t>Global warming costs (national), nga, ind</t>
  </si>
  <si>
    <t>Potential VAT (assuming general rate), nga, ind</t>
  </si>
  <si>
    <t>Retail price, nga, ind</t>
  </si>
  <si>
    <t>Tax gap, nga, ind</t>
  </si>
  <si>
    <t>Baseline excises and other taxes, nga, ind</t>
  </si>
  <si>
    <t>Baseline excises and other taxes - CO2 equivalent, nga, ind</t>
  </si>
  <si>
    <t>Pigouvian tax, nga, ind</t>
  </si>
  <si>
    <t>Pigouvian tax CO2 equivalent, nga, ind</t>
  </si>
  <si>
    <t>Natural gas in residential - efficient price, nga, res</t>
  </si>
  <si>
    <t>Supply cost, nga, res</t>
  </si>
  <si>
    <t>Air pollution costs, nga, res</t>
  </si>
  <si>
    <t>Global warming costs (national), nga, res</t>
  </si>
  <si>
    <t>Potential VAT (assuming general rate), nga, res</t>
  </si>
  <si>
    <t>Retail price, nga, res</t>
  </si>
  <si>
    <t>Tax gap, nga, res</t>
  </si>
  <si>
    <t>Baseline excises and other taxes, nga, res</t>
  </si>
  <si>
    <t>Baseline excises and other taxes - CO2 equivalent, nga, res</t>
  </si>
  <si>
    <t>Pigouvian tax, nga, res</t>
  </si>
  <si>
    <t>Pigouvian tax CO2 equivalent, nga, res</t>
  </si>
  <si>
    <t>Natural gas in power - efficient price, nga, pow</t>
  </si>
  <si>
    <t>Supply cost, nga, pow</t>
  </si>
  <si>
    <t>Air pollution costs, nga, pow</t>
  </si>
  <si>
    <t>Global warming costs (national), nga, pow</t>
  </si>
  <si>
    <t>Potential VAT (assuming general rate), nga, pow</t>
  </si>
  <si>
    <t>Retail price, nga, pow</t>
  </si>
  <si>
    <t>Tax gap, nga, pow</t>
  </si>
  <si>
    <t>Baseline excises and other taxes, nga, pow</t>
  </si>
  <si>
    <t>Baseline excises and other taxes - CO2 equivalent, nga, pow</t>
  </si>
  <si>
    <t>Pigouvian tax, nga, pow</t>
  </si>
  <si>
    <t>Pigouvian tax CO2 equivalent, nga, pow</t>
  </si>
  <si>
    <t>Electricity in industry - efficient price, ecy, ind</t>
  </si>
  <si>
    <t>Supply cost, ecy, ind</t>
  </si>
  <si>
    <t>Air pollution costs, ecy, ind</t>
  </si>
  <si>
    <t>Global warming costs (national), ecy, ind</t>
  </si>
  <si>
    <t>Potential VAT (assuming general rate), ecy, ind</t>
  </si>
  <si>
    <t>Retail price, ecy, ind</t>
  </si>
  <si>
    <t>Tax gap, ecy, ind</t>
  </si>
  <si>
    <t>Baseline excises and other taxes, ecy, ind</t>
  </si>
  <si>
    <t>Baseline excises and other taxes - CO2 equivalent, ecy, ind</t>
  </si>
  <si>
    <t>Pigouvian tax, ecy, ind</t>
  </si>
  <si>
    <t>Pigouvian tax CO2 equivalent, ecy, ind</t>
  </si>
  <si>
    <t>Electricity in residential - efficient price, ecy, res</t>
  </si>
  <si>
    <t>Supply cost, ecy, res</t>
  </si>
  <si>
    <t>Air pollution costs, ecy, res</t>
  </si>
  <si>
    <t>Global warming costs (national), ecy, res</t>
  </si>
  <si>
    <t>Potential VAT (assuming general rate), ecy, res</t>
  </si>
  <si>
    <t>Retail price, ecy, res</t>
  </si>
  <si>
    <t>Tax gap residential, ecy, res</t>
  </si>
  <si>
    <t>Baseline excises and other taxes, ecy, res</t>
  </si>
  <si>
    <t>Baseline excises and other taxes - CO2 equivalent, ecy, res</t>
  </si>
  <si>
    <t>Pigouvian tax, ecy, res</t>
  </si>
  <si>
    <t>Pigouvian tax CO2 equivalent, ecy, res</t>
  </si>
  <si>
    <t>Pigouvian tax CO2 equivalent, all sectors, all fossil fuels, baseline</t>
  </si>
  <si>
    <t>Pigouvian tax CO2 equivalent, all sectors, all fossil fuels, scenario</t>
  </si>
  <si>
    <t>Air pollution Pigouvian tax CO2 equivalent, all sectors, all fossil fuels, baseline</t>
  </si>
  <si>
    <t>Selected Social Cost of Carbon (usd per ton CO2)</t>
  </si>
  <si>
    <t>Total Energy consumption, ktoe (baseline)</t>
  </si>
  <si>
    <t>Energy consumption - Coal (baseline)</t>
  </si>
  <si>
    <t>Energy consumption - Natural gas (baseline)</t>
  </si>
  <si>
    <t>Energy consumption - Non-road oil (baseline)</t>
  </si>
  <si>
    <t>Energy consumption - Gasoline (baseline)</t>
  </si>
  <si>
    <t>Energy consumption - Diesel (baseline)</t>
  </si>
  <si>
    <t>Energy consumption - LPG (baseline)</t>
  </si>
  <si>
    <t>Energy consumption - Kerosene (baseline)</t>
  </si>
  <si>
    <t>Energy consumption - Nuclear final electricity (baseline)</t>
  </si>
  <si>
    <t>Energy consumption - Non-biomass renewable final electricity (baseline)</t>
  </si>
  <si>
    <t>Energy consumption - Biomass (baseline)</t>
  </si>
  <si>
    <t>Total Energy consumption, ktoe (policy)</t>
  </si>
  <si>
    <t>Energy consumption - Coal (policy)</t>
  </si>
  <si>
    <t>Energy consumption - Natural gas (policy)</t>
  </si>
  <si>
    <t>Energy consumption - Non-road oil (policy)</t>
  </si>
  <si>
    <t>Energy consumption - Gasoline (policy)</t>
  </si>
  <si>
    <t>Energy consumption - Diesel (policy)</t>
  </si>
  <si>
    <t>Energy consumption - LPG (policy)</t>
  </si>
  <si>
    <t>Energy consumption - Kerosene (policy)</t>
  </si>
  <si>
    <t>Energy consumption - Nuclear final electricity (policy)</t>
  </si>
  <si>
    <t>Energy consumption - Non-biomass renewable final electricity (policy)</t>
  </si>
  <si>
    <t>Energy consumption - Biomass (policy)</t>
  </si>
  <si>
    <t>Fossil fuel consumption by sector: coal (baseline)</t>
  </si>
  <si>
    <t>Coal consumption: Power sector (baseline)</t>
  </si>
  <si>
    <t>Coal consumption: Transport (baseline)</t>
  </si>
  <si>
    <t>Coal consumption: Buildings (baseline)</t>
  </si>
  <si>
    <t>Coal consumption: Industry (baseline)</t>
  </si>
  <si>
    <t>Coal consumption: Other energy use (baseline)</t>
  </si>
  <si>
    <t>Fossil fuel consumption by sector: natural gas (baseline)</t>
  </si>
  <si>
    <t>Natural gas consumption: Power sector (baseline)</t>
  </si>
  <si>
    <t>Natural gas consumption: Transport (baseline)</t>
  </si>
  <si>
    <t>Natural gas consumption: Buildings (baseline)</t>
  </si>
  <si>
    <t>Natural gas consumption: Industry (baseline)</t>
  </si>
  <si>
    <t>Natural gas consumption: Other energy use (baseline)</t>
  </si>
  <si>
    <t>Fossil fuel consumption by sector: gasoline (baseline)</t>
  </si>
  <si>
    <t>Gasoline consumption: Power sector (baseline)</t>
  </si>
  <si>
    <t>Gasoline consumption: Transport (baseline)</t>
  </si>
  <si>
    <t>Gasoline consumption: Buildings (baseline)</t>
  </si>
  <si>
    <t>Gasoline consumption: Industry (baseline)</t>
  </si>
  <si>
    <t>Gasoline consumption: Other energy use (baseline)</t>
  </si>
  <si>
    <t>Fossil fuel consumption by sector: diesel (baseline)</t>
  </si>
  <si>
    <t>Diesel consumption: Power sector (baseline)</t>
  </si>
  <si>
    <t>Diesel consumption: Transport (baseline)</t>
  </si>
  <si>
    <t>Diesel consumption: Buildings (baseline)</t>
  </si>
  <si>
    <t>Diesel consumption: Industry (baseline)</t>
  </si>
  <si>
    <t>Diesel consumption: Other energy use (baseline)</t>
  </si>
  <si>
    <t>Fossil fuel consumption by sector: LPG (baseline)</t>
  </si>
  <si>
    <t>LPG consumption: Power sector (baseline)</t>
  </si>
  <si>
    <t>LPG consumption: Transport (baseline)</t>
  </si>
  <si>
    <t>LPG consumption: Buildings (baseline)</t>
  </si>
  <si>
    <t>LPG consumption: Industry (baseline)</t>
  </si>
  <si>
    <t>LPG consumption: Other energy use (baseline)</t>
  </si>
  <si>
    <t>Fossil fuel consumption by sector: kerosene and jet fuel (baseline)</t>
  </si>
  <si>
    <t>Kerosene and jet fuel consumption: Power sector (baseline)</t>
  </si>
  <si>
    <t>Kerosene and jet fuel consumption: Transport (baseline)</t>
  </si>
  <si>
    <t>Kerosene and jet fuel consumption: Buildings(baseline)</t>
  </si>
  <si>
    <t>Kerosene and jet fuel consumption: Industry (baseline)</t>
  </si>
  <si>
    <t>Kerosene and jet fuel consumption: Other energy use (baseline)</t>
  </si>
  <si>
    <t>Fossil fuel consumption by sector: other oil products (baseline)</t>
  </si>
  <si>
    <t>Other oil products consumption: Power sector (baseline)</t>
  </si>
  <si>
    <t>Other oil products consumption: Transport (baseline)</t>
  </si>
  <si>
    <t>Other oil products consumption: Buildings (baseline)</t>
  </si>
  <si>
    <t>Other oil products consumption: Industry (baseline)</t>
  </si>
  <si>
    <t>Other oil products consumption: Other energy use (baseline)</t>
  </si>
  <si>
    <t>Total fossil fuel energy consumption (baseline)</t>
  </si>
  <si>
    <t>Fuel consumption by sector: biomass (baseline)</t>
  </si>
  <si>
    <t>Biomass consumption: Power sector (baseline)</t>
  </si>
  <si>
    <t>Biomass consumption: Transport (baseline)</t>
  </si>
  <si>
    <t>Biomass consumption: Buildings (baseline)</t>
  </si>
  <si>
    <t>Biomass consumption: Industry (baseline)</t>
  </si>
  <si>
    <t>Biomass consumption: Other energy use (baseline)</t>
  </si>
  <si>
    <t>Total energy consumption (baseline)</t>
  </si>
  <si>
    <t>Total consumption by fuel type: Coal (baseline)</t>
  </si>
  <si>
    <t>Total consumption by fuel type: Natural gas (baseline)</t>
  </si>
  <si>
    <t>Total consumption by fuel type: Other oil products (baseline)</t>
  </si>
  <si>
    <t>Total consumption by fuel type: Gasoline (baseline)</t>
  </si>
  <si>
    <t>Total consumption by fuel type: Diesel (baseline)</t>
  </si>
  <si>
    <t>Total consumption by fuel type: LPG (baseline)</t>
  </si>
  <si>
    <t>Total consumption by fuel type: Kerosene and Jet Fuel (baseline)</t>
  </si>
  <si>
    <t>Total consumption by fuel type: Biomass (baseline)</t>
  </si>
  <si>
    <t>Total consumption by fuel type: Nuclear &amp; renewables (baseline)</t>
  </si>
  <si>
    <t>Fossil fuel consumption by sector: coal (policy)</t>
  </si>
  <si>
    <t>Coal consumption: Power sector (policy)</t>
  </si>
  <si>
    <t>Coal consumption: Transport (policy)</t>
  </si>
  <si>
    <t>Coal consumption: Buildings (policy)</t>
  </si>
  <si>
    <t>Coal consumption: Industry (policy)</t>
  </si>
  <si>
    <t>Coal consumption: Other energy use (policy)</t>
  </si>
  <si>
    <t>Fossil fuel consumption by sector: natural gas (policy)</t>
  </si>
  <si>
    <t>Natural gas consumption: Power sector (policy)</t>
  </si>
  <si>
    <t>Natural gas consumption: Transport (policy)</t>
  </si>
  <si>
    <t>Natural gas consumption: Buildings (policy)</t>
  </si>
  <si>
    <t>Natural gas consumption: Industry (policy)</t>
  </si>
  <si>
    <t>Natural gas consumption: Other energy use (policy)</t>
  </si>
  <si>
    <t>Fossil fuel consumption by sector: gasoline (policy)</t>
  </si>
  <si>
    <t>Gasoline consumption: Power sector (policy)</t>
  </si>
  <si>
    <t>Gasoline consumption: Transport (policy)</t>
  </si>
  <si>
    <t>Gasoline consumption: Buildings (policy)</t>
  </si>
  <si>
    <t>Gasoline consumption: Industry (policy)</t>
  </si>
  <si>
    <t>Gasoline consumption: Other energy use (policy)</t>
  </si>
  <si>
    <t>Fossil fuel consumption by sector: diesel (policy)</t>
  </si>
  <si>
    <t>Diesel consumption: Power sector (policy)</t>
  </si>
  <si>
    <t>Diesel consumption: Transport (policy)</t>
  </si>
  <si>
    <t>Diesel consumption: Buildings (policy)</t>
  </si>
  <si>
    <t>Diesel consumption: Industry (policy)</t>
  </si>
  <si>
    <t>Diesel consumption: Other energy use (policy)</t>
  </si>
  <si>
    <t>Fossil fuel consumption by sector: LPG (policy)</t>
  </si>
  <si>
    <t>LPG consumption: Power sector (policy)</t>
  </si>
  <si>
    <t>LPG consumption: Transport (policy)</t>
  </si>
  <si>
    <t>LPG consumption: Buildings (policy)</t>
  </si>
  <si>
    <t>LPG consumption: Industry (policy)</t>
  </si>
  <si>
    <t>LPG consumption: Other energy use (policy)</t>
  </si>
  <si>
    <t>Fossil fuel consumption by sector: kerosene and jet fuel (policy)</t>
  </si>
  <si>
    <t>Kerosene and jet fuel consumption: Power sector (policy)</t>
  </si>
  <si>
    <t>Kerosene and jet fuel consumption: Transport (policy)</t>
  </si>
  <si>
    <t>Kerosene and jet fuel consumption: Buildings (policy)</t>
  </si>
  <si>
    <t>Kerosene and jet fuel consumption: Industry (policy)</t>
  </si>
  <si>
    <t>Kerosene and jet fuel consumption: Other energy use (policy)</t>
  </si>
  <si>
    <t>Fossil fuel consumption by sector: other oil products (policy)</t>
  </si>
  <si>
    <t>Other oil products consumption: Power sector (policy)</t>
  </si>
  <si>
    <t>Other oil products consumption: Transport (policy)</t>
  </si>
  <si>
    <t>Other oil products consumption: Buildings (policy)</t>
  </si>
  <si>
    <t>Other oil products consumption: Industry (policy)</t>
  </si>
  <si>
    <t>Other oil products consumption: Other energy use (policy)</t>
  </si>
  <si>
    <t>Total fossil fuel energy consumption (policy)</t>
  </si>
  <si>
    <t>Fuel consumption by sector: biomass (policy)</t>
  </si>
  <si>
    <t>Biomass consumption: Power sector (policy)</t>
  </si>
  <si>
    <t>Biomass consumption: Transport (policy)</t>
  </si>
  <si>
    <t>Biomass consumption: Buildings (policy)</t>
  </si>
  <si>
    <t>Biomass consumption: Industry (policy)</t>
  </si>
  <si>
    <t>Biomass consumption: Other energy use (policy)</t>
  </si>
  <si>
    <t>Total energy consumption (policy)</t>
  </si>
  <si>
    <t>Total consumption by fuel type: Coal (policy)</t>
  </si>
  <si>
    <t>Total consumption by fuel type: Natural gas (policy)</t>
  </si>
  <si>
    <t>Total consumption by fuel type: Other oil products (policy)</t>
  </si>
  <si>
    <t>Total consumption by fuel type: Gasoline (policy)</t>
  </si>
  <si>
    <t>Total consumption by fuel type: Diesel (policy)</t>
  </si>
  <si>
    <t>Total consumption by fuel type: LPG (policy)</t>
  </si>
  <si>
    <t>Total consumption by fuel type: Kerosene and Jet Fuel (policy)</t>
  </si>
  <si>
    <t>Total consumption by fuel type: Biomass (policy)</t>
  </si>
  <si>
    <t>Total consumption by fuel type: Nuclear and renewables (policy)</t>
  </si>
  <si>
    <t>Total electricity supplied, baseline (TWh)</t>
  </si>
  <si>
    <t>Electricity generation from coal, baseline (TWh)</t>
  </si>
  <si>
    <t>Electricity generation from natural gas, baseline (TWh)</t>
  </si>
  <si>
    <t>Electricity generation from non-road oil, baseline (TWh)</t>
  </si>
  <si>
    <t>Electricity generation from nuclear, baseline (TWh)</t>
  </si>
  <si>
    <t>Electricity generation from wind, baseline (TWh)</t>
  </si>
  <si>
    <t>Electricity generation from solar, baseline (TWh)</t>
  </si>
  <si>
    <t>Electricity generation from hydro, baseline (TWh)</t>
  </si>
  <si>
    <t>Electricity generation from other renewables, baseline (TWh)</t>
  </si>
  <si>
    <t>Electricity generation from biomass, baseline (TWh)</t>
  </si>
  <si>
    <t>Electricity generation from decentralized renewables, baseline (TWh)</t>
  </si>
  <si>
    <t>Total electricity supplied, policy (TWh)</t>
  </si>
  <si>
    <t>Electricity generation from coal, policy (TWh)</t>
  </si>
  <si>
    <t>Electricity generation from natural gas, policy (TWh)</t>
  </si>
  <si>
    <t>Electricity generation from non-road oil, policy (TWh)</t>
  </si>
  <si>
    <t>Electricity generation from nuclear, policy (TWh)</t>
  </si>
  <si>
    <t>Electricity generation from wind, policy (TWh)</t>
  </si>
  <si>
    <t>Electricity generation from solar, policy (TWh)</t>
  </si>
  <si>
    <t>Electricity generation from hydro, policy (TWh)</t>
  </si>
  <si>
    <t>Electricity generation from other renewables, policy (TWh)</t>
  </si>
  <si>
    <t>Electricity generation from biomass, policy (TWh)</t>
  </si>
  <si>
    <t>Electricity generation from decentralized renewables, policy (TWh)</t>
  </si>
  <si>
    <t>Fossil fuel consumption by sector: Transport, policy (ktoe)</t>
  </si>
  <si>
    <t>Energy consumption, road, coal, policy</t>
  </si>
  <si>
    <t>Energy consumption, road, natural gas, policy</t>
  </si>
  <si>
    <t>Energy consumption, road, gasoline, policy</t>
  </si>
  <si>
    <t>Energy consumption, road, diesel, policy</t>
  </si>
  <si>
    <t>Energy consumption, road, lpg, policy</t>
  </si>
  <si>
    <t>Energy consumption, road, kerosene, policy</t>
  </si>
  <si>
    <t>Energy consumption, road, other oil products, policy</t>
  </si>
  <si>
    <t>Energy consumption, road, biomass, policy</t>
  </si>
  <si>
    <t>Energy consumption, road, sector-generated renewables, policy</t>
  </si>
  <si>
    <t>Energy consumption, rail, coal, policy</t>
  </si>
  <si>
    <t>Energy consumption, rail, natural gas, policy</t>
  </si>
  <si>
    <t>Energy consumption, rail, gasoline, policy</t>
  </si>
  <si>
    <t>Energy consumption, rail, diesel, policy</t>
  </si>
  <si>
    <t>Energy consumption, rail, lpg, policy</t>
  </si>
  <si>
    <t>Energy consumption, rail, kerosene, policy</t>
  </si>
  <si>
    <t>Energy consumption, rail, other oil products, policy</t>
  </si>
  <si>
    <t>Energy consumption, rail, biomass, policy</t>
  </si>
  <si>
    <t>Energy consumption, rail, sector-generated renewables, policy</t>
  </si>
  <si>
    <t>Energy consumption, navigation, coal, policy</t>
  </si>
  <si>
    <t>Energy consumption, navigation, natural gas, policy</t>
  </si>
  <si>
    <t>Energy consumption, navigation, gasoline, policy</t>
  </si>
  <si>
    <t>Energy consumption, navigation, diesel, policy</t>
  </si>
  <si>
    <t>Energy consumption, navigation, lpg, policy</t>
  </si>
  <si>
    <t>Energy consumption, navigation, kerosene, policy</t>
  </si>
  <si>
    <t>Energy consumption, navigation, other oil products, policy</t>
  </si>
  <si>
    <t>Energy consumption, navigation, biomass, policy</t>
  </si>
  <si>
    <t>Energy consumption, navigation, sector-generated renewables, policy</t>
  </si>
  <si>
    <t>Energy consumption, aviation, coal, policy</t>
  </si>
  <si>
    <t>Energy consumption, aviation, natural gas, policy</t>
  </si>
  <si>
    <t>Energy consumption, aviation, gasoline, policy</t>
  </si>
  <si>
    <t>Energy consumption, aviation, diesel, policy</t>
  </si>
  <si>
    <t>Energy consumption, aviation, lpg, policy</t>
  </si>
  <si>
    <t>Energy consumption, aviation, kerosene, policy</t>
  </si>
  <si>
    <t>Energy consumption, aviation, other oil products, policy</t>
  </si>
  <si>
    <t>Energy consumption, aviation, biomass, policy</t>
  </si>
  <si>
    <t>Energy consumption, aviation, sector-generated renewables, policy</t>
  </si>
  <si>
    <t>Energy consumption, aviation, jetfuel, policy</t>
  </si>
  <si>
    <t>Fossil fuel consumption by sector, Buildings, policy (ktoe)</t>
  </si>
  <si>
    <t>Energy consumption, residential, coal, policy</t>
  </si>
  <si>
    <t>Energy consumption, residential, natural gas, policy</t>
  </si>
  <si>
    <t>Energy consumption, residential, gasoline, policy</t>
  </si>
  <si>
    <t>Energy consumption, residential, diesel, policy</t>
  </si>
  <si>
    <t>Energy consumption, residential, lpg, policy</t>
  </si>
  <si>
    <t>Energy consumption, residential, kerosene, policy</t>
  </si>
  <si>
    <t>Energy consumption, residential, other oil products, policy</t>
  </si>
  <si>
    <t>Energy consumption, residential, biomass, policy</t>
  </si>
  <si>
    <t>Energy consumption, residential, sector-generated renewables, policy</t>
  </si>
  <si>
    <t>Energy consumption, food &amp; forestry, coal, policy</t>
  </si>
  <si>
    <t>Energy consumption, food &amp; forestry, natural gas, policy</t>
  </si>
  <si>
    <t>Energy consumption, food &amp; forestry, gasoline, policy</t>
  </si>
  <si>
    <t>Energy consumption, food &amp; forestry, diesel, policy</t>
  </si>
  <si>
    <t>Energy consumption, food &amp; forestry, lpg, policy</t>
  </si>
  <si>
    <t>Energy consumption, food &amp; forestry, kerosene, policy</t>
  </si>
  <si>
    <t>Energy consumption, food &amp; forestry, other oil products, policy</t>
  </si>
  <si>
    <t>Energy consumption, food &amp; forestry, biomass, policy</t>
  </si>
  <si>
    <t>Energy consumption, food &amp; forestry, sector-generated renewables, policy</t>
  </si>
  <si>
    <t>Energy consumption, services (public &amp; private), coal, policy</t>
  </si>
  <si>
    <t>Energy consumption, services (public &amp; private), natural gas, policy</t>
  </si>
  <si>
    <t>Energy consumption, services (public &amp; private), gasoline, policy</t>
  </si>
  <si>
    <t>Energy consumption, services (public &amp; private), diesel, policy</t>
  </si>
  <si>
    <t>Energy consumption, services (public &amp; private), lpg, policy</t>
  </si>
  <si>
    <t>Energy consumption, services (public &amp; private), kerosene, policy</t>
  </si>
  <si>
    <t>Energy consumption, services (public &amp; private), other oil products, policy</t>
  </si>
  <si>
    <t>Energy consumption, services (public &amp; private), biomass, policy</t>
  </si>
  <si>
    <t>Energy consumption, services (public &amp; private), sector-generated renewables, policy</t>
  </si>
  <si>
    <t>Fossil fuel consumption by sector, Industry, policy (ktoe)</t>
  </si>
  <si>
    <t>Energy consumption, mining &amp; chemicals, coal, policy</t>
  </si>
  <si>
    <t>Energy consumption, mining &amp; chemicals, natural gas, policy</t>
  </si>
  <si>
    <t>Energy consumption, mining &amp; chemicals, gasoline, policy</t>
  </si>
  <si>
    <t>Energy consumption, mining &amp; chemicals, diesel, policy</t>
  </si>
  <si>
    <t>Energy consumption, mining &amp; chemicals, lpg, policy</t>
  </si>
  <si>
    <t>Energy consumption, mining &amp; chemicals, kerosene, policy</t>
  </si>
  <si>
    <t>Energy consumption, mining &amp; chemicals, other oil products, policy</t>
  </si>
  <si>
    <t>Energy consumption, mining &amp; chemicals, biomass, policy</t>
  </si>
  <si>
    <t>Energy consumption, mining &amp; chemicals, sector-generated renewables, policy</t>
  </si>
  <si>
    <t>Energy consumption, iron and steel, coal, policy</t>
  </si>
  <si>
    <t>Energy consumption, iron and steel, natural gas, policy</t>
  </si>
  <si>
    <t>Energy consumption, iron and steel, gasoline, policy</t>
  </si>
  <si>
    <t>Energy consumption, iron and steel, diesel, policy</t>
  </si>
  <si>
    <t>Energy consumption, iron and steel, lpg, policy</t>
  </si>
  <si>
    <t>Energy consumption, iron and steel, kerosene, policy</t>
  </si>
  <si>
    <t>Energy consumption, iron and steel, other oil products, policy</t>
  </si>
  <si>
    <t>Energy consumption, iron and steel, biomass, policy</t>
  </si>
  <si>
    <t>Energy consumption, iron and steel, sector-generated renewables, policy</t>
  </si>
  <si>
    <t>Energy consumption, non-ferrous metals, coal, policy</t>
  </si>
  <si>
    <t>Energy consumption, non-ferrous metals, natural gas, policy</t>
  </si>
  <si>
    <t>Energy consumption, non-ferrous metals, gasoline, policy</t>
  </si>
  <si>
    <t>Energy consumption, non-ferrous metals, diesel, policy</t>
  </si>
  <si>
    <t>Energy consumption, non-ferrous metals, lpg, policy</t>
  </si>
  <si>
    <t>Energy consumption, non-ferrous metals, kerosene, policy</t>
  </si>
  <si>
    <t>Energy consumption, non-ferrous metals, other oil products, policy</t>
  </si>
  <si>
    <t>Energy consumption, non-ferrous metals, biomass, policy</t>
  </si>
  <si>
    <t>Energy consumption, non-ferrous metals, sector-generated renewables, policy</t>
  </si>
  <si>
    <t>Energy consumption, machinery, coal, policy</t>
  </si>
  <si>
    <t>Energy consumption, machinery, natural gas, policy</t>
  </si>
  <si>
    <t>Energy consumption, machinery, gasoline, policy</t>
  </si>
  <si>
    <t>Energy consumption, machinery, diesel, policy</t>
  </si>
  <si>
    <t>Energy consumption, machinery, lpg, policy</t>
  </si>
  <si>
    <t>Energy consumption, machinery, kerosene, policy</t>
  </si>
  <si>
    <t>Energy consumption, machinery, other oil products, policy</t>
  </si>
  <si>
    <t>Energy consumption, machinery, biomass, policy</t>
  </si>
  <si>
    <t>Energy consumption, machinery, sector-generated renewables, policy</t>
  </si>
  <si>
    <t>Energy consumption, cement, coal, policy</t>
  </si>
  <si>
    <t>Energy consumption, cement, natural gas, policy</t>
  </si>
  <si>
    <t>Energy consumption, cement, gasoline, policy</t>
  </si>
  <si>
    <t>Energy consumption, cement, diesel, policy</t>
  </si>
  <si>
    <t>Energy consumption, cement, lpg, policy</t>
  </si>
  <si>
    <t>Energy consumption, cement, kerosene, policy</t>
  </si>
  <si>
    <t>Energy consumption, cement, other oil products, policy</t>
  </si>
  <si>
    <t>Energy consumption, cement, biomass, policy</t>
  </si>
  <si>
    <t>Energy consumption, cement, sector-generated renewables, policy</t>
  </si>
  <si>
    <t>Energy consumption, other manufacturing, coal, policy</t>
  </si>
  <si>
    <t>Energy consumption, other manufacturing, natural gas, policy</t>
  </si>
  <si>
    <t>Energy consumption, other manufacturing, gasoline, policy</t>
  </si>
  <si>
    <t>Energy consumption, other manufacturing, diesel, policy</t>
  </si>
  <si>
    <t>Energy consumption, other manufacturing, lpg, policy</t>
  </si>
  <si>
    <t>Energy consumption, other manufacturing, kerosene, policy</t>
  </si>
  <si>
    <t>Energy consumption, other manufacturing, other oil products, policy</t>
  </si>
  <si>
    <t>Energy consumption, other manufacturing, biomass, policy</t>
  </si>
  <si>
    <t>Energy consumption, other manufacturing, sector-generated renewables, policy</t>
  </si>
  <si>
    <t>Energy consumption, construction, coal, policy</t>
  </si>
  <si>
    <t>Energy consumption, construction, natural gas, policy</t>
  </si>
  <si>
    <t>Energy consumption, construction, gasoline, policy</t>
  </si>
  <si>
    <t>Energy consumption, construction, diesel, policy</t>
  </si>
  <si>
    <t>Energy consumption, construction, lpg, policy</t>
  </si>
  <si>
    <t>Energy consumption, construction, kerosene, policy</t>
  </si>
  <si>
    <t>Energy consumption, construction, other oil products, policy</t>
  </si>
  <si>
    <t>Energy consumption, construction, biomass, policy</t>
  </si>
  <si>
    <t>Energy consumption, construction, sector-generated renewables, policy</t>
  </si>
  <si>
    <t>Energy consumption, fuel transformation &amp; transportation, coal, policy</t>
  </si>
  <si>
    <t>Energy consumption, fuel transformation &amp; transportation, natural gas, policy</t>
  </si>
  <si>
    <t>Energy consumption, fuel transformation &amp; transportation, gasoline, policy</t>
  </si>
  <si>
    <t>Energy consumption, fuel transformation &amp; transportation, diesel, policy</t>
  </si>
  <si>
    <t>Energy consumption, fuel transformation &amp; transportation, lpg, policy</t>
  </si>
  <si>
    <t>Energy consumption, fuel transformation &amp; transportation, kerosene, policy</t>
  </si>
  <si>
    <t>Energy consumption, fuel transformation &amp; transportation, other oil products, policy</t>
  </si>
  <si>
    <t>Energy consumption, fuel transformation &amp; transportation, biomass, policy</t>
  </si>
  <si>
    <t>Energy consumption, fuel transformation &amp; transportation, sector-generated renewables, policy</t>
  </si>
  <si>
    <t xml:space="preserve">   Total Electricity consumption, policy (ktoe)</t>
  </si>
  <si>
    <t>Electricity consumption, road, electricity, policy</t>
  </si>
  <si>
    <t>Electricity consumption, rail, electricity, policy</t>
  </si>
  <si>
    <t>Electricity consumption, aviation, electricity, policy</t>
  </si>
  <si>
    <t>Electricity consumption, navigation, electricity, policy</t>
  </si>
  <si>
    <t>Electricity consumption, residential, electricity, policy</t>
  </si>
  <si>
    <t>Electricity consumption, food &amp; forestry, electricity, policy</t>
  </si>
  <si>
    <t>Electricity consumption, services (public &amp; private), electricity, policy</t>
  </si>
  <si>
    <t>Electricity consumption, mining &amp; chemicals, electricity, policy</t>
  </si>
  <si>
    <t>Electricity consumption, iron and steel, electricity, policy</t>
  </si>
  <si>
    <t>Electricity consumption, non-ferrous metals, electricity, policy</t>
  </si>
  <si>
    <t>Electricity consumption, machinery, electricity, policy</t>
  </si>
  <si>
    <t>Electricity consumption, cement, electricity, policy</t>
  </si>
  <si>
    <t>Electricity consumption, other manufacturing, electricity, policy</t>
  </si>
  <si>
    <t>Electricity consumption, construction, electricity, policy</t>
  </si>
  <si>
    <t>Electricity consumption, fuel transformation &amp; transportation, electricity, policy</t>
  </si>
  <si>
    <t>Electricity consumption, other energy use, policy</t>
  </si>
  <si>
    <r>
      <rPr>
        <b/>
        <sz val="10"/>
        <color rgb="FF242424"/>
        <rFont val="Segoe UI"/>
        <family val="2"/>
      </rPr>
      <t>Energy consumption, electricity, net exports</t>
    </r>
    <r>
      <rPr>
        <sz val="10"/>
        <color rgb="FF242424"/>
        <rFont val="Segoe UI"/>
        <family val="2"/>
      </rPr>
      <t> </t>
    </r>
  </si>
  <si>
    <t>Fossil fuel consumption by sector, Power, technoeconomic, policy (ktoe)</t>
  </si>
  <si>
    <t>Energy consumption, power, coal, policy</t>
  </si>
  <si>
    <t>Energy consumption, power, natural gas, policy</t>
  </si>
  <si>
    <t>Energy consumption, power, other oil products, policy</t>
  </si>
  <si>
    <t>Energy consumption, power, nuclear, policy</t>
  </si>
  <si>
    <t>Energy consumption, power, wind, policy</t>
  </si>
  <si>
    <t>Energy consumption, power, solar, policy</t>
  </si>
  <si>
    <t>Energy consumption, power, hydro, policy</t>
  </si>
  <si>
    <t>Energy consumption, power, other sector-generated renewables, policy</t>
  </si>
  <si>
    <t>Energy consumption, power, biomass, policy</t>
  </si>
  <si>
    <t>Fossil fuel consumption by sector, Power, elasticity, policy (ktoe)</t>
  </si>
  <si>
    <t>Fossil fuel consumption by sector, Power, average, policy (ktoe)</t>
  </si>
  <si>
    <t>Fiscal revenues by fuel, total, net of subsidies, baseline (real 2021 US$bn)</t>
  </si>
  <si>
    <t>Fiscal revenues, coal, baseline</t>
  </si>
  <si>
    <t>Fiscal revenues, natural gas, baseline</t>
  </si>
  <si>
    <t>Fiscal revenues, non-road oil, baseline</t>
  </si>
  <si>
    <t>Fiscal revenues, gasoline, baseline</t>
  </si>
  <si>
    <t>Fiscal revenues, diesel, baseline</t>
  </si>
  <si>
    <t>Fiscal revenues, lpg &amp; kerosene, baseline</t>
  </si>
  <si>
    <t>Fiscal revenues by fuel, total, net of subsidies, policy (real 2021 US$bn)</t>
  </si>
  <si>
    <t>Fiscal revenues, coal, policy</t>
  </si>
  <si>
    <t>Fiscal revenues, natural gas, policy</t>
  </si>
  <si>
    <t>Fiscal revenues, non-road oil, policy</t>
  </si>
  <si>
    <t>Fiscal revenues, gasoline, policy</t>
  </si>
  <si>
    <t>Fiscal revenues, diesel, policy</t>
  </si>
  <si>
    <t>Fiscal revenues, lpg &amp; kerosene, policy</t>
  </si>
  <si>
    <t>Additional fiscal revenues, total, net of subsidies, baseline (real 2021 US$bn)</t>
  </si>
  <si>
    <t>Additional fiscal revenues, coal, baseline</t>
  </si>
  <si>
    <t>Additional fiscal revenues , natural gas, baseline</t>
  </si>
  <si>
    <t>Additional fiscal revenues , non-road oil, baseline</t>
  </si>
  <si>
    <t>Additional fiscal revenues , gasoline, baseline</t>
  </si>
  <si>
    <t>Additional fiscal revenues , diesel, baseline</t>
  </si>
  <si>
    <t>Additional fiscal revenues , lpg &amp; kerosene, baseline</t>
  </si>
  <si>
    <t>Additional fiscal revenues , renewable subsidies, baseline</t>
  </si>
  <si>
    <t>Additional fiscal revenues , electricity, baseline</t>
  </si>
  <si>
    <t>Additional fiscal revenues, total, net of subsidies, policy (real 2021 US$bn)</t>
  </si>
  <si>
    <t>Additional fiscal revenues , coal, policy</t>
  </si>
  <si>
    <t>Additional fiscal revenues , natural gas, policy</t>
  </si>
  <si>
    <t>Additional fiscal revenues , non-road oil, policy</t>
  </si>
  <si>
    <t>Additional fiscal revenues , gasoline, policy</t>
  </si>
  <si>
    <t>Additional fiscal revenues , diesel, policy</t>
  </si>
  <si>
    <t>Additional fiscal revenues , lpg &amp; kerosene, policy</t>
  </si>
  <si>
    <t>Additional fiscal revenues , renewable subsidies, policy</t>
  </si>
  <si>
    <t>Additional fiscal revenues , electricity, policy</t>
  </si>
  <si>
    <t>Ambient PM2.5 - urban, Baseline</t>
  </si>
  <si>
    <t>Ambient PM2.5 - rural, Baseline</t>
  </si>
  <si>
    <t>Ambient PM2.5 - urban, Policy</t>
  </si>
  <si>
    <t>Ambient PM2.5 - rural, Policy</t>
  </si>
  <si>
    <t>Modeled PM2.5 - all areas Baseline</t>
  </si>
  <si>
    <t>Observed PM2.5 - all areas Baseline</t>
  </si>
  <si>
    <t>Recommended WHO concentration</t>
  </si>
  <si>
    <t>Cumulative averted deaths - Ambient ozone</t>
  </si>
  <si>
    <t>Cumulative averted deaths - Ambient PM2.5</t>
  </si>
  <si>
    <t>Cumulative averted deaths - Household PM2.5</t>
  </si>
  <si>
    <t>Cumulative averted deaths - net</t>
  </si>
  <si>
    <t>Averted deaths by age group: 25 to 64 years</t>
  </si>
  <si>
    <t>Averted deaths by age group: 65+ years</t>
  </si>
  <si>
    <t>Averted deaths by age group: under 24 years (including neonatal)</t>
  </si>
  <si>
    <t>Averted YLL (years of life lost)</t>
  </si>
  <si>
    <t>Averted YLD (years lived with disability)</t>
  </si>
  <si>
    <t>Baseline air pollution deaths</t>
  </si>
  <si>
    <t>Externalities power plants: coal</t>
  </si>
  <si>
    <t>Externalities power plants: gas</t>
  </si>
  <si>
    <t>Externalities power plants: oil</t>
  </si>
  <si>
    <t>Externalities industries: coal</t>
  </si>
  <si>
    <t>Externalities industries: gas</t>
  </si>
  <si>
    <t>Externalities industries: oil</t>
  </si>
  <si>
    <t>Externalities road transport: gasoline</t>
  </si>
  <si>
    <t>Externalities road transport: diesel</t>
  </si>
  <si>
    <t>Baseline GDP loss due to pollution</t>
  </si>
  <si>
    <t>Change in GDP loss due to pollution</t>
  </si>
  <si>
    <t>Coal air pollution cost per GJ, industry</t>
  </si>
  <si>
    <t>Coal air pollution cost per GJ, residential</t>
  </si>
  <si>
    <t>Coal air pollution cost per GJ, power sector</t>
  </si>
  <si>
    <t>Natural gas air pollution cost per GJ, industry</t>
  </si>
  <si>
    <t>Natural gas air pollution cost per GJ, residential</t>
  </si>
  <si>
    <t>Natural gas air pollution cost per GJ, power sector</t>
  </si>
  <si>
    <t>Gasoline air pollution cost per liter</t>
  </si>
  <si>
    <t>Diesel air pollution cost per liter</t>
  </si>
  <si>
    <t>LPG air pollution cost per liter</t>
  </si>
  <si>
    <t>Kerosene air pollution cost per liter</t>
  </si>
  <si>
    <t>Savings health expenditure - Government - Real US$mn</t>
  </si>
  <si>
    <t>Savings health expenditure - Prepaid Private - Real US$mn</t>
  </si>
  <si>
    <t>Savings health expenditure - Out-of-pocket - Real US$mn</t>
  </si>
  <si>
    <t>Savings health expenditure - Development assistance for health - Real US$mn</t>
  </si>
  <si>
    <t>Deaths per Ktoe, Coal power plants</t>
  </si>
  <si>
    <t>Deaths per Ktoe, gas power plants</t>
  </si>
  <si>
    <t>Deaths per Ktoe, oil power plants</t>
  </si>
  <si>
    <t>Deaths per Ktoe, gasoline in transport</t>
  </si>
  <si>
    <t>Deaths per Ktoe, diesel in transport</t>
  </si>
  <si>
    <t>Deaths per Ktoe, coal in all industries</t>
  </si>
  <si>
    <t>Deaths per Ktoe, other oil in all industries</t>
  </si>
  <si>
    <t>Deaths per Ktoe, natural gas in all industries</t>
  </si>
  <si>
    <t>Deaths per Ktoe, natural gas in residential</t>
  </si>
  <si>
    <t>Baseline PM2.5 (in µg/m3) from coal power plants</t>
  </si>
  <si>
    <t>Baseline PM2.5 (in µg/m3) from gas power plants</t>
  </si>
  <si>
    <t>Baseline PM2.5 (in µg/m3) from other power plants</t>
  </si>
  <si>
    <t>Baseline PM2.5 (in µg/m3) from road transport</t>
  </si>
  <si>
    <t>Baseline PM2.5 (in µg/m3) from residential, services and construction</t>
  </si>
  <si>
    <t>Baseline PM2.5 (in µg/m3) from industries and other energy</t>
  </si>
  <si>
    <t>Baseline PM2.5 (in µg/m3) from food &amp; forestry</t>
  </si>
  <si>
    <t>Baseline PM2.5 (in µg/m3) total</t>
  </si>
  <si>
    <t>Scenario PM2.5 (in µg/m3) from coal power plants</t>
  </si>
  <si>
    <t>Scenario PM2.5 (in µg/m3) from gas power plants</t>
  </si>
  <si>
    <t>Scenario PM2.5 (in µg/m3) from other power plants</t>
  </si>
  <si>
    <t>Scenario PM2.5 (in µg/m3) from road transport</t>
  </si>
  <si>
    <t>Scenario PM2.5 (in µg/m3) from residential, services and construction</t>
  </si>
  <si>
    <t>Scenario PM2.5 (in µg/m3) from industries and other energy</t>
  </si>
  <si>
    <t>Scenario PM2.5 (in µg/m3) from food &amp; forestry</t>
  </si>
  <si>
    <t>Scenario PM2.5 (in µg/m3) total</t>
  </si>
  <si>
    <t>Coal climate costs per GJ</t>
  </si>
  <si>
    <t>Natural gas climate costs per GJ</t>
  </si>
  <si>
    <t>Gasoline climate costs per GJ</t>
  </si>
  <si>
    <t>Diesel climate costs per GJ</t>
  </si>
  <si>
    <t>LPG climate costs per GJ</t>
  </si>
  <si>
    <t>Kerosene climate costs per GJ</t>
  </si>
  <si>
    <t>VMT, Baseline</t>
  </si>
  <si>
    <t>VMT, Policy</t>
  </si>
  <si>
    <t>Transport accidents, Baseline</t>
  </si>
  <si>
    <t>Transport accidents, Policy</t>
  </si>
  <si>
    <t>Cumulative averted deaths from accidents</t>
  </si>
  <si>
    <t>Peak hours: baseline</t>
  </si>
  <si>
    <t>Peak hours: policy</t>
  </si>
  <si>
    <t>Gasoline accident damage per liter</t>
  </si>
  <si>
    <t>Diesel accident damage per liter</t>
  </si>
  <si>
    <t>Gasoline congestion damage per liter</t>
  </si>
  <si>
    <t>Diesel congestion damage per liter</t>
  </si>
  <si>
    <t>Gasoline road damage per liter</t>
  </si>
  <si>
    <t>Diesel road damage per liter</t>
  </si>
  <si>
    <t>Relative loss in consumption by prices increases on rural population (% consumption)</t>
  </si>
  <si>
    <t>Relative loss in consumption by prices increases on urban population (% consumption)</t>
  </si>
  <si>
    <t>Relative price impacts on consumption deciles: direct effect  (% consumption)</t>
  </si>
  <si>
    <t>Relative price impacts on consumption deciles: coal direct effect  (% consumption)</t>
  </si>
  <si>
    <t>Relative price impacts on consumption deciles: electricity direct effect  (% consumption)</t>
  </si>
  <si>
    <t>Relative price impacts on consumption deciles: natural gas direct effect  (% consumption)</t>
  </si>
  <si>
    <t>Relative price impacts on consumption deciles: oil direct effect  (% consumption)</t>
  </si>
  <si>
    <t>Relative price impacts on consumption deciles: gasoline direct effect  (% consumption)</t>
  </si>
  <si>
    <t>Relative price impacts on consumption deciles: diesel direct effect  (% consumption)</t>
  </si>
  <si>
    <t>Relative price impacts on consumption deciles: kerosene direct effect  (% consumption)</t>
  </si>
  <si>
    <t>Relative price impacts on consumption deciles: lpg direct effect  (% consumption)</t>
  </si>
  <si>
    <t>Relative price impacts on consumption deciles: indirect effect  (% consumption)</t>
  </si>
  <si>
    <t>Relative price impacts on consumption deciles: appliances indirect effect  (% consumption)</t>
  </si>
  <si>
    <t>Relative price impacts on consumption deciles: chemicals indirect effect  (% consumption)</t>
  </si>
  <si>
    <t>Relative price impacts on consumption deciles: clothing indirect effect  (% consumption)</t>
  </si>
  <si>
    <t>Relative price impacts on consumption deciles: communications indirect effect  (% consumption)</t>
  </si>
  <si>
    <t>Relative price impacts on consumption deciles: education indirect effect  (% consumption)</t>
  </si>
  <si>
    <t>Relative price impacts on consumption deciles: food indirect effect  (% consumption)</t>
  </si>
  <si>
    <t>Relative price impacts on consumption deciles: health services indirect effect  (% consumption)</t>
  </si>
  <si>
    <t>Relative price impacts on consumption deciles: housing indirect effect  (% consumption)</t>
  </si>
  <si>
    <t>Relative price impacts on consumption deciles: other indirect effect  (% consumption)</t>
  </si>
  <si>
    <t>Relative price impacts on consumption deciles: paper indirect effect  (% consumption)</t>
  </si>
  <si>
    <t>Relative price impacts on consumption deciles: pharmaceuticals indirect effect  (% consumption)</t>
  </si>
  <si>
    <t>Relative price impacts on consumption deciles: recreation and tourism indirect effect  (% consumption)</t>
  </si>
  <si>
    <t>Relative price impacts on consumption deciles: transportation equipment indirect effect  (% consumption)</t>
  </si>
  <si>
    <t>Relative price impacts on consumption deciles: public transportation indirect effect  (% consumption)</t>
  </si>
  <si>
    <t>Budget shares for consumption deciles: coal (% consumption)</t>
  </si>
  <si>
    <t>Budget shares for consumption deciles: electricity (% consumption)</t>
  </si>
  <si>
    <t>Budget shares for consumption deciles: natural gas (% consumption)</t>
  </si>
  <si>
    <t>Budget shares for consumption deciles: oil (% consumption)</t>
  </si>
  <si>
    <t>Budget shares for consumption deciles: gasoline (% consumption)</t>
  </si>
  <si>
    <t>Budget shares for consumption deciles: diesel (% consumption)</t>
  </si>
  <si>
    <t>Budget shares for consumption deciles: kerosene (% consumption)</t>
  </si>
  <si>
    <t>Budget shares for consumption deciles: lpg (% consumption)</t>
  </si>
  <si>
    <t>Budget shares for consumption deciles: charcoal (% consumption)</t>
  </si>
  <si>
    <t>Budget shares for consumption deciles: ethanol (% consumption)</t>
  </si>
  <si>
    <t>Budget shares for consumption deciles: firewood (% consumption)</t>
  </si>
  <si>
    <t>Budget shares for consumption deciles: appliances (% consumption)</t>
  </si>
  <si>
    <t>Budget shares for consumption deciles: chemicals (% consumption)</t>
  </si>
  <si>
    <t>Budget shares for consumption deciles: clothing (% consumption)</t>
  </si>
  <si>
    <t>Budget shares for consumption deciles: communications (% consumption)</t>
  </si>
  <si>
    <t>Budget shares for consumption deciles: education (% consumption)</t>
  </si>
  <si>
    <t>Budget shares for consumption deciles: food (% consumption)</t>
  </si>
  <si>
    <t>Budget shares for consumption deciles: heatlh services (% consumption)</t>
  </si>
  <si>
    <t>Budget shares for consumption deciles: housing (% consumption)</t>
  </si>
  <si>
    <t>Budget shares for consumption deciles: other (% consumption)</t>
  </si>
  <si>
    <t>Budget shares for consumption deciles: paper (% consumption)</t>
  </si>
  <si>
    <t>Budget shares for consumption deciles: pharmaceuticals (% consumption)</t>
  </si>
  <si>
    <t>Budget shares for consumption deciles: recreation and tourism (% consumption)</t>
  </si>
  <si>
    <t>Budget shares for consumption deciles: transportation equipment (% consumption)</t>
  </si>
  <si>
    <t>Budget shares for consumption deciles: public transportation (% consumption)</t>
  </si>
  <si>
    <t>Share of CP Revenues to Compenate each Decile - Rural</t>
  </si>
  <si>
    <t>Share of CP Revenues to Compenate each Decile - Urban</t>
  </si>
  <si>
    <t>Share of CP Revenues to Compenate each Decile - Overall</t>
  </si>
  <si>
    <t>Percent change in consumption-based Gini coefficient (% excl. recycling) - Overall</t>
  </si>
  <si>
    <t>Percent change in consumption-based Gini coefficient (% excl. recycling) - Urban</t>
  </si>
  <si>
    <t>Percent change in consumption-based Gini coefficient (% excl. recycling) - Rural</t>
  </si>
  <si>
    <t>Percent change in consumption-based Gini coefficient (% incl. recycling) - Overall</t>
  </si>
  <si>
    <t>Percent change in consumption-based Gini coefficient (% incl. recycling) - Urban</t>
  </si>
  <si>
    <t>Percent change in consumption-based Gini coefficient (% incl. recycling) - Rural</t>
  </si>
  <si>
    <t>Percent Price Increases: coal (%)</t>
  </si>
  <si>
    <t>Percent Price Increases: electricity (%)</t>
  </si>
  <si>
    <t>Percent Price Increases: natural gas (%)</t>
  </si>
  <si>
    <t>Percent Price Increases: oil (%)</t>
  </si>
  <si>
    <t>Percent Price Increases: gasoline (%)</t>
  </si>
  <si>
    <t>Percent Price Increases: diesel (%)</t>
  </si>
  <si>
    <t>Percent Price Increases: kerosene (%)</t>
  </si>
  <si>
    <t>Percent Price Increases: lpg (%)</t>
  </si>
  <si>
    <t>Percent Price Increases: appliances (%)</t>
  </si>
  <si>
    <t>Percent Price Increases: chemicals (%)</t>
  </si>
  <si>
    <t>Percent Price Increases: clothing (%)</t>
  </si>
  <si>
    <t>Percent Price Increases: communications (%)</t>
  </si>
  <si>
    <t>Percent Price Increases: education (%)</t>
  </si>
  <si>
    <t>Percent Price Increases: food (%)</t>
  </si>
  <si>
    <t>Percent Price Increases: heatlh services (%)</t>
  </si>
  <si>
    <t>Percent Price Increases: housing (%)</t>
  </si>
  <si>
    <t>Percent Price Increases: other (%)</t>
  </si>
  <si>
    <t>Percent Price Increases: paper (%)</t>
  </si>
  <si>
    <t>Percent Price Increases: pharmaceuticals (%)</t>
  </si>
  <si>
    <t>Percent Price Increases: recreation and tourism (%)</t>
  </si>
  <si>
    <t>Percent Price Increases: transportation equipment (%)</t>
  </si>
  <si>
    <t>Percent Price Increases: public transportation (%)</t>
  </si>
  <si>
    <t>Relative gains from revenue recycling on consumption deciles: labor tax reductions  (% consumption)</t>
  </si>
  <si>
    <t>Relative gains from revenue recycling on consumption deciles: public investment  (% consumption)</t>
  </si>
  <si>
    <t>Relative gains from revenue recycling on consumption deciles: current spending  (% consumption)</t>
  </si>
  <si>
    <t>Relative gains from revenue recycling on consumption deciles: targeted transfer  (% consumption)</t>
  </si>
  <si>
    <t>Relative price impacts on consumption deciles: total effect  (% consumption)</t>
  </si>
  <si>
    <t>Distributional analysis year</t>
  </si>
  <si>
    <t>Distributional impacts on average, p25, p75, median</t>
  </si>
  <si>
    <t>PIT reductions (Personal Allowance)</t>
  </si>
  <si>
    <t>Public Investment (All Infr.)</t>
  </si>
  <si>
    <t>Current Spending (All Social Protection and Labor)</t>
  </si>
  <si>
    <t>Targeted Transfer (Cash)</t>
  </si>
  <si>
    <t>Total Recycled - Overall</t>
  </si>
  <si>
    <t>Rural: PIT reductions (Personal Allowance)</t>
  </si>
  <si>
    <t>Rural: Public Investment (All Infr.)</t>
  </si>
  <si>
    <t>Rural: Current Spending (All Social Protection and Labor)</t>
  </si>
  <si>
    <t>Rural: Targeted Transfer (Cash)</t>
  </si>
  <si>
    <t>Total Recycled - Rural</t>
  </si>
  <si>
    <t>Urban: PIT reductions (Personal Allowance)</t>
  </si>
  <si>
    <t>Urban: Public Investment (All Infr.)</t>
  </si>
  <si>
    <t>Urban: Current Spending (All Social Protection and Labor)</t>
  </si>
  <si>
    <t>Urban: Targeted Transfer (Cash)</t>
  </si>
  <si>
    <t>Total Recycled - Urban</t>
  </si>
  <si>
    <t>p_c</t>
  </si>
  <si>
    <t>Aviation</t>
  </si>
  <si>
    <t>Food</t>
  </si>
  <si>
    <t>Services</t>
  </si>
  <si>
    <t>Construction</t>
  </si>
  <si>
    <t>Machinery</t>
  </si>
  <si>
    <t>Iron/steel</t>
  </si>
  <si>
    <t>Manufactures</t>
  </si>
  <si>
    <t>Other metals</t>
  </si>
  <si>
    <t>Cement</t>
  </si>
  <si>
    <t>Shipping</t>
  </si>
  <si>
    <t>Residential</t>
  </si>
  <si>
    <t>Fuel</t>
  </si>
  <si>
    <t>CPAT description</t>
  </si>
  <si>
    <t>ΔP adjusted for pass-through, in descending order</t>
  </si>
  <si>
    <t>Income elasticity - electricity</t>
  </si>
  <si>
    <t>Income elasticity - motor fuels (gasoline)</t>
  </si>
  <si>
    <t>Income elasticity - non-road transport (diesel)</t>
  </si>
  <si>
    <t>GDP (USD bn)</t>
  </si>
  <si>
    <t xml:space="preserve">Power sector CO2 emissions </t>
  </si>
  <si>
    <t>Total CO2 Emissions (all sectors)</t>
  </si>
  <si>
    <t>Total CO2 emisions to USD GDP</t>
  </si>
  <si>
    <t>Electricity Generated</t>
  </si>
  <si>
    <t>Proportion of renewables in total generation, base year</t>
  </si>
  <si>
    <t>Proportion of variable renewables in total</t>
  </si>
  <si>
    <t>CO2 intensity of power generation</t>
  </si>
  <si>
    <t>Transmission &amp; Stat Differences</t>
  </si>
  <si>
    <t>Energy Industry Own Use</t>
  </si>
  <si>
    <t>Net Exports (Imports negative)</t>
  </si>
  <si>
    <t>Energy Consumption - Electricity</t>
  </si>
  <si>
    <t>Energy Consumption - Coal</t>
  </si>
  <si>
    <t>Energy Consumption - Natural gas</t>
  </si>
  <si>
    <t>Energy Consumption - Other oil products</t>
  </si>
  <si>
    <t>Energy Consumption - Gasoline</t>
  </si>
  <si>
    <t>Energy Consumption - Diesel</t>
  </si>
  <si>
    <t>Energy Consumption - Kerosene</t>
  </si>
  <si>
    <t>Energy Consumption - LPG</t>
  </si>
  <si>
    <t>Energy Consumption - Jet fuel</t>
  </si>
  <si>
    <t>Energy Consumption - Wind</t>
  </si>
  <si>
    <t>Energy Consumption - Solar</t>
  </si>
  <si>
    <t>Energy Consumption - Hydro</t>
  </si>
  <si>
    <t>Energy Consumption - Other renewables / Total self generated renewables</t>
  </si>
  <si>
    <t>Energy Consumption - Nuclear</t>
  </si>
  <si>
    <t>Energy Consumption - Biomass</t>
  </si>
  <si>
    <t>Energy Consumption - - in which: biogasoline</t>
  </si>
  <si>
    <t>Energy Consumption - - in which: biodiesel</t>
  </si>
  <si>
    <t>Energy Consumption - - in which: other liquid biofuels</t>
  </si>
  <si>
    <t>Energy Consumption - Heat</t>
  </si>
  <si>
    <t xml:space="preserve">Power demand TWh - Total - Baseline </t>
  </si>
  <si>
    <t xml:space="preserve">Power demand TWh - Total - Policy </t>
  </si>
  <si>
    <t>Nameplate Capacity (MW) - Total - Baseline</t>
  </si>
  <si>
    <t>Effective Capacity (MW) - Total - Baseline</t>
  </si>
  <si>
    <t>New Investment MW - Coal - Baseline</t>
  </si>
  <si>
    <t>New Investment MW - Natural gas - Baseline</t>
  </si>
  <si>
    <t>New Investment MW - Oil - Baseline</t>
  </si>
  <si>
    <t>New Investment MW - Nuclear - Baseline</t>
  </si>
  <si>
    <t>New Investment MW - Wind - Baseline</t>
  </si>
  <si>
    <t>New Investment MW - Solar - Baseline</t>
  </si>
  <si>
    <t>New Investment MW - Hydro - Baseline</t>
  </si>
  <si>
    <t>New Investment MW - Other renewables - Baseline</t>
  </si>
  <si>
    <t>New Investment MW - Biomass - Baseline</t>
  </si>
  <si>
    <t>New Investment MW - Coal - Policy</t>
  </si>
  <si>
    <t>New Investment MW - Natural gas - Policy</t>
  </si>
  <si>
    <t>New Investment MW - Oil - Policy</t>
  </si>
  <si>
    <t>New Investment MW - Nuclear - Policy</t>
  </si>
  <si>
    <t>New Investment MW - Wind - Policy</t>
  </si>
  <si>
    <t>New Investment MW - Solar - Policy</t>
  </si>
  <si>
    <t>New Investment MW - Hydro - Policy</t>
  </si>
  <si>
    <t>New Investment MW - Other renewables - Policy</t>
  </si>
  <si>
    <t>New Investment MW - Biomass - Policy</t>
  </si>
  <si>
    <t>New Investment USDbn- Coal - Baseline</t>
  </si>
  <si>
    <t>New Investment USDbn- Natural gas - Baseline</t>
  </si>
  <si>
    <t>New Investment USDbn- Oil - Baseline</t>
  </si>
  <si>
    <t>New Investment USDbn- Nuclear - Baseline</t>
  </si>
  <si>
    <t>New Investment USDbn- Wind - Baseline</t>
  </si>
  <si>
    <t>New Investment USDbn- Solar - Baseline</t>
  </si>
  <si>
    <t>New Investment USDbn- Hydro - Baseline</t>
  </si>
  <si>
    <t>New Investment USDbn- Other renewables - Baseline</t>
  </si>
  <si>
    <t>New Investment USDbn- Biomass - Baseline</t>
  </si>
  <si>
    <t>New Investment USDbn- Coal - Policy</t>
  </si>
  <si>
    <t>New Investment USDbn- Natural gas - Policy</t>
  </si>
  <si>
    <t>New Investment USDbn- Oil - Policy</t>
  </si>
  <si>
    <t>New Investment USDbn- Nuclear - Policy</t>
  </si>
  <si>
    <t>New Investment USDbn- Wind - Policy</t>
  </si>
  <si>
    <t>New Investment USDbn- Solar - Policy</t>
  </si>
  <si>
    <t>New Investment USDbn- Hydro - Policy</t>
  </si>
  <si>
    <t>New Investment USDbn- Other renewables - Policy</t>
  </si>
  <si>
    <t>New Investment USDbn- Biomass - Policy</t>
  </si>
  <si>
    <t>Markup1 (global price to Retail price) coa - pow</t>
  </si>
  <si>
    <t>Markup1 (global price to Retail price) coa - res</t>
  </si>
  <si>
    <t>Markup1 (global price to Retail price) coa - ind</t>
  </si>
  <si>
    <t>Markup1 (global price to Retail price) nga - pow</t>
  </si>
  <si>
    <t>Markup1 (global price to Retail price) nga - res</t>
  </si>
  <si>
    <t>Markup1 (global price to Retail price) nga - ind</t>
  </si>
  <si>
    <t>Markup1 (global price to Retail price) gso - all</t>
  </si>
  <si>
    <t>Markup1 (global price to Retail price) die - all</t>
  </si>
  <si>
    <t>Markup1 (global price to Retail price) lpg - all</t>
  </si>
  <si>
    <t>Markup1 (global price to Retail price) ker - all</t>
  </si>
  <si>
    <t>Markup1 (global price to Retail price) oop - all</t>
  </si>
  <si>
    <t>Markup1 (global price to Retail price) bio - all</t>
  </si>
  <si>
    <t>irn.mit.co2cov.2</t>
  </si>
  <si>
    <t>irn.mit.co2cov_.all.all.all.pc.2</t>
  </si>
  <si>
    <t>irn.mit.cptraj.2</t>
  </si>
  <si>
    <t>irn.mit.cptraj_.all.all.all.usdtco2.2</t>
  </si>
  <si>
    <t>irn.mit.eff.cptraj.2</t>
  </si>
  <si>
    <t>irn.mit.effcptraj_.all.all.all.usdtco2.2</t>
  </si>
  <si>
    <t>irn.mit.co2cov.pow.cont.2</t>
  </si>
  <si>
    <t>irn.mit.co2cov_.all.pow.all.pc.2</t>
  </si>
  <si>
    <t>irn.mit.co2cov.tra.cont.2</t>
  </si>
  <si>
    <t>irn.mit.co2cov_.all.tra.all.pc.2</t>
  </si>
  <si>
    <t>irn.mit.co2cov.res.cont.2</t>
  </si>
  <si>
    <t>irn.mit.co2cov_.all.res.all.pc.2</t>
  </si>
  <si>
    <t>irn.mit.co2cov.ind.cont.2</t>
  </si>
  <si>
    <t>irn.mit.co2cov_.all.ind.all.pc.2</t>
  </si>
  <si>
    <t>irn.mit.co2cov.oth.cont.2</t>
  </si>
  <si>
    <t>irn.mit.co2cov_.all.oth.all.pc.2</t>
  </si>
  <si>
    <t>irn.mit.gdp.pre.pct.2</t>
  </si>
  <si>
    <t>irn.mit.gdp_.all.all.pre.pc.2</t>
  </si>
  <si>
    <t>Effect on GDP:  - Carbon tax</t>
  </si>
  <si>
    <t>irn.mit.gdp.exc.pct.2</t>
  </si>
  <si>
    <t>irn.mit.gdp_.all.all.exc.pc.2</t>
  </si>
  <si>
    <t>irn.mit.gdp.pit.pct.2</t>
  </si>
  <si>
    <t>irn.mit.gdp_.all.all.pit.pc.2</t>
  </si>
  <si>
    <t>irn.mit.gdp.inv.pct.2</t>
  </si>
  <si>
    <t>irn.mit.gdp_.all.all.inv.pc.2</t>
  </si>
  <si>
    <t>irn.mit.gdp.cur.pct.2</t>
  </si>
  <si>
    <t>irn.mit.gdp_.all.all.cur.pc.2</t>
  </si>
  <si>
    <t>irn.mit.gdp.tra.pct.2</t>
  </si>
  <si>
    <t>irn.mit.gdp_.all.all.tra.pc.2</t>
  </si>
  <si>
    <t>irn.mit.gdp.tot.pct.2</t>
  </si>
  <si>
    <t>irn.mit.gdp_.all.all.tot.pc.2</t>
  </si>
  <si>
    <t>Total revenues, bn $2021 (baseline)</t>
  </si>
  <si>
    <t>irn.mit.rev.new.usd.1</t>
  </si>
  <si>
    <t>irn.mit.rev_.all.all.all.usdbn.1</t>
  </si>
  <si>
    <t>Total revenues, bn $2021 (policy)</t>
  </si>
  <si>
    <t>irn.mit.rev.new.usd.2</t>
  </si>
  <si>
    <t>irn.mit.rev_.all.all.all.usdbn.2</t>
  </si>
  <si>
    <t>irn.mit.rev.new.pct.1</t>
  </si>
  <si>
    <t>irn.mit.rev_.all.all.all.pc.1</t>
  </si>
  <si>
    <t>irn.mit.rev.new.pct.2</t>
  </si>
  <si>
    <t>irn.mit.rev_.all.all.all.pc.2</t>
  </si>
  <si>
    <t>irn.mit.ers</t>
  </si>
  <si>
    <t>irn.mit.rcp</t>
  </si>
  <si>
    <t>irn.mit.rcp.pow</t>
  </si>
  <si>
    <t>irn.mit.rcp.trs</t>
  </si>
  <si>
    <t>irn.mit.rcp.bld</t>
  </si>
  <si>
    <t>irn.mit.rcp.ind</t>
  </si>
  <si>
    <t>irn.mit.ln.gdppc</t>
  </si>
  <si>
    <t>irn.mit.lngdppc_.all.all.all.unitless.1</t>
  </si>
  <si>
    <t>irn.mit.gdp.pre.lvl.1</t>
  </si>
  <si>
    <t>irn.mit.gdp_.all.all.all.usdbn.1</t>
  </si>
  <si>
    <t>irn.mit.gdp.pst.lvl.2</t>
  </si>
  <si>
    <t>irn.mit.gdp_.all.all.all.usdbn.2</t>
  </si>
  <si>
    <t>irn.mit.pop.mn</t>
  </si>
  <si>
    <t>irn.mit.pop_.all.all.all.mn.1</t>
  </si>
  <si>
    <t>irn.mit.ghg.tot.exc.1</t>
  </si>
  <si>
    <t>irn.mit.emis_all.all.all.ghg.mtco2e.1</t>
  </si>
  <si>
    <t>irn.mit.ghg.tot.inc.1</t>
  </si>
  <si>
    <t>irn.mit.ghg.enr.tot.1</t>
  </si>
  <si>
    <t>irn.mit.emis_u.all.all.ghg.mtco2e.1</t>
  </si>
  <si>
    <t>irn.mit.ghg.ipr.tot.1</t>
  </si>
  <si>
    <t>irn.mit.ghg.agr.tot.1</t>
  </si>
  <si>
    <t>irn.mit.ghg.wst.tot.1</t>
  </si>
  <si>
    <t>irn.mit.ghg.lucf.tot.1</t>
  </si>
  <si>
    <t>irn.mit.co2.tot.1</t>
  </si>
  <si>
    <t>irn.mit.emis_all.all.all.co2.mtco2.1</t>
  </si>
  <si>
    <t>irn.mit.co2.enr.tot.1</t>
  </si>
  <si>
    <t>irn.mit.emis_u.all.all.co2.mtco2.1</t>
  </si>
  <si>
    <t>irn.mit.co2.coa.1</t>
  </si>
  <si>
    <t>irn.mit.emis_f.all.coa.co2.mtco2.1</t>
  </si>
  <si>
    <t>irn.mit.co2.nga.1</t>
  </si>
  <si>
    <t>irn.mit.emis_f.all.nga.co2.mtco2.1</t>
  </si>
  <si>
    <t>irn.mit.co2.oil.1</t>
  </si>
  <si>
    <t>irn.mit.emis_f.all.oil.co2.mtco2.1</t>
  </si>
  <si>
    <t>irn.mit.co2.gso.1</t>
  </si>
  <si>
    <t>irn.mit.emis_f.all.gso.co2.mtco2.1</t>
  </si>
  <si>
    <t>irn.mit.co2.die.1</t>
  </si>
  <si>
    <t>irn.mit.emis_f.all.die.co2.mtco2.1</t>
  </si>
  <si>
    <t>irn.mit.co2.lpg.1</t>
  </si>
  <si>
    <t>irn.mit.emis_f.all.lpg.co2.mtco2.1</t>
  </si>
  <si>
    <t>irn.mit.co2.ker.1</t>
  </si>
  <si>
    <t>irn.mit.emis_f.all.ker.co2.mtco2.1</t>
  </si>
  <si>
    <t>irn.mit.co2.pow.1</t>
  </si>
  <si>
    <t>irn.mit.emis_s.all.all.co2.mtco2.1</t>
  </si>
  <si>
    <t>irn.mit.co2.tra.1</t>
  </si>
  <si>
    <t>irn.mit.co2.res.1</t>
  </si>
  <si>
    <t>irn.mit.co2.ind.1</t>
  </si>
  <si>
    <t>irn.mit.co2.oth.1</t>
  </si>
  <si>
    <t>irn.mit.ghg.tot.exc.2</t>
  </si>
  <si>
    <t>irn.mit.emis_all.all.all.ghg.mtco2e.2</t>
  </si>
  <si>
    <t>irn.mit.ghg.tot.inc.2</t>
  </si>
  <si>
    <t>irn.mit.ghg.enr.tot.2</t>
  </si>
  <si>
    <t>irn.mit.emis_u.all.all.ghg.mtco2e.2</t>
  </si>
  <si>
    <t>irn.mit.ghg.ipr.tot.2</t>
  </si>
  <si>
    <t>irn.mit.ghg.agr.tot.2</t>
  </si>
  <si>
    <t>irn.mit.ghg.lucf.tot.2</t>
  </si>
  <si>
    <t>irn.mit.ghg.wst.tot.2</t>
  </si>
  <si>
    <t>irn.mit.co2.tot.2</t>
  </si>
  <si>
    <t>irn.mit.emis_all.all.all.co2.mtco2.2</t>
  </si>
  <si>
    <t>irn.mit.co2.enr.tot.2</t>
  </si>
  <si>
    <t>irn.mit.emis_u.all.all.co2.mtco2.2</t>
  </si>
  <si>
    <t>irn.mit.co2.coa.2</t>
  </si>
  <si>
    <t>irn.mit.emis_f.all.coa.co2.mtco2.2</t>
  </si>
  <si>
    <t>irn.mit.co2.nga.2</t>
  </si>
  <si>
    <t>irn.mit.emis_f.all.nga.co2.mtco2.2</t>
  </si>
  <si>
    <t>irn.mit.co2.oil.2</t>
  </si>
  <si>
    <t>irn.mit.emis_f.all.oil.co2.mtco2.2</t>
  </si>
  <si>
    <t>irn.mit.co2.gso.2</t>
  </si>
  <si>
    <t>irn.mit.emis_f.all.gso.co2.mtco2.2</t>
  </si>
  <si>
    <t>irn.mit.co2.die.2</t>
  </si>
  <si>
    <t>irn.mit.emis_f.all.die.co2.mtco2.2</t>
  </si>
  <si>
    <t>irn.mit.co2.lpg.2</t>
  </si>
  <si>
    <t>irn.mit.emis_f.all.lpg.co2.mtco2.2</t>
  </si>
  <si>
    <t>irn.mit.co2.ker.2</t>
  </si>
  <si>
    <t>irn.mit.emis_f.all.ker.co2.mtco2.2</t>
  </si>
  <si>
    <t>irn.mit.co2.pow.2</t>
  </si>
  <si>
    <t>irn.mit.emis_s.all.all.co2.mtco2.2</t>
  </si>
  <si>
    <t>irn.mit.co2.tra.2</t>
  </si>
  <si>
    <t>irn.mit.co2.res.2</t>
  </si>
  <si>
    <t>irn.mit.co2.ind.2</t>
  </si>
  <si>
    <t>irn.mit.co2.oth.2</t>
  </si>
  <si>
    <t>irn.mit.co2.tot.red.pct</t>
  </si>
  <si>
    <t>irn.mit.co2red_all.all.all.co2.mtco2.t</t>
  </si>
  <si>
    <t>irn.mit.ghg.tot.exc.fuel.1</t>
  </si>
  <si>
    <t>irn.mit.ch4.tot.1</t>
  </si>
  <si>
    <t>irn.mit.emis_all.all.all.ch4.mtco2e.1</t>
  </si>
  <si>
    <t>irn.mit.nox.tot.1</t>
  </si>
  <si>
    <t>irn.mit.emis_all.all.all.nox.mtco2e.1</t>
  </si>
  <si>
    <t>irn.mit.fga.tot.1</t>
  </si>
  <si>
    <t>irn.mit.emis_all.all.all.fga.mtco2e.1</t>
  </si>
  <si>
    <t>irn.mit.ghg.tot.exc.fuel.2</t>
  </si>
  <si>
    <t>irn.mit.ch4.tot.2</t>
  </si>
  <si>
    <t>irn.mit.emis_all.all.all.ch4.mtco2e.2</t>
  </si>
  <si>
    <t>irn.mit.nox.tot.2</t>
  </si>
  <si>
    <t>irn.mit.emis_all.all.all.nox.mtco2e.2</t>
  </si>
  <si>
    <t>irn.mit.fga.tot.2</t>
  </si>
  <si>
    <t>irn.mit.emis_all.all.all.fga.mtco2e.2</t>
  </si>
  <si>
    <t>Total methane, incl. LULUCF (baseline)</t>
  </si>
  <si>
    <t>irn.mit.ghg.tot.inc.ch4.1</t>
  </si>
  <si>
    <t>Total methane, excl. LULUCF (baseline)</t>
  </si>
  <si>
    <t>irn.mit.ghg.tot.exc.ch4.1</t>
  </si>
  <si>
    <t>Methane: energy (baseline)</t>
  </si>
  <si>
    <t>irn.mit.ghg.enr.ch4.1</t>
  </si>
  <si>
    <t>irn.mit.emis_u.all.all.ch4.mtco2e.1</t>
  </si>
  <si>
    <t>Methane: industrial processes (baseline)</t>
  </si>
  <si>
    <t>irn.mit.ghg.ipr.ch4.1</t>
  </si>
  <si>
    <t>Methane: agriculture</t>
  </si>
  <si>
    <t>irn.mit.ghg.agr.ch4.1</t>
  </si>
  <si>
    <t>Methane: LULUCF (baseline)</t>
  </si>
  <si>
    <t>irn.mit.ghg.lucf.ch4.1</t>
  </si>
  <si>
    <t>Methane: waste (baseline)</t>
  </si>
  <si>
    <t>irn.mit.ghg.wst.ch4.1</t>
  </si>
  <si>
    <t>Methane: other (baseline)</t>
  </si>
  <si>
    <t>irn.mit.ghg.oth.ch4.1</t>
  </si>
  <si>
    <t>Methane: memo energy distribution (baseline)</t>
  </si>
  <si>
    <t>irn.mit.ghg.fug.ch4.1</t>
  </si>
  <si>
    <t>Total methane, incl. LULUCF (policy)</t>
  </si>
  <si>
    <t>irn.mit.ghg.tot.inc.ch4.2</t>
  </si>
  <si>
    <t>Total methane, excl. LULUCF (policy)</t>
  </si>
  <si>
    <t>irn.mit.ghg.tot.exc.ch4.2</t>
  </si>
  <si>
    <t>Methane: energy (policy)</t>
  </si>
  <si>
    <t>irn.mit.ghg.enr.ch4.2</t>
  </si>
  <si>
    <t>irn.mit.emis_u.all.all.ch4.mtco2e.2</t>
  </si>
  <si>
    <t>Methane: industrial processes (policy)</t>
  </si>
  <si>
    <t>irn.mit.ghg.ipr.ch4.2</t>
  </si>
  <si>
    <t>irn.mit.ghg.agr.ch4.2</t>
  </si>
  <si>
    <t>Methane: LULUCF (policy)</t>
  </si>
  <si>
    <t>irn.mit.ghg.lucf.ch4.2</t>
  </si>
  <si>
    <t>Methane: waste (policy)</t>
  </si>
  <si>
    <t>irn.mit.ghg.wst.ch4.2</t>
  </si>
  <si>
    <t>Methane: other (policy)</t>
  </si>
  <si>
    <t>irn.mit.ghg.oth.ch4.2</t>
  </si>
  <si>
    <t>Methane: memo energy distribution (policy)</t>
  </si>
  <si>
    <t>irn.mit.ghg.fug.ch4.2</t>
  </si>
  <si>
    <t>irn.mit.ghg.index.1</t>
  </si>
  <si>
    <t>irn.mit.emis_all.all.all.all.index.1</t>
  </si>
  <si>
    <t>GHG emissions, policy (2018=100)</t>
  </si>
  <si>
    <t>irn.mit.ghg.index.2</t>
  </si>
  <si>
    <t>irn.mit.emis_all.all.all.all.index.2</t>
  </si>
  <si>
    <t>irn.mit.ghg.tot.inc.red.pct</t>
  </si>
  <si>
    <t>irn.mit.ghgchange_.all.all.ghg.pc.2</t>
  </si>
  <si>
    <t>irn.mit.ndc.option</t>
  </si>
  <si>
    <t>irn.mit.ndcoption_.all._.all.text.1</t>
  </si>
  <si>
    <t>irn.mit.ndc.desc.lng</t>
  </si>
  <si>
    <t>irn.mit.ndcdesclong_.all.all.all.text.1</t>
  </si>
  <si>
    <t>irn.mit.ndc.desc.sht</t>
  </si>
  <si>
    <t>irn.mit.ndcdescshort_.all.all.all.text.1</t>
  </si>
  <si>
    <t>irn.mit.undc.index</t>
  </si>
  <si>
    <t>irn.mit.ndcunct_.all.all.all.index.1</t>
  </si>
  <si>
    <t>irn.mit.cndc.index</t>
  </si>
  <si>
    <t>irn.mit.ndccont_.all.all.all.index.1</t>
  </si>
  <si>
    <t>irn.mit.undc.trg.ton</t>
  </si>
  <si>
    <t>irn.mit.ndcunclevel_.all.all.all.ton.1</t>
  </si>
  <si>
    <t>irn.mit.cndc.trg.ton</t>
  </si>
  <si>
    <t>irn.mit.ndcconlevel_.all.all.all.ton.1</t>
  </si>
  <si>
    <t>irn.mit.undc.2030.pct</t>
  </si>
  <si>
    <t>irn.mit.undc_.all.all.2030.pct.1</t>
  </si>
  <si>
    <t>2030</t>
  </si>
  <si>
    <t>irn.mit.cndc.2030.pct</t>
  </si>
  <si>
    <t>irn.mit.cndc_.all.all.2030.pct.1</t>
  </si>
  <si>
    <t>irn.mit.andc.2030.pct</t>
  </si>
  <si>
    <t>irn.mit.andc_.all.all.2030.pct.1</t>
  </si>
  <si>
    <t>irn.mit.emin.cem</t>
  </si>
  <si>
    <t>irn.mit.emin.irn</t>
  </si>
  <si>
    <t>irn.mit.emin.mch</t>
  </si>
  <si>
    <t>irn.mit.emin.man</t>
  </si>
  <si>
    <t>irn.mit.emin.oth</t>
  </si>
  <si>
    <t>irn.mit.emin.foo</t>
  </si>
  <si>
    <t>irn.mit.emin.srv</t>
  </si>
  <si>
    <t>irn.mit.emin.mac</t>
  </si>
  <si>
    <t>irn.mit.emin.cst</t>
  </si>
  <si>
    <t>irn.mit.emin.ftr</t>
  </si>
  <si>
    <t>irn.mit.emin.con</t>
  </si>
  <si>
    <t>irn.mit.rp.all.ecy.wtd.1</t>
  </si>
  <si>
    <t>irn.mit.rp_.all.ecy.all.usdkwh.1</t>
  </si>
  <si>
    <t>irn.mit.rp.all.coa.wtd.1</t>
  </si>
  <si>
    <t>irn.mit.rp_.all.coa.all.usdgj.1</t>
  </si>
  <si>
    <t>irn.mit.rp.all.nga.wtd.1</t>
  </si>
  <si>
    <t>irn.mit.rp_.all.nga.all.usdgj.1</t>
  </si>
  <si>
    <t>irn.mit.rp.all.oil.wtd.1</t>
  </si>
  <si>
    <t>irn.mit.rp_.all.oil.all.bbusdl.1</t>
  </si>
  <si>
    <t>irn.mit.rp.all.gso.wtd.1</t>
  </si>
  <si>
    <t>irn.mit.rp_.all.gso.all.usdl.1</t>
  </si>
  <si>
    <t>irn.mit.rp.all.die.wtd.1</t>
  </si>
  <si>
    <t>irn.mit.rp_.all.die.all.usdl.1</t>
  </si>
  <si>
    <t>irn.mit.rp.all.lpg.wtd.1</t>
  </si>
  <si>
    <t>irn.mit.rp_.all.lpg.all.usdl.1</t>
  </si>
  <si>
    <t>irn.mit.rp.all.ker.wtd.1</t>
  </si>
  <si>
    <t>irn.mit.rp_.all.ker.all.usdl.1</t>
  </si>
  <si>
    <t>irn.mit.rp.all.ecy.wtd.2</t>
  </si>
  <si>
    <t>irn.mit.rp_.all.ecy.all.usdkwh.2</t>
  </si>
  <si>
    <t>irn.mit.rp.coa.wtd.2</t>
  </si>
  <si>
    <t>irn.mit.rp_.all.coa.all.usdgj.2</t>
  </si>
  <si>
    <t>irn.mit.rp.nga.wtd.2</t>
  </si>
  <si>
    <t>irn.mit.rp_.all.nga.all.usdgj.2</t>
  </si>
  <si>
    <t>irn.mit.rp.oil.wtd.2</t>
  </si>
  <si>
    <t>irn.mit.rp_.all.oil.all.bbusdl.2</t>
  </si>
  <si>
    <t>irn.mit.rp.gso.wtd.2</t>
  </si>
  <si>
    <t>irn.mit.rp_.all.gso.all.usdl.2</t>
  </si>
  <si>
    <t>irn.mit.rp.die.wtd.2</t>
  </si>
  <si>
    <t>irn.mit.rp_.all.die.all.usdl.2</t>
  </si>
  <si>
    <t>irn.mit.rp.lpg.wtd.2</t>
  </si>
  <si>
    <t>irn.mit.rp_.all.lpg.all.usdl.2</t>
  </si>
  <si>
    <t>irn.mit.rp.ker.wtd.2</t>
  </si>
  <si>
    <t>irn.mit.rp_.all.ker.all.usdl.2</t>
  </si>
  <si>
    <t>irn.mit.rp.all.ecy.pct.2</t>
  </si>
  <si>
    <t>irn.mit.rp_.all.ecy.all.pc.2</t>
  </si>
  <si>
    <t>irn.mit.rp.all.coa.pct.2</t>
  </si>
  <si>
    <t>irn.mit.rp_.all.coa.all.pc.2</t>
  </si>
  <si>
    <t>irn.mit.rp.all.nga.pct.2</t>
  </si>
  <si>
    <t>irn.mit.rp_.all.nga.all.pc.2</t>
  </si>
  <si>
    <t>irn.mit.rp.all.oil.pct.2</t>
  </si>
  <si>
    <t>irn.mit.rp_.all.oil.all.pc.2</t>
  </si>
  <si>
    <t>irn.mit.rp.all.gso.pct.2</t>
  </si>
  <si>
    <t>irn.mit.rp_.all.gso.all.pc.2</t>
  </si>
  <si>
    <t>irn.mit.rp.all.die.pct.2</t>
  </si>
  <si>
    <t>irn.mit.rp_.all.die.all.pc.2</t>
  </si>
  <si>
    <t>irn.mit.rp.all.lpg.pct.2</t>
  </si>
  <si>
    <t>irn.mit.rp_.all.lpg.all.pc.2</t>
  </si>
  <si>
    <t>irn.mit.rp.all.ker.pct.2</t>
  </si>
  <si>
    <t>irn.mit.rp_.all.ker.all.pc.2</t>
  </si>
  <si>
    <t>irn.mit.co2.ela.eco.2</t>
  </si>
  <si>
    <t>irn.mit.co2ela_.all.all.all.unitusdless.2</t>
  </si>
  <si>
    <t>irn.mit.ndc.ecr.2</t>
  </si>
  <si>
    <t>irn.mit.ndcerc_.all.all.all.usdtco2.2</t>
  </si>
  <si>
    <t>irn.mit.ecr.1</t>
  </si>
  <si>
    <t>irn.mit.ecr_.all.all.all.usdtco2.1</t>
  </si>
  <si>
    <t>irn.mit.ecr.2</t>
  </si>
  <si>
    <t>irn.mit.ecr_.all.all.all.usdtco2.2</t>
  </si>
  <si>
    <t>irn.mit.rp.ind.ecy.t.1</t>
  </si>
  <si>
    <t>irn.mit.rp.res.ecy.t.1</t>
  </si>
  <si>
    <t>irn.mit.rp.ind.coa.a.1</t>
  </si>
  <si>
    <t>irn.mit.rp.ind.nga.a.1</t>
  </si>
  <si>
    <t>irn.mit.rp.res.coa.a.1</t>
  </si>
  <si>
    <t>irn.mit.rp.res.nga.a.1</t>
  </si>
  <si>
    <t>irn.mit.rp.pow.coa.a.1</t>
  </si>
  <si>
    <t>irn.mit.rp.pow.nga.a.1</t>
  </si>
  <si>
    <t>irn.mit.rp.ind.ecy.t.2</t>
  </si>
  <si>
    <t>irn.mit.rp.res.ecy.t.2</t>
  </si>
  <si>
    <t>irn.mit.rp.ind.coa.a.2</t>
  </si>
  <si>
    <t>irn.mit.rp.ind.nga.a.2</t>
  </si>
  <si>
    <t>irn.mit.rp.res.coa.a.2</t>
  </si>
  <si>
    <t>irn.mit.rp.res.nga.a.2</t>
  </si>
  <si>
    <t>irn.mit.rp.pow.coa.a.2</t>
  </si>
  <si>
    <t>irn.mit.rp.pow.nga.a.2</t>
  </si>
  <si>
    <t>irn.mit.sup.cost.ecy.ind.1</t>
  </si>
  <si>
    <t>irn.mit.sup_cost_.all.ecy.all.usdkwh.1</t>
  </si>
  <si>
    <t>irn.mit.sup.cost.ecy.res.2</t>
  </si>
  <si>
    <t>irn.mit.sp.ind.coa.a.1</t>
  </si>
  <si>
    <t>irn.mit.sp_.all.coa.all.usdgj.1</t>
  </si>
  <si>
    <t>irn.mit.sp.ind.nga.a.1</t>
  </si>
  <si>
    <t>irn.mit.sp_.all.nga.all.usdgj.1</t>
  </si>
  <si>
    <t>irn.mit.sp.res.coa.a.1</t>
  </si>
  <si>
    <t>irn.mit.sp.res.nga.a.1</t>
  </si>
  <si>
    <t>irn.mit.sp.pow.coa.a.1</t>
  </si>
  <si>
    <t>irn.mit.sp.pow.nga.a.1</t>
  </si>
  <si>
    <t>irn.mit.sp.all.oop.a.1</t>
  </si>
  <si>
    <t>irn.mit.sp_.all.oop.all.bbusdl.1</t>
  </si>
  <si>
    <t>irn.mit.sp.all.gso.a.1</t>
  </si>
  <si>
    <t>irn.mit.sp_.all.gso.all.usdl.1</t>
  </si>
  <si>
    <t>irn.mit.sp.all.die.a.1</t>
  </si>
  <si>
    <t>irn.mit.sp_.all.die.all.usdl.1</t>
  </si>
  <si>
    <t>irn.mit.sp.all.lpg.a.1</t>
  </si>
  <si>
    <t>irn.mit.sp_.all.lpg.all.usdl.1</t>
  </si>
  <si>
    <t>irn.mit.sp.all.ker.a.1</t>
  </si>
  <si>
    <t>irn.mit.sp_.all.ker.all.usdl.1</t>
  </si>
  <si>
    <t>irn.mit.txo.ind.ecy.t.1</t>
  </si>
  <si>
    <t>irn.mit.txo_.all.ecy.all.usdkwh.1</t>
  </si>
  <si>
    <t>irn.mit.txo.res.ecy.t.1</t>
  </si>
  <si>
    <t>irn.mit.txo.ind.coa.a.1</t>
  </si>
  <si>
    <t>irn.mit.txo_.all.coa.all.usdgj.1</t>
  </si>
  <si>
    <t>irn.mit.txo.ind.nga.a.1</t>
  </si>
  <si>
    <t>irn.mit.txo_.all.nga.all.usdgj.1</t>
  </si>
  <si>
    <t>irn.mit.txo.res.coa.a.1</t>
  </si>
  <si>
    <t>irn.mit.txo.res.nga.a.1</t>
  </si>
  <si>
    <t>irn.mit.txo.pow.coa.a.1</t>
  </si>
  <si>
    <t>irn.mit.txo.pow.nga.a.1</t>
  </si>
  <si>
    <t>irn.mit.txo.all.oop.a.1</t>
  </si>
  <si>
    <t>irn.mit.txo_.all.oop.all.bbusdl.1</t>
  </si>
  <si>
    <t>irn.mit.txo.all.gso.a.1</t>
  </si>
  <si>
    <t>irn.mit.txo_.all.gso.all.usdl.1</t>
  </si>
  <si>
    <t>irn.mit.txo.all.die.a.1</t>
  </si>
  <si>
    <t>irn.mit.txo_.all.die.all.usdl.1</t>
  </si>
  <si>
    <t>irn.mit.txo.all.lpg.a.1</t>
  </si>
  <si>
    <t>irn.mit.txo_.all.lpg.all.usdl.1</t>
  </si>
  <si>
    <t>irn.mit.txo.all.ker.a.1</t>
  </si>
  <si>
    <t>irn.mit.txo_.all.ker.all.usdl.1</t>
  </si>
  <si>
    <t>irn.mit.vat.ind.ecy.t.1</t>
  </si>
  <si>
    <t>irn.c.vat_.all.ecy.all.usdkwh.1</t>
  </si>
  <si>
    <t>irn.mit.vat.res.ecy.t.1</t>
  </si>
  <si>
    <t>irn.mit.vat_.all.ecy.all.usdkwh.1</t>
  </si>
  <si>
    <t>irn.mit.vat.ind.coa.a.1</t>
  </si>
  <si>
    <t>irn.mit.vat_.all.coa.all.usdgj.1</t>
  </si>
  <si>
    <t>irn.mit.vat.ind.nga.a.1</t>
  </si>
  <si>
    <t>irn.mit.vat_.all.nga.all.usdgj.1</t>
  </si>
  <si>
    <t>irn.mit.vat.res.coa.a.1</t>
  </si>
  <si>
    <t>irn.mit.vat.res.nga.a.1</t>
  </si>
  <si>
    <t>irn.mit.vat.pow.coa.a.1</t>
  </si>
  <si>
    <t>irn.mit.vat.pow.nga.a.1</t>
  </si>
  <si>
    <t>irn.mit.vat.all.oop.a.1</t>
  </si>
  <si>
    <t>irn.mit.vat_.all.oop.all.bbusdl.1</t>
  </si>
  <si>
    <t>irn.mit.vat.all.gso.a.1</t>
  </si>
  <si>
    <t>irn.mit.vat_.all.gso.all.usdl.1</t>
  </si>
  <si>
    <t>irn.mit.vat.all.die.a.1</t>
  </si>
  <si>
    <t>irn.mit.vat_.all.die.all.usdl.1</t>
  </si>
  <si>
    <t>irn.mit.vat.all.lpg.a.1</t>
  </si>
  <si>
    <t>irn.mit.vat_.all.lpg.all.usdl.1</t>
  </si>
  <si>
    <t>irn.mit.vat.all.ker.a.1</t>
  </si>
  <si>
    <t>irn.mit.vat_.all.ker.all.usdl.1</t>
  </si>
  <si>
    <t>irn.mit.ctx.ind.ecy.t.1</t>
  </si>
  <si>
    <t>irn.mit.ctx.res.ecy.t.1</t>
  </si>
  <si>
    <t>irn.mit.ctx.ind.coa.a.1</t>
  </si>
  <si>
    <t>irn.mit.ctx.ind.nga.a.1</t>
  </si>
  <si>
    <t>irn.mit.ctx.res.coa.a.1</t>
  </si>
  <si>
    <t>irn.mit.ctx.res.nga.a.1</t>
  </si>
  <si>
    <t>irn.mit.ctx.pow.coa.a.1</t>
  </si>
  <si>
    <t>irn.mit.ctx.pow.nga.a.1</t>
  </si>
  <si>
    <t>irn.mit.ctx.all.oop.a.1</t>
  </si>
  <si>
    <t>irn.mit.ctx.all.gso.a.1</t>
  </si>
  <si>
    <t>irn.mit.ctx.all.die.a.1</t>
  </si>
  <si>
    <t>irn.mit.ctx.all.lpg.a.1</t>
  </si>
  <si>
    <t>irn.mit.ctx.all.ker.a.1</t>
  </si>
  <si>
    <t>irn.mit.ets.ind.ecy.t.1</t>
  </si>
  <si>
    <t>irn.mit.ets_.all.ecy.all.usdkwh.1</t>
  </si>
  <si>
    <t>irn.mit.ets.res.ecy.t.1</t>
  </si>
  <si>
    <t>irn.mit.ets.ind.coa.a.1</t>
  </si>
  <si>
    <t>irn.mit.ets_.all.coa.all.usdgj.1</t>
  </si>
  <si>
    <t>irn.mit.ets.ind.nga.a.1</t>
  </si>
  <si>
    <t>irn.mit.ets_.all.nga.all.usdgj.1</t>
  </si>
  <si>
    <t>irn.mit.ets.res.coa.a.1</t>
  </si>
  <si>
    <t>irn.mit.ets.res.nga.a.1</t>
  </si>
  <si>
    <t>irn.mit.ets.pow.coa.a.1</t>
  </si>
  <si>
    <t>irn.mit.ets.pow.nga.a.1</t>
  </si>
  <si>
    <t>irn.mit.ets.all.oop.a.1</t>
  </si>
  <si>
    <t>irn.mit.ets_.all.oop.all.bbusdl.1</t>
  </si>
  <si>
    <t>irn.mit.ets.all.gso.a.1</t>
  </si>
  <si>
    <t>irn.mit.ets_.all.gso.all.usdl.1</t>
  </si>
  <si>
    <t>irn.mit.ets.all.die.a.1</t>
  </si>
  <si>
    <t>irn.mit.ets_.all.die.all.usdl.1</t>
  </si>
  <si>
    <t>irn.mit.ets.all.lpg.a.1</t>
  </si>
  <si>
    <t>irn.mit.ets_.all.lpg.all.usdl.1</t>
  </si>
  <si>
    <t>irn.mit.ets.all.ker.a.1</t>
  </si>
  <si>
    <t>irn.mit.ets_.all.ker.all.usdl.1</t>
  </si>
  <si>
    <t>irn.mit.tcp.all.coa.a.1</t>
  </si>
  <si>
    <t>irn.mit.tcp_.all.coa.all.usd/tCO2.1</t>
  </si>
  <si>
    <t>irn.mit.tcp.all.nga.a.1</t>
  </si>
  <si>
    <t>irn.mit.tcp_.all.nga.all.usd/tCO2.1</t>
  </si>
  <si>
    <t>irn.mit.tcp_csf.rod.gso.a.1</t>
  </si>
  <si>
    <t>irn.mit.tcp_.all.gso.all.usd/tCO2.1</t>
  </si>
  <si>
    <t>irn.mit.tcp_csf.rod.die.a1</t>
  </si>
  <si>
    <t>irn.mit.tcp_.all.die.all.usd/tCO2.1</t>
  </si>
  <si>
    <t>irn.mit.tcp_csf.res.lpg.a.1</t>
  </si>
  <si>
    <t>irn.mit.tcp_.all.lpg.all.usd/tCO2.1</t>
  </si>
  <si>
    <t>irn.mit.tcp_csf.all.ker.a.1</t>
  </si>
  <si>
    <t>irn.mit.tcp_.all.ker.all.usd/tCO2.1</t>
  </si>
  <si>
    <t>irn.mit.tcp_csf.all.oop.a.1</t>
  </si>
  <si>
    <t>irn.mit.tcp_.all.oop.all.usd/tCO2.1</t>
  </si>
  <si>
    <t>irn.mit.tcp.all.all.a.1</t>
  </si>
  <si>
    <t>irn.mit.tcp_.all.all.all.usd/tCO2.1</t>
  </si>
  <si>
    <t>irn.mit.tcp.all.coa.a.2</t>
  </si>
  <si>
    <t>irn.mit.tcp.all.nga.a.2</t>
  </si>
  <si>
    <t>irn.mit.tcp_csf.rod.gso.a.2</t>
  </si>
  <si>
    <t>irn.mit.tcp_csf.rod.die.a2</t>
  </si>
  <si>
    <t>irn.mit.tcp_csf.res.lpg.a.2</t>
  </si>
  <si>
    <t>irn.mit.tcp_csf.all.ker.a.2</t>
  </si>
  <si>
    <t>irn.mit.tcp_csf.all.oop.a.2</t>
  </si>
  <si>
    <t>irn.mit.tcp.all.all.a.2</t>
  </si>
  <si>
    <t>irn.mit.tcp_.all.all.all.usd/tCO2.2</t>
  </si>
  <si>
    <t>irn.mit.eff.price.gso.all.2</t>
  </si>
  <si>
    <t>irn.mit.eff_price_.all.gso.all.usdliter.2</t>
  </si>
  <si>
    <t>irn.mit.sup.cost.gso.all.2</t>
  </si>
  <si>
    <t>irn.mit.sup_cost_.all.gso.all.usdliter.2</t>
  </si>
  <si>
    <t>irn.mit.airpol.cost.gso.all.2</t>
  </si>
  <si>
    <t>irn.mit.airpol_cost_.all.gso.all.usdliter.2</t>
  </si>
  <si>
    <t>irn.mit.acc.cost.gso.all.2</t>
  </si>
  <si>
    <t>irn.mit.acc_cost_.all.gso.all.usdliter.2</t>
  </si>
  <si>
    <t>irn.mit.con.cost.gso.all.2</t>
  </si>
  <si>
    <t>irn.mit.con_cost_.all.gso.all.usdliter.2</t>
  </si>
  <si>
    <t>irn.mit.rdm.cost.gso.all.2</t>
  </si>
  <si>
    <t>irn.mit.rdm_cost_.all.gso.all.usdliter.2</t>
  </si>
  <si>
    <t>irn.mit.scc.cost.gso.all.2</t>
  </si>
  <si>
    <t>irn.mit.scc_cost_.all.gso.all.usdliter.2</t>
  </si>
  <si>
    <t>irn.mit.vat.cost.gso.all.2</t>
  </si>
  <si>
    <t>irn.mit.vat_cost_.all.gso.all.usdliter.2</t>
  </si>
  <si>
    <t>irn.mit.rp.gso.all.2</t>
  </si>
  <si>
    <t>irn.mit.rp_gso_.all.gso.all.usdliter.2</t>
  </si>
  <si>
    <t>irn.mit.tgap.gso.all.2</t>
  </si>
  <si>
    <t>irn.mit.tgap_gso_.all.gso.all.usdliter.2</t>
  </si>
  <si>
    <t>irn.mit.txo_.all.gso.all.usdliter.1</t>
  </si>
  <si>
    <t>irn.mit.txo.co2e.gso.all.1</t>
  </si>
  <si>
    <t>irn.mit.txo_co2e_.all.gso.all.usdtonco2.1</t>
  </si>
  <si>
    <t>irn.mit.pig.gso.all.2</t>
  </si>
  <si>
    <t>irn.mit.pig_gso_.all.gso.all.usdliter.2</t>
  </si>
  <si>
    <t>irn.mit.pig.co2e.gso.all.2</t>
  </si>
  <si>
    <t>irn.mit.pig_co2e_.all.gso.all.usdtonco2.2</t>
  </si>
  <si>
    <t>irn.mit.eff.price.die.all.2</t>
  </si>
  <si>
    <t>irn.mit.eff_price_.all.die.all.usdliter.2</t>
  </si>
  <si>
    <t>irn.mit.sup.cost.die.all.2</t>
  </si>
  <si>
    <t>irn.mit.sup_cost_.all.die.all.usdliter.2</t>
  </si>
  <si>
    <t>irn.mit.airpol.cost.die.all.2</t>
  </si>
  <si>
    <t>irn.mit.airpol_cost_.all.die.all.usdliter.2</t>
  </si>
  <si>
    <t>irn.mit.acc.cost.die.all.2</t>
  </si>
  <si>
    <t>irn.mit.acc_cost_.all.die.all.usdliter.2</t>
  </si>
  <si>
    <t>irn.mit.con.cost.die.all.2</t>
  </si>
  <si>
    <t>irn.mit.con_cost_.all.die.all.usdliter.2</t>
  </si>
  <si>
    <t>irn.mit.rdm.cost.die.all.2</t>
  </si>
  <si>
    <t>irn.mit.rdm_cost_.all.die.all.usdliter.2</t>
  </si>
  <si>
    <t>irn.mit.scc.cost.die.all.2</t>
  </si>
  <si>
    <t>irn.mit.scc_cost_.all.die.all.usdliter.2</t>
  </si>
  <si>
    <t>irn.mit.vat.cost.die.all.2</t>
  </si>
  <si>
    <t>irn.mit.vat_cost_.all.die.all.usdliter.2</t>
  </si>
  <si>
    <t>irn.mit.rp.die.all.2</t>
  </si>
  <si>
    <t>irn.mit.rp_die_.all.die.all.usdliter.2</t>
  </si>
  <si>
    <t>irn.mit.tgap.die.all.2</t>
  </si>
  <si>
    <t>irn.mit.tgap_die_.all.die.all.usdliter.2</t>
  </si>
  <si>
    <t>irn.mit.txo_.all.die.all.usdliter.1</t>
  </si>
  <si>
    <t>irn.mit.txo.co2e.die.all.1</t>
  </si>
  <si>
    <t>irn.mit.txo_co2e_.all.die.all.usdtonco2.1</t>
  </si>
  <si>
    <t>irn.mit.pig.die.all.2</t>
  </si>
  <si>
    <t>irn.mit.pig_die_.all.die.all.usdliter.2</t>
  </si>
  <si>
    <t>irn.mit.pig.co2e.die.all.2</t>
  </si>
  <si>
    <t>irn.mit.pig_co2e_.all.die.all.usdtonco2.2</t>
  </si>
  <si>
    <t>irn.mit.eff.price.lpg.all.2</t>
  </si>
  <si>
    <t>irn.mit.eff_price_.all.lpg.all.usdliter.2</t>
  </si>
  <si>
    <t>irn.mit.sup.cost.lpg.all.2</t>
  </si>
  <si>
    <t>irn.mit.sup_cost_.all.lpg.all.usdliter.2</t>
  </si>
  <si>
    <t>irn.mit.airpol.cost.lpg.all.2</t>
  </si>
  <si>
    <t>irn.mit.airpol_cost_.all.lpg.all.usdliter.2</t>
  </si>
  <si>
    <t>irn.mit.scc.cost.lpg.all.2</t>
  </si>
  <si>
    <t>irn.mit.scc_cost_.all.lpg.all.usdliter.2</t>
  </si>
  <si>
    <t>irn.mit.vat.cost.lpg.all.2</t>
  </si>
  <si>
    <t>irn.mit.vat_cost_.all.lpg.all.usdliter.2</t>
  </si>
  <si>
    <t>irn.mit.rp.lpg.all.2</t>
  </si>
  <si>
    <t>irn.mit.rp_lpg_.all.lpg.all.usdliter.2</t>
  </si>
  <si>
    <t>irn.mit.tgap.lpg.all.2</t>
  </si>
  <si>
    <t>irn.mit.tgap_lpg_.all.lpg.all.usdliter.2</t>
  </si>
  <si>
    <t>irn.mit.txo_.all.lpg.all.usdliter.1</t>
  </si>
  <si>
    <t>irn.mit.txo.co2e.lpg.all.1</t>
  </si>
  <si>
    <t>irn.mit.txo_co2e_.all.lpg.all.usdtonco2.1</t>
  </si>
  <si>
    <t>irn.mit.pig.lpg.all.2</t>
  </si>
  <si>
    <t>irn.mit.pig_lpg_.all.lpg.all.usdliter.2</t>
  </si>
  <si>
    <t>irn.mit.pig.co2e.lpg.all.2</t>
  </si>
  <si>
    <t>irn.mit.pig_co2e_.all.lpg.all.usdtonco2.2</t>
  </si>
  <si>
    <t>irn.mit.eff.price.ker.all.2</t>
  </si>
  <si>
    <t>irn.mit.eff_price_.all.ker.all.usdliter.2</t>
  </si>
  <si>
    <t>irn.mit.sup.cost.ker.all.2</t>
  </si>
  <si>
    <t>irn.mit.sup_cost_.all.ker.all.usdliter.2</t>
  </si>
  <si>
    <t>irn.mit.airpol.cost.ker.all.2</t>
  </si>
  <si>
    <t>irn.mit.airpol_cost_.all.ker.all.usdliter.2</t>
  </si>
  <si>
    <t>irn.mit.scc.cost.ker.all.2</t>
  </si>
  <si>
    <t>irn.mit.scc_cost_.all.ker.all.usdliter.2</t>
  </si>
  <si>
    <t>irn.mit.vat.cost.ker.all.2</t>
  </si>
  <si>
    <t>irn.mit.vat_cost_.all.ker.all.usdliter.2</t>
  </si>
  <si>
    <t>irn.mit.rp.ker.all.2</t>
  </si>
  <si>
    <t>irn.mit.rp_ker_.all.ker.all.usdliter.2</t>
  </si>
  <si>
    <t>irn.mit.tgap.ker.all.2</t>
  </si>
  <si>
    <t>irn.mit.tgap_ker_.all.ker.all.usdliter.2</t>
  </si>
  <si>
    <t>irn.mit.txo_.all.ker.all.usdliter.1</t>
  </si>
  <si>
    <t>irn.mit.txo.co2e.ker.all.1</t>
  </si>
  <si>
    <t>irn.mit.txo_co2e_.all.ker.all.usdtonco2.1</t>
  </si>
  <si>
    <t>irn.mit.pig.ker.all.2</t>
  </si>
  <si>
    <t>irn.mit.pig_ker_.all.ker.all.usdliter.2</t>
  </si>
  <si>
    <t>irn.mit.pig.co2e.ker.all.2</t>
  </si>
  <si>
    <t>irn.mit.pig_co2e_.all.ker.all.usdtonco2.2</t>
  </si>
  <si>
    <t>irn.mit.eff.price.coa.ind.2</t>
  </si>
  <si>
    <t>irn.mit.eff_price_.all.coa.all.usdGJ.2</t>
  </si>
  <si>
    <t>irn.mit.sup.cost.coa.ind.2</t>
  </si>
  <si>
    <t>irn.mit.sup_cost_.all.coa.all.usdGJ.2</t>
  </si>
  <si>
    <t>irn.mit.airpol.cost.coa.ind.2</t>
  </si>
  <si>
    <t>irn.mit.airpol_cost_.all.coa.all.usdGJ.2</t>
  </si>
  <si>
    <t>irn.mit.scc.cost.coa.ind.2</t>
  </si>
  <si>
    <t>irn.mit.scc_cost_.all.coa.all.usdGJ.2</t>
  </si>
  <si>
    <t>irn.mit.vat.cost.coa.ind.2</t>
  </si>
  <si>
    <t>irn.mit.vat_cost_.all.coa.all.usdGJ.2</t>
  </si>
  <si>
    <t>irn.mit.rp.coa.ind.2</t>
  </si>
  <si>
    <t>irn.mit.rp_coa_.all.coa.all.usdGJ.2</t>
  </si>
  <si>
    <t>irn.mit.tgap.coa.ind.2</t>
  </si>
  <si>
    <t>irn.mit.tgap_coa_.all.coa.all.usdGJ.2</t>
  </si>
  <si>
    <t>irn.mit.txo_ind_.all.coa.all.usdGJ.1</t>
  </si>
  <si>
    <t>irn.mit.txo.co2e.coa.ind.1</t>
  </si>
  <si>
    <t>irn.mit.txo_co2e_.all.coa.all.usdtonco2.1</t>
  </si>
  <si>
    <t>irn.mit.pig.coa.ind.2</t>
  </si>
  <si>
    <t>irn.mit.pig_coa_.all.coa.all.usdGJ.2</t>
  </si>
  <si>
    <t>irn.mit.pig.co2e.coa.ind.2</t>
  </si>
  <si>
    <t>irn.mit.pig_co2e_.all.coa.all.usdtonco2.2</t>
  </si>
  <si>
    <t>irn.mit.eff.price.coa.res.2</t>
  </si>
  <si>
    <t>irn.mit.sup.cost.coa.res.2</t>
  </si>
  <si>
    <t>irn.mit.airpol.cost.coa.res.2</t>
  </si>
  <si>
    <t>irn.mit.scc.cost.coa.res.2</t>
  </si>
  <si>
    <t>irn.mit.vat.cost.coa.res.2</t>
  </si>
  <si>
    <t>irn.mit.rp.coa.res.2</t>
  </si>
  <si>
    <t>irn.mit.tgap.coa.res.2</t>
  </si>
  <si>
    <t>irn.mit.txo_res_.all.coa.all.usdGJ.1</t>
  </si>
  <si>
    <t>irn.mit.txo.co2e.coa.res.1</t>
  </si>
  <si>
    <t>irn.mit.pig.coa.res.2</t>
  </si>
  <si>
    <t>irn.mit.pig.co2e.coa.res.2</t>
  </si>
  <si>
    <t>irn.mit.eff.price.coa.pow.2</t>
  </si>
  <si>
    <t>irn.mit.sup.cost.coa.pow.2</t>
  </si>
  <si>
    <t>irn.mit.airpol.cost.coa.pow.2</t>
  </si>
  <si>
    <t>irn.mit.scc.cost.coa.pow.2</t>
  </si>
  <si>
    <t>irn.mit.vat.cost.coa.pow.2</t>
  </si>
  <si>
    <t>irn.mit.rp.coa.pow.2</t>
  </si>
  <si>
    <t>irn.mit.tgap.coa.pow.2</t>
  </si>
  <si>
    <t>irn.mit.txo_pow_.all.coa.all.usdGJ.1</t>
  </si>
  <si>
    <t>irn.mit.txo.co2e.coa.pow.1</t>
  </si>
  <si>
    <t>irn.mit.pig.coa.pow.2</t>
  </si>
  <si>
    <t>irn.mit.pig.co2e.coa.pow.2</t>
  </si>
  <si>
    <t>irn.mit.eff.price.nga.ind.2</t>
  </si>
  <si>
    <t>irn.mit.eff_price_.all.nga.all.usdGJ.2</t>
  </si>
  <si>
    <t>irn.mit.sup.cost.nga.ind.2</t>
  </si>
  <si>
    <t>irn.mit.sup_cost_.all.nga.all.usdGJ.2</t>
  </si>
  <si>
    <t>irn.mit.airpol.cost.nga.ind.2</t>
  </si>
  <si>
    <t>irn.mit.airpol_cost_.all.nga.all.usdGJ.2</t>
  </si>
  <si>
    <t>irn.mit.scc.cost.nga.ind.2</t>
  </si>
  <si>
    <t>irn.mit.scc_cost_.all.nga.all.usdGJ.2</t>
  </si>
  <si>
    <t>irn.mit.vat.cost.nga.ind.2</t>
  </si>
  <si>
    <t>irn.mit.vat_cost_.all.nga.all.usdGJ.2</t>
  </si>
  <si>
    <t>irn.mit.rp.nga.ind.2</t>
  </si>
  <si>
    <t>irn.mit.rp_nga_.all.nga.all.usdGJ.2</t>
  </si>
  <si>
    <t>irn.mit.tgap.nga.ind.2</t>
  </si>
  <si>
    <t>irn.mit.tgap_nga_.all.nga.all.usdGJ.2</t>
  </si>
  <si>
    <t>irn.mit.txo_ind_.all.nga.all.usdGJ.1</t>
  </si>
  <si>
    <t>irn.mit.txo.co2e.nga.ind.1</t>
  </si>
  <si>
    <t>irn.mit.txo_co2e_.all.nga.all.usdtonco2.1</t>
  </si>
  <si>
    <t>irn.mit.pig.nga.ind.2</t>
  </si>
  <si>
    <t>irn.mit.pig_nga_.all.nga.all.usdGJ.2</t>
  </si>
  <si>
    <t>irn.mit.pig.co2e.nga.ind.2</t>
  </si>
  <si>
    <t>irn.mit.pig_co2e_.all.nga.all.usdtonco2.2</t>
  </si>
  <si>
    <t>irn.mit.eff.price.nga.res.2</t>
  </si>
  <si>
    <t>irn.mit.sup.cost.nga.res.2</t>
  </si>
  <si>
    <t>irn.mit.airpol.cost.nga.res.2</t>
  </si>
  <si>
    <t>irn.mit.scc.cost.nga.res.2</t>
  </si>
  <si>
    <t>irn.mit.vat.cost.nga.res.2</t>
  </si>
  <si>
    <t>irn.mit.rp.nga.res.2</t>
  </si>
  <si>
    <t>irn.mit.tgap.nga.res.2</t>
  </si>
  <si>
    <t>irn.mit.txo_res_.all.nga.all.usdGJ.1</t>
  </si>
  <si>
    <t>irn.mit.txo.co2e.nga.res.1</t>
  </si>
  <si>
    <t>irn.mit.pig.nga.res.2</t>
  </si>
  <si>
    <t>irn.mit.pig.co2e.nga.res.2</t>
  </si>
  <si>
    <t>irn.mit.eff.price.nga.pow.2</t>
  </si>
  <si>
    <t>irn.mit.sup.cost.nga.pow.2</t>
  </si>
  <si>
    <t>irn.mit.airpol.cost.nga.pow.2</t>
  </si>
  <si>
    <t>irn.mit.scc.cost.nga.pow.2</t>
  </si>
  <si>
    <t>irn.mit.vat.cost.nga.pow.2</t>
  </si>
  <si>
    <t>irn.mit.rp.nga.pow.2</t>
  </si>
  <si>
    <t>irn.mit.tgap.nga.pow.2</t>
  </si>
  <si>
    <t>irn.mit.txo_pow_.all.nga.all.usdGJ.1</t>
  </si>
  <si>
    <t>irn.mit.txo.co2e.nga.pow.1</t>
  </si>
  <si>
    <t>irn.mit.pig.nga.pow.2</t>
  </si>
  <si>
    <t>irn.mit.pig.co2e.nga.pow.2</t>
  </si>
  <si>
    <t>irn.mit.eff.price.ecy.ind.2</t>
  </si>
  <si>
    <t>irn.mit.eff_price_.all.ecy.all.usdkwh.2</t>
  </si>
  <si>
    <t>irn.mit.sup.cost.ecy.ind.2</t>
  </si>
  <si>
    <t>irn.mit.sup_cost_.all.ecy.all.usdkwh.2</t>
  </si>
  <si>
    <t>irn.mit.airpol.cost.ecy.ind.2</t>
  </si>
  <si>
    <t>irn.mit.airpol_cost_.all.ecy.all.usdkwh.2</t>
  </si>
  <si>
    <t>irn.mit.scc.cost.ecy.ind.2</t>
  </si>
  <si>
    <t>irn.mit.scc_cost_.all.ecy.all.usdkwh.2</t>
  </si>
  <si>
    <t>irn.mit.vat.cost.ecy.ind.2</t>
  </si>
  <si>
    <t>irn.mit.vat_cost_.all.ecy.all.usdkwh.2</t>
  </si>
  <si>
    <t>irn.mit.rp.ecy.ind.2</t>
  </si>
  <si>
    <t>irn.mit.rp_ecy_.all.ecy.all.usdkwh.2</t>
  </si>
  <si>
    <t>irn.mit.tgap.ecy.ind.2</t>
  </si>
  <si>
    <t>irn.mit.tgap_ecy_.all.ecy.all.usdkwh.2</t>
  </si>
  <si>
    <t>irn.mit.txo_ind_.all.ecy.all.usdkwh.1</t>
  </si>
  <si>
    <t>irn.mit.txo.co2e.ecy.ind.1</t>
  </si>
  <si>
    <t>irn.mit.txo_co2e_.all.ecy.all.usdtonco2.1</t>
  </si>
  <si>
    <t>irn.mit.pig.ecy.ind.2</t>
  </si>
  <si>
    <t>irn.mit.pig_ecy_.all.ecy.all.usdkwh.2</t>
  </si>
  <si>
    <t>irn.mit.pig.co2e.ecy.ind.2</t>
  </si>
  <si>
    <t>irn.mit.pig_co2e_.all.ecy.all.usdtonco2.2</t>
  </si>
  <si>
    <t>irn.mit.eff.price.ecy.res.2</t>
  </si>
  <si>
    <t>irn.mit.airpol.cost.ecy.res.2</t>
  </si>
  <si>
    <t>irn.mit.scc.cost.ecy.res.2</t>
  </si>
  <si>
    <t>irn.mit.vat.cost.ecy.res.2</t>
  </si>
  <si>
    <t>irn.mit.rp.ecy.res.2</t>
  </si>
  <si>
    <t>irn.mit.tgap.ecy.res.2</t>
  </si>
  <si>
    <t>irn.mit.txo_res_.all.ecy.all.usdkwh.1</t>
  </si>
  <si>
    <t>irn.mit.txo.co2e.ecy.res.1</t>
  </si>
  <si>
    <t>irn.mit.pig.ecy.res.2</t>
  </si>
  <si>
    <t>irn.mit.pig.co2e.ecy.res.2</t>
  </si>
  <si>
    <t>irn.mit.pig.co2e.all.all.1</t>
  </si>
  <si>
    <t>irn.mit.pig_co2e_.all.all.all.usdtonco2.1</t>
  </si>
  <si>
    <t>irn.mit.pig.co2e.all.all.2</t>
  </si>
  <si>
    <t>irn.mit.pig_co2e_.all.all.all.usdtonco2.2</t>
  </si>
  <si>
    <t>Air pollution Pigouvian tax CO2 equivalent, all, gso</t>
  </si>
  <si>
    <t>irn.mit.app.gso.all.2</t>
  </si>
  <si>
    <t>irn.mit.app_co2e_.all.gso.all.usdtonco2.2</t>
  </si>
  <si>
    <t>Air pollution Pigouvian tax CO2 equivalent, all, die</t>
  </si>
  <si>
    <t>irn.mit.app.die.all.2</t>
  </si>
  <si>
    <t>irn.mit.app_co2e_.all.die.all.usdtonco2.2</t>
  </si>
  <si>
    <t>Air pollution Pigouvian tax CO2 equivalent, all, lpg</t>
  </si>
  <si>
    <t>irn.mit.app.lpg.all.2</t>
  </si>
  <si>
    <t>irn.mit.app_co2e_.all.lpg.all.usdtonco2.2</t>
  </si>
  <si>
    <t>Air pollution Pigouvian tax CO2 equivalent, all, ker</t>
  </si>
  <si>
    <t>irn.mit.app.ker.all.2</t>
  </si>
  <si>
    <t>irn.mit.app_co2e_.all.ker.all.usdtonco2.2</t>
  </si>
  <si>
    <t>Air pollution Pigouvian tax CO2 equivalent, ind, coa</t>
  </si>
  <si>
    <t>irn.mit.app.coa.ind.2</t>
  </si>
  <si>
    <t>irn.mit.app_co2e_.all.coa.all.usdtonco2.2</t>
  </si>
  <si>
    <t>Air pollution Pigouvian tax CO2 equivalent, res, coa</t>
  </si>
  <si>
    <t>irn.mit.app.coa.res.2</t>
  </si>
  <si>
    <t>Air pollution Pigouvian tax CO2 equivalent, pow, coa</t>
  </si>
  <si>
    <t>irn.mit.app.coa.pow.2</t>
  </si>
  <si>
    <t>Air pollution Pigouvian tax CO2 equivalent, ind, nga</t>
  </si>
  <si>
    <t>irn.mit.app.nga.ind.2</t>
  </si>
  <si>
    <t>irn.mit.app_co2e_.all.nga.all.usdtonco2.2</t>
  </si>
  <si>
    <t>Air pollution Pigouvian tax CO2 equivalent, res, nga</t>
  </si>
  <si>
    <t>irn.mit.app.nga.res.2</t>
  </si>
  <si>
    <t>Air pollution Pigouvian tax CO2 equivalent, pow, nga</t>
  </si>
  <si>
    <t>irn.mit.app.nga.pow.2</t>
  </si>
  <si>
    <t>irn.mit.app.co2e.all.all.1</t>
  </si>
  <si>
    <t>irn.mit.app_co2e_.all.all.all.usdtonco2.1</t>
  </si>
  <si>
    <t>irn.mit.app.co2e.all.all.2</t>
  </si>
  <si>
    <t>irn.mit.app_co2e_.all.all.all.usdtonco2.2</t>
  </si>
  <si>
    <t>irn.mit.scc.1</t>
  </si>
  <si>
    <t>irn.mit.sel_scc_.all.all.all.usdtonco2.1</t>
  </si>
  <si>
    <t>irn.mit.ener.con.tot.1</t>
  </si>
  <si>
    <t>irn.mit.ener_all.all.all.all.ktoe.1</t>
  </si>
  <si>
    <t>irn.mit.ener.con.coa.1</t>
  </si>
  <si>
    <t>irn.mit.ener_f.all.coa.all.ktoe.1</t>
  </si>
  <si>
    <t>irn.mit.ener.con.nga.1</t>
  </si>
  <si>
    <t>irn.mit.ener_f.all.nga.all.ktoe.1</t>
  </si>
  <si>
    <t>irn.mit.ener.con.oop.1</t>
  </si>
  <si>
    <t>irn.mit.ener_f.all.oop.all.ktoe.1</t>
  </si>
  <si>
    <t>irn.mit.ener.con.gso.1</t>
  </si>
  <si>
    <t>irn.mit.ener_f.all.gso.all.ktoe.1</t>
  </si>
  <si>
    <t>irn.mit.ener.con.die.1</t>
  </si>
  <si>
    <t>irn.mit.ener_f.all.die.all.ktoe.1</t>
  </si>
  <si>
    <t>irn.mit.ener.con.lpg.1</t>
  </si>
  <si>
    <t>irn.mit.ener_f.all.lpg.all.ktoe.1</t>
  </si>
  <si>
    <t>irn.mit.ener.con.ker.1</t>
  </si>
  <si>
    <t>irn.mit.ener_f.all.ker.all.ktoe.1</t>
  </si>
  <si>
    <t>irn.mit.ener.con.nuc.1</t>
  </si>
  <si>
    <t>irn.mit.ener_f.all.nuc.all.ktoe.1</t>
  </si>
  <si>
    <t>irn.mit.ener.con.rnw.1</t>
  </si>
  <si>
    <t>irn.mit.ener_f.all.rnw.all.ktoe.1</t>
  </si>
  <si>
    <t>irn.mit.ener.con.bio.1</t>
  </si>
  <si>
    <t>irn.mit.ener_f.all.bio.all.ktoe.1</t>
  </si>
  <si>
    <t>irn.mit.ener.con.tot.2</t>
  </si>
  <si>
    <t>irn.mit.ener_all.all.tot.all.ktoe.2</t>
  </si>
  <si>
    <t>irn.mit.ener.con.coa.2</t>
  </si>
  <si>
    <t>irn.mit.ener_f.all.coa.all.ktoe.2</t>
  </si>
  <si>
    <t>irn.mit.ener.con.nga.2</t>
  </si>
  <si>
    <t>irn.mit.ener_f.all.nga.all.ktoe.2</t>
  </si>
  <si>
    <t>irn.mit.ener.con.oop.2</t>
  </si>
  <si>
    <t>irn.mit.ener_f.all.oop.all.ktoe.2</t>
  </si>
  <si>
    <t>irn.mit.ener.con.gso.2</t>
  </si>
  <si>
    <t>irn.mit.ener_f.all.gso.all.ktoe.2</t>
  </si>
  <si>
    <t>irn.mit.ener.con.die.2</t>
  </si>
  <si>
    <t>irn.mit.ener_f.all.die.all.ktoe.2</t>
  </si>
  <si>
    <t>irn.mit.ener.con.lpg.2</t>
  </si>
  <si>
    <t>irn.mit.ener_f.all.lpg.all.ktoe.2</t>
  </si>
  <si>
    <t>irn.mit.ener.con.ker.2</t>
  </si>
  <si>
    <t>irn.mit.ener_f.all.ker.all.ktoe.2</t>
  </si>
  <si>
    <t>irn.mit.ener.con.nuc.2</t>
  </si>
  <si>
    <t>irn.mit.ener_f.all.nuc.all.ktoe.2</t>
  </si>
  <si>
    <t>irn.mit.ener.con.rnw.2</t>
  </si>
  <si>
    <t>irn.mit.ener_f.all.rnw.all.ktoe.2</t>
  </si>
  <si>
    <t>irn.mit.ener.con.bio.2</t>
  </si>
  <si>
    <t>irn.mit.ener_f.all.bio.all.ktoe.2</t>
  </si>
  <si>
    <t>irn.mit.ener_s-f.all.coa.all.ktoe.1</t>
  </si>
  <si>
    <t>irn.mit.ener.coa.pow.1</t>
  </si>
  <si>
    <t>irn.mit.ener_s.all.coa.all.ktoe.1</t>
  </si>
  <si>
    <t>irn.mit.ener.coa.tra.1</t>
  </si>
  <si>
    <t>irn.mit.ener.coa.res.1</t>
  </si>
  <si>
    <t>irn.mit.ener.coa.ind.1</t>
  </si>
  <si>
    <t>irn.mit.ener.coa.oen.1</t>
  </si>
  <si>
    <t>irn.mit.ener_s-f.all.nga.all.ktoe.1</t>
  </si>
  <si>
    <t>irn.mit.ener.nga.pow.1</t>
  </si>
  <si>
    <t>irn.mit.ener_s.all.nga.all.ktoe.1</t>
  </si>
  <si>
    <t>irn.mit.ener.nga.tra.1</t>
  </si>
  <si>
    <t>irn.mit.ener.nga.res.1</t>
  </si>
  <si>
    <t>irn.mit.ener.nga.ind.1</t>
  </si>
  <si>
    <t>irn.mit.ener.nga.oen.1</t>
  </si>
  <si>
    <t>irn.mit.ener_s-f.all.gso.all.ktoe.1</t>
  </si>
  <si>
    <t>irn.mit.ener.gso.pow.1</t>
  </si>
  <si>
    <t>irn.mit.ener_s.all.gso.all.ktoe.1</t>
  </si>
  <si>
    <t>irn.mit.ener.gso.tra.1</t>
  </si>
  <si>
    <t>irn.mit.ener.gso.res.1</t>
  </si>
  <si>
    <t>irn.mit.ener.gso.ind.1</t>
  </si>
  <si>
    <t>irn.mit.ener.gso.oen.1</t>
  </si>
  <si>
    <t>irn.mit.ener_s-f.all.die.all.ktoe.1</t>
  </si>
  <si>
    <t>irn.mit.ener.die.pow.1</t>
  </si>
  <si>
    <t>irn.mit.ener_s.all.die.all.ktoe.1</t>
  </si>
  <si>
    <t>irn.mit.ener.die.tra.1</t>
  </si>
  <si>
    <t>irn.mit.ener.die.res.1</t>
  </si>
  <si>
    <t>irn.mit.ener.die.ind.1</t>
  </si>
  <si>
    <t>irn.mit.ener.die.oen.1</t>
  </si>
  <si>
    <t>irn.mit.ener_s-f.all.lpg.all.ktoe.1</t>
  </si>
  <si>
    <t>irn.mit.ener.lpg.pow.1</t>
  </si>
  <si>
    <t>irn.mit.ener_s.all.lpg.all.ktoe.1</t>
  </si>
  <si>
    <t>irn.mit.ener.lpg.tra.1</t>
  </si>
  <si>
    <t>irn.mit.ener.lpg.res.1</t>
  </si>
  <si>
    <t>irn.mit.ener.lpg.ind.1</t>
  </si>
  <si>
    <t>irn.mit.ener.lpg.oen.1</t>
  </si>
  <si>
    <t>irn.mit.ener_s-f.all.ker.all.ktoe.1</t>
  </si>
  <si>
    <t>irn.mit.ener.ker.pow.1</t>
  </si>
  <si>
    <t>irn.mit.ener_s.all.ker.all.ktoe.1</t>
  </si>
  <si>
    <t>irn.mit.ener.ker.tra.1</t>
  </si>
  <si>
    <t>irn.mit.ener.ker.res.1</t>
  </si>
  <si>
    <t>irn.mit.ener.ker.ind.1</t>
  </si>
  <si>
    <t>irn.mit.ener.ker.oen.1</t>
  </si>
  <si>
    <t>irn.mit.ener_s-f.all.oop.all.ktoe.1</t>
  </si>
  <si>
    <t>irn.mit.ener.oop.pow.1</t>
  </si>
  <si>
    <t>irn.mit.ener_s.all.oop.all.ktoe.1</t>
  </si>
  <si>
    <t>irn.mit.ener.oop.tra.1</t>
  </si>
  <si>
    <t>irn.mit.ener.oop.res.1</t>
  </si>
  <si>
    <t>irn.mit.ener.oop.ind.1</t>
  </si>
  <si>
    <t>irn.mit.ener.oop.oen.1</t>
  </si>
  <si>
    <t>irn.mit.ener.tot.tot.1</t>
  </si>
  <si>
    <t>irn.mit.ener_all.all.tot.all.ktoe.1</t>
  </si>
  <si>
    <t>irn.mit.ener_s-f.all.bio.all.ktoe.1</t>
  </si>
  <si>
    <t>irn.mit.ener.bio.pow.1</t>
  </si>
  <si>
    <t>irn.mit.ener_s.all.bio.all.ktoe.1</t>
  </si>
  <si>
    <t>irn.mit.ener.bio.tra.1</t>
  </si>
  <si>
    <t>irn.mit.ener.bio.res.1</t>
  </si>
  <si>
    <t>irn.mit.ener.bio.ind.1</t>
  </si>
  <si>
    <t>irn.mit.ener.bio.oen.1</t>
  </si>
  <si>
    <t>irn.mit.ener_total.all.all.all.ktoe.1</t>
  </si>
  <si>
    <t>irn.mit.ener.con.nrn.1</t>
  </si>
  <si>
    <t>irn.mit.ener_f.all.nrn.all.ktoe.1</t>
  </si>
  <si>
    <t>irn.mit.ener.coa.pow.2</t>
  </si>
  <si>
    <t>irn.mit.ener.coa.tra.2</t>
  </si>
  <si>
    <t>irn.mit.ener.coa.res.2</t>
  </si>
  <si>
    <t>irn.mit.ener.coa.ind.2</t>
  </si>
  <si>
    <t>irn.mit.ener_s.all.coa.all.ktoe.2</t>
  </si>
  <si>
    <t>irn.mit.ener.coa.oen.2</t>
  </si>
  <si>
    <t>irn.mit.ener_s-f.all.nga.all.ktoe.2</t>
  </si>
  <si>
    <t>irn.mit.ener.nga.pow.2</t>
  </si>
  <si>
    <t>irn.mit.ener_s.all.nga.all.ktoe.2</t>
  </si>
  <si>
    <t>irn.mit.ener.nga.tra.2</t>
  </si>
  <si>
    <t>irn.mit.ener.nga.res.2</t>
  </si>
  <si>
    <t>irn.mit.ener.nga.ind.2</t>
  </si>
  <si>
    <t>irn.mit.ener.nga.oen.2</t>
  </si>
  <si>
    <t>irn.mit.ener_s-f.all.gso.all.ktoe.2</t>
  </si>
  <si>
    <t>irn.mit.ener.gso.pow.2</t>
  </si>
  <si>
    <t>irn.mit.ener_s.all.gso.all.ktoe.2</t>
  </si>
  <si>
    <t>irn.mit.ener.gso.tra.2</t>
  </si>
  <si>
    <t>irn.mit.ener.gso.res.2</t>
  </si>
  <si>
    <t>irn.mit.ener.gso.ind.2</t>
  </si>
  <si>
    <t>irn.mit.ener.gso.oen.2</t>
  </si>
  <si>
    <t>irn.mit.ener_s-f.all.die.all.ktoe.2</t>
  </si>
  <si>
    <t>irn.mit.ener.die.pow.2</t>
  </si>
  <si>
    <t>irn.mit.ener_s.all.die.all.ktoe.2</t>
  </si>
  <si>
    <t>irn.mit.ener.die.tra.2</t>
  </si>
  <si>
    <t>irn.mit.ener.die.res.2</t>
  </si>
  <si>
    <t>irn.mit.ener.die.ind.2</t>
  </si>
  <si>
    <t>irn.mit.ener.die.oen.2</t>
  </si>
  <si>
    <t>irn.mit.ener_s-f.all.lpg.all.ktoe.2</t>
  </si>
  <si>
    <t>irn.mit.ener.lpg.pow.2</t>
  </si>
  <si>
    <t>irn.mit.ener_s.all.lpg.all.ktoe.2</t>
  </si>
  <si>
    <t>irn.mit.ener.lpg.tra.2</t>
  </si>
  <si>
    <t>irn.mit.ener.lpg.res.2</t>
  </si>
  <si>
    <t>irn.mit.ener.lpg.ind.2</t>
  </si>
  <si>
    <t>irn.mit.ener.lpg.oen.2</t>
  </si>
  <si>
    <t>irn.mit.ener_s-f.all.ker.all.ktoe.2</t>
  </si>
  <si>
    <t>irn.mit.ener.ker.pow.2</t>
  </si>
  <si>
    <t>irn.mit.ener_s.all.ker.all.ktoe.2</t>
  </si>
  <si>
    <t>irn.mit.ener.ker.tra.2</t>
  </si>
  <si>
    <t>irn.mit.ener.ker.res.2</t>
  </si>
  <si>
    <t>irn.mit.ener.ker.ind.2</t>
  </si>
  <si>
    <t>irn.mit.ener.ker.oen.2</t>
  </si>
  <si>
    <t>irn.mit.ener_s-f.all.oop.all.ktoe.2</t>
  </si>
  <si>
    <t>irn.mit.ener.oop.pow.2</t>
  </si>
  <si>
    <t>irn.mit.ener_s.all.oop.all.ktoe.2</t>
  </si>
  <si>
    <t>irn.mit.ener.oop.tra.2</t>
  </si>
  <si>
    <t>irn.mit.ener.oop.res.2</t>
  </si>
  <si>
    <t>irn.mit.ener.oop.ind.2</t>
  </si>
  <si>
    <t>irn.mit.ener.oop.oen.2</t>
  </si>
  <si>
    <t>irn.mit.ener.tot.tot.2</t>
  </si>
  <si>
    <t>irn.mit.ener_s-f.all.bio.all.ktoe.2</t>
  </si>
  <si>
    <t>irn.mit.ener.bio.pow.2</t>
  </si>
  <si>
    <t>irn.mit.ener_s.all.bio.all.ktoe.2</t>
  </si>
  <si>
    <t>irn.mit.ener.bio.tra.2</t>
  </si>
  <si>
    <t>irn.mit.ener.bio.res.2</t>
  </si>
  <si>
    <t>irn.mit.ener.bio.ind.2</t>
  </si>
  <si>
    <t>irn.mit.ener.bio.oen.2</t>
  </si>
  <si>
    <t>irn.mit.ener_f.all.all.all.ktoe.2</t>
  </si>
  <si>
    <t>irn.mit.ener.con.nrn.2</t>
  </si>
  <si>
    <t>irn.mit.ener_f.all.nrn.all.ktoe.2</t>
  </si>
  <si>
    <t>irn.mit.elec.twh.tot.1</t>
  </si>
  <si>
    <t>irn.mit.elec_all.all.all.all.twh.1</t>
  </si>
  <si>
    <t>irn.mit.elec.twh.coa.1</t>
  </si>
  <si>
    <t>irn.mit.elec_f.all.coa.all.twh.1</t>
  </si>
  <si>
    <t>irn.mit.elec.twh.nga.1</t>
  </si>
  <si>
    <t>irn.mit.elec_f.all.nga.all.twh.1</t>
  </si>
  <si>
    <t>irn.mit.elec.twh.oop.1</t>
  </si>
  <si>
    <t>irn.mit.elec_f.all.oop.all.twh.1</t>
  </si>
  <si>
    <t>irn.mit.elec.twh.nuc.1</t>
  </si>
  <si>
    <t>irn.mit.elec_f.all.nuc.all.twh.1</t>
  </si>
  <si>
    <t>irn.mit.elec.twh.wnd.1</t>
  </si>
  <si>
    <t>irn.mit.elec_f.all.wnd.all.twh.1</t>
  </si>
  <si>
    <t>irn.mit.elec.twh.sol.1</t>
  </si>
  <si>
    <t>irn.mit.elec_f.all.sol.all.twh.1</t>
  </si>
  <si>
    <t>irn.mit.elec.twh.hyd.1</t>
  </si>
  <si>
    <t>irn.mit.elec_f.all.hyd.all.twh.1</t>
  </si>
  <si>
    <t>irn.mit.elec.twh.ore.1</t>
  </si>
  <si>
    <t>irn.mit.elec_f.all.ore.all.twh.1</t>
  </si>
  <si>
    <t>irn.mit.elec.twh.bio.1</t>
  </si>
  <si>
    <t>irn.mit.elec_f.all.bio.all.twh.1</t>
  </si>
  <si>
    <t>irn.mit.elec.twh.ren.1</t>
  </si>
  <si>
    <t>irn.mit.elec_f.all.ren.all.twh.1</t>
  </si>
  <si>
    <t>irn.mit.elec.twh.tot.2</t>
  </si>
  <si>
    <t>irn.mit.elec_all.all.all.all.twh.2</t>
  </si>
  <si>
    <t>irn.mit.elec.twh.coa.2</t>
  </si>
  <si>
    <t>irn.mit.elec_f.all.coa.all.twh.2</t>
  </si>
  <si>
    <t>irn.mit.elec.twh.nga.2</t>
  </si>
  <si>
    <t>irn.mit.elec_f.all.nga.all.twh.2</t>
  </si>
  <si>
    <t>irn.mit.elec.twh.oop.2</t>
  </si>
  <si>
    <t>irn.mit.elec_f.all.oop.all.twh.2</t>
  </si>
  <si>
    <t>irn.mit.elec.twh.nuc.2</t>
  </si>
  <si>
    <t>irn.mit.elec_f.all.nuc.all.twh.2</t>
  </si>
  <si>
    <t>irn.mit.elec.twh.wnd.2</t>
  </si>
  <si>
    <t>irn.mit.elec_f.all.wnd.all.twh.2</t>
  </si>
  <si>
    <t>irn.mit.elec.twh.sol.2</t>
  </si>
  <si>
    <t>irn.mit.elec_f.all.sol.all.twh.2</t>
  </si>
  <si>
    <t>irn.mit.elec.twh.hyd.2</t>
  </si>
  <si>
    <t>irn.mit.elec_f.all.hyd.all.twh.2</t>
  </si>
  <si>
    <t>irn.mit.elec.twh.ore.2</t>
  </si>
  <si>
    <t>irn.mit.elec_f.all.ore.all.twh.2</t>
  </si>
  <si>
    <t>irn.mit.elec.twh.bio.2</t>
  </si>
  <si>
    <t>irn.mit.elec_f.all.bio.all.twh.2</t>
  </si>
  <si>
    <t>irn.mit.elec.twh.ren.2</t>
  </si>
  <si>
    <t>irn.mit.elec_f.all.ren.all.twh.2</t>
  </si>
  <si>
    <t>irn.mit.ener.tot.rod.</t>
  </si>
  <si>
    <t>irn.mit.ener_s.e.tot.all.ktoe.2</t>
  </si>
  <si>
    <t>irn.mit.ener.rod.coa.e.2</t>
  </si>
  <si>
    <t>irn.mit.ener_g-f.e.coa.e.ktoe.2</t>
  </si>
  <si>
    <t>irn.mit.ener.rod.nga.e.2</t>
  </si>
  <si>
    <t>irn.mit.ener_g-f.e.nga.all.ktoe.2</t>
  </si>
  <si>
    <t>irn.mit.ener.rod.gso.e.2</t>
  </si>
  <si>
    <t>irn.mit.ener_g-f.e.gso.all.ktoe.2</t>
  </si>
  <si>
    <t>irn.mit.ener.rod.die.e.2</t>
  </si>
  <si>
    <t>irn.mit.ener_g-f.e.die.all.ktoe.2</t>
  </si>
  <si>
    <t>irn.mit.ener.rod.lpg.e.2</t>
  </si>
  <si>
    <t>irn.mit.ener_g-f.e.lpg.all.ktoe.2</t>
  </si>
  <si>
    <t>irn.mit.ener.rod.ker.e.2</t>
  </si>
  <si>
    <t>irn.mit.ener_g-f.e.ker.all.ktoe.2</t>
  </si>
  <si>
    <t>irn.mit.ener.rod.oop.e.2</t>
  </si>
  <si>
    <t>irn.mit.ener_g-f.e.oop.all.ktoe.2</t>
  </si>
  <si>
    <t>irn.mit.ener.rod.bio.e.2</t>
  </si>
  <si>
    <t>irn.mit.ener_g-f.e.bio.all.ktoe.2</t>
  </si>
  <si>
    <t>irn.mit.ener.rod.obf.e.2</t>
  </si>
  <si>
    <t>irn.mit.ener_g-f.e.ren.all.ktoe.2</t>
  </si>
  <si>
    <t>irn.mit.ener.ral.coa.e.2</t>
  </si>
  <si>
    <t>irn.mit.ener_g-f.e.coa.all.ktoe.2</t>
  </si>
  <si>
    <t>irn.mit.ener.ral.nga.e.2</t>
  </si>
  <si>
    <t>irn.mit.ener.ral.gso.e.2</t>
  </si>
  <si>
    <t>irn.mit.ener.ral.die.e.2</t>
  </si>
  <si>
    <t>irn.mit.ener.ral.lpg.e.2</t>
  </si>
  <si>
    <t>irn.mit.ener.ral.ker.e.2</t>
  </si>
  <si>
    <t>irn.mit.ener.ral.oop.e.2</t>
  </si>
  <si>
    <t>irn.mit.ener.ral.bio.e.2</t>
  </si>
  <si>
    <t>irn.mit.ener.ral.ren.e.2</t>
  </si>
  <si>
    <t>irn.mit.ener.nav.coa.e.2</t>
  </si>
  <si>
    <t>irn.mit.ener.nav.nga.e.2</t>
  </si>
  <si>
    <t>irn.mit.ener.nav.gso.e.2</t>
  </si>
  <si>
    <t>irn.mit.ener.nav.die.e.2</t>
  </si>
  <si>
    <t>irn.mit.ener.nav.lpg.e.2</t>
  </si>
  <si>
    <t>irn.mit.ener.nav.ker.e.2</t>
  </si>
  <si>
    <t>irn.mit.ener.nav.oop.e.2</t>
  </si>
  <si>
    <t>irn.mit.ener.nav.bio.e.2</t>
  </si>
  <si>
    <t>irn.mit.ener.nav.ren.e.2</t>
  </si>
  <si>
    <t>irn.mit.ener.avi.coa.e.2</t>
  </si>
  <si>
    <t>irn.mit.ener.avi.nga.e.2</t>
  </si>
  <si>
    <t>irn.mit.ener.avi.gso.e.2</t>
  </si>
  <si>
    <t>irn.mit.ener.avi.die.e.2</t>
  </si>
  <si>
    <t>irn.mit.ener.avi.lpg.e.2</t>
  </si>
  <si>
    <t>irn.mit.ener.avi.ker.e.2</t>
  </si>
  <si>
    <t>irn.mit.ener.avi.oop.e.2</t>
  </si>
  <si>
    <t>irn.mit.ener.avi.bio.e.2</t>
  </si>
  <si>
    <t>irn.mit.ener.avi.ren.e.2</t>
  </si>
  <si>
    <t>irn.mit.ener.avi.jfu.e.2</t>
  </si>
  <si>
    <t>irn.mit.ener_g-f.e.jfu.all.ktoe.2</t>
  </si>
  <si>
    <t>irn.mit.ener.bld.tot.e.2</t>
  </si>
  <si>
    <t>irn.mit.ener.res.coa.e.2</t>
  </si>
  <si>
    <t>irn.mit.ener.res.nga.e.2</t>
  </si>
  <si>
    <t>irn.mit.ener.res.gso.e.2</t>
  </si>
  <si>
    <t>irn.mit.ener.res.die.e.2</t>
  </si>
  <si>
    <t>irn.mit.ener.res.lpg.e.2</t>
  </si>
  <si>
    <t>irn.mit.ener.res.ker.e.2</t>
  </si>
  <si>
    <t>irn.mit.ener.res.oop.e.2</t>
  </si>
  <si>
    <t>irn.mit.ener.res.bio.e.2</t>
  </si>
  <si>
    <t>irn.mit.ener.res.ren.e.2</t>
  </si>
  <si>
    <t>irn.mit.ener.foo.coa.e.2</t>
  </si>
  <si>
    <t>irn.mit.ener.foo.nga.e.2</t>
  </si>
  <si>
    <t>irn.mit.ener.foo.gso.e.2</t>
  </si>
  <si>
    <t>irn.mit.ener.foo.die.e.2</t>
  </si>
  <si>
    <t>irn.mit.ener.foo.lpg.e.2</t>
  </si>
  <si>
    <t>irn.mit.ener.foo.ker.e.2</t>
  </si>
  <si>
    <t>irn.mit.ener.foo.oop.e.2</t>
  </si>
  <si>
    <t>irn.mit.ener.foo.bio.e.2</t>
  </si>
  <si>
    <t>irn.mit.ener.foo.ren.e.2</t>
  </si>
  <si>
    <t>irn.mit.ener.srv.coa.e.2</t>
  </si>
  <si>
    <t>irn.mit.ener.srv.nga.e.2</t>
  </si>
  <si>
    <t>irn.mit.ener.srv.gso.e.2</t>
  </si>
  <si>
    <t>irn.mit.ener.srv.die.e.2</t>
  </si>
  <si>
    <t>irn.mit.ener.srv.lpg.e.2</t>
  </si>
  <si>
    <t>irn.mit.ener.srv.ker.e.2</t>
  </si>
  <si>
    <t>irn.mit.ener.srv.oop.e.2</t>
  </si>
  <si>
    <t>irn.mit.ener.srv.bio.e.2</t>
  </si>
  <si>
    <t>irn.mit.ener.srv.ren.e.2</t>
  </si>
  <si>
    <t>irn.mit.ener.ind.tot.e.2</t>
  </si>
  <si>
    <t>irn.mit.ener.mch.coa.e.2</t>
  </si>
  <si>
    <t>irn.mit.ener.mch.nga.e.2</t>
  </si>
  <si>
    <t>irn.mit.ener.mch.gso.e.2</t>
  </si>
  <si>
    <t>irn.mit.ener.mch.die.e.2</t>
  </si>
  <si>
    <t>irn.mit.ener.mch.lpg.e.2</t>
  </si>
  <si>
    <t>irn.mit.ener.mch.ker.e.2</t>
  </si>
  <si>
    <t>irn.mit.ener.mch.oop.e.2</t>
  </si>
  <si>
    <t>irn.mit.ener.mch.bio.e.2</t>
  </si>
  <si>
    <t>irn.mit.ener.mch.ren.e.2</t>
  </si>
  <si>
    <t>irn.mit.ener.irn.coa.e.2</t>
  </si>
  <si>
    <t>irn.mit.ener.irn.nga.e.2</t>
  </si>
  <si>
    <t>irn.mit.ener.irn.gso.e.2</t>
  </si>
  <si>
    <t>irn.mit.ener.irn.die.e.2</t>
  </si>
  <si>
    <t>irn.mit.ener.irn.lpg.e.2</t>
  </si>
  <si>
    <t>irn.mit.ener.irn.ker.e.2</t>
  </si>
  <si>
    <t>irn.mit.ener.irn.oop.e.2</t>
  </si>
  <si>
    <t>irn.mit.ener.irn.bio.e.2</t>
  </si>
  <si>
    <t>irn.mit.ener.irn.ren.e.2</t>
  </si>
  <si>
    <t>irn.mit.ener.nfm.coa.e.2</t>
  </si>
  <si>
    <t>irn.mit.ener.nfm.nga.e.2</t>
  </si>
  <si>
    <t>irn.mit.ener.nfm.gso.e.2</t>
  </si>
  <si>
    <t>irn.mit.ener.nfm.die.e.2</t>
  </si>
  <si>
    <t>irn.mit.ener.nfm.lpg.e.2</t>
  </si>
  <si>
    <t>irn.mit.ener.nfm.ker.e.2</t>
  </si>
  <si>
    <t>irn.mit.ener.nfm.oop.e.2</t>
  </si>
  <si>
    <t>irn.mit.ener.nfm.bio.e.2</t>
  </si>
  <si>
    <t>irn.mit.ener.nfm.ren.e.2</t>
  </si>
  <si>
    <t>irn.mit.ener.mac.coa.e.2</t>
  </si>
  <si>
    <t>irn.mit.ener.mac.nga.e.2</t>
  </si>
  <si>
    <t>irn.mit.ener.mac.gso.e.2</t>
  </si>
  <si>
    <t>irn.mit.ener.mac.die.e.2</t>
  </si>
  <si>
    <t>irn.mit.ener.mac.lpg.e.2</t>
  </si>
  <si>
    <t>irn.mit.ener.mac.ker.e.2</t>
  </si>
  <si>
    <t>irn.mit.ener.mac.oop.e.2</t>
  </si>
  <si>
    <t>irn.mit.ener.mac.bio.e.2</t>
  </si>
  <si>
    <t>irn.mit.ener.mac.ren.e.2</t>
  </si>
  <si>
    <t>irn.mit.ener.cem.coa.e.2</t>
  </si>
  <si>
    <t>irn.mit.ener.cem.nga.e.2</t>
  </si>
  <si>
    <t>irn.mit.ener.cem.gso.e.2</t>
  </si>
  <si>
    <t>irn.mit.ener.cem.die.e.2</t>
  </si>
  <si>
    <t>irn.mit.ener.cem.lpg.e.2</t>
  </si>
  <si>
    <t>irn.mit.ener.cem.ker.e.2</t>
  </si>
  <si>
    <t>irn.mit.ener.cem.oop.e.2</t>
  </si>
  <si>
    <t>irn.mit.ener.cem.bio.e.2</t>
  </si>
  <si>
    <t>irn.mit.ener.cem.ren.e.2</t>
  </si>
  <si>
    <t>irn.mit.ener.omn.coa.e.2</t>
  </si>
  <si>
    <t>irn.mit.ener.omn.nga.e.2</t>
  </si>
  <si>
    <t>irn.mit.ener.omn.gso.e.2</t>
  </si>
  <si>
    <t>irn.mit.ener.omn.die.e.2</t>
  </si>
  <si>
    <t>irn.mit.ener.omn.lpg.e.2</t>
  </si>
  <si>
    <t>irn.mit.ener.omn.ker.e.2</t>
  </si>
  <si>
    <t>irn.mit.ener.omn.oop.e.2</t>
  </si>
  <si>
    <t>irn.mit.ener.omn.bio.e.2</t>
  </si>
  <si>
    <t>irn.mit.ener.omn.ren.e.2</t>
  </si>
  <si>
    <t>irn.mit.ener.cst.coa.e.2</t>
  </si>
  <si>
    <t>irn.mit.ener.cst.nga.e.2</t>
  </si>
  <si>
    <t>irn.mit.ener.cst.gso.e.2</t>
  </si>
  <si>
    <t>irn.mit.ener.cst.die.e.2</t>
  </si>
  <si>
    <t>irn.mit.ener.cst.lpg.e.2</t>
  </si>
  <si>
    <t>irn.mit.ener.cst.ker.e.2</t>
  </si>
  <si>
    <t>irn.mit.ener.cst.oop.e.2</t>
  </si>
  <si>
    <t>irn.mit.ener.cst.bio.e.2</t>
  </si>
  <si>
    <t>irn.mit.ener.cst.ren.e.2</t>
  </si>
  <si>
    <t>irn.mit.ener.ftr.coa.e.2</t>
  </si>
  <si>
    <t>irn.mit.ener.ftr.nga.e.2</t>
  </si>
  <si>
    <t>irn.mit.ener.ftr.gso.e.2</t>
  </si>
  <si>
    <t>irn.mit.ener.ftr.die.e.2</t>
  </si>
  <si>
    <t>irn.mit.ener.ftr.lpg.e.2</t>
  </si>
  <si>
    <t>irn.mit.ener.ftr.ker.e.2</t>
  </si>
  <si>
    <t>irn.mit.ener.ftr.oop.e.2</t>
  </si>
  <si>
    <t>irn.mit.ener.ftr.bio.e.2</t>
  </si>
  <si>
    <t>irn.mit.ener.ftr.ren.e.2</t>
  </si>
  <si>
    <t>irn.mit.ener.tot.ecy.t.2</t>
  </si>
  <si>
    <t>irn.mit.ener_s.t.ecy.tecy.ktoe.2</t>
  </si>
  <si>
    <t>tecy</t>
  </si>
  <si>
    <t>irn.mit.ener.rod.ecy.t.2</t>
  </si>
  <si>
    <t>irn.mit.ener_g-f.t.ecy.all.ktoe.2</t>
  </si>
  <si>
    <t>irn.mit.ener.ral.ecy.t.2</t>
  </si>
  <si>
    <t>irn.mit.ener.avi.ecy.t.2</t>
  </si>
  <si>
    <t>irn.mit.ener.nav.ecy.t.2</t>
  </si>
  <si>
    <t>irn.mit.ener.res.ecy.t.2</t>
  </si>
  <si>
    <t>irn.mit.ener.foo.ecy.t.2</t>
  </si>
  <si>
    <t>irn.mit.ener.srv.ecy.t.2</t>
  </si>
  <si>
    <t>irn.mit.ener.mch.ecy.t.2</t>
  </si>
  <si>
    <t>irn.mit.ener.irn.ecy.t.2</t>
  </si>
  <si>
    <t>irn.mit.ener.nfm.ecy.t.2</t>
  </si>
  <si>
    <t>irn.mit.ener.mac.ecy.t.2</t>
  </si>
  <si>
    <t>irn.mit.ener.cem.ecy.t.2</t>
  </si>
  <si>
    <t>irn.mit.ener.omn.ecy.t.2</t>
  </si>
  <si>
    <t>irn.mit.ener.cst.ecy.t.2</t>
  </si>
  <si>
    <t>irn.mit.ener.ftr.ecy.t.2</t>
  </si>
  <si>
    <t>irn.mit.ener.oen.ecy.t.2</t>
  </si>
  <si>
    <t>Energy consumption, electricity, net exports </t>
  </si>
  <si>
    <t>irn.mit.ener.nxp.ecy.t.2</t>
  </si>
  <si>
    <t>irn.mit.ener_s.t.ecy.all.ktoe.2</t>
  </si>
  <si>
    <t>irn.mit.ener.pow.tot.t.2</t>
  </si>
  <si>
    <t>irn.mit.ener_s.t.tot.t.ktoe.2</t>
  </si>
  <si>
    <t>irn.mit.ener.pow.coa.t.2</t>
  </si>
  <si>
    <t>irn.mit.ener_g-f.t.coa.all.ktoe.2</t>
  </si>
  <si>
    <t>irn.mit.ener.pow.nga.t.2</t>
  </si>
  <si>
    <t>irn.mit.ener_g-f.t.nga.all.ktoe.2</t>
  </si>
  <si>
    <t>irn.mit.ener.pow.oop.t.2</t>
  </si>
  <si>
    <t>irn.mit.ener_g-f.t.oop.all.ktoe.2</t>
  </si>
  <si>
    <t>irn.mit.ener.pow.nuc.t.2</t>
  </si>
  <si>
    <t>irn.mit.ener_g-f.t.nuc.all.ktoe.2</t>
  </si>
  <si>
    <t>irn.mit.ener.pow.wnd.t.2</t>
  </si>
  <si>
    <t>irn.mit.ener_g-f.t.wnd.all.ktoe.2</t>
  </si>
  <si>
    <t>irn.mit.ener.pow.sol.t.2</t>
  </si>
  <si>
    <t>irn.mit.ener_g-f.t.sol.all.ktoe.2</t>
  </si>
  <si>
    <t>irn.mit.ener.pow.hyd.t.2</t>
  </si>
  <si>
    <t>irn.mit.ener_g-f.t.hyd.all.ktoe.2</t>
  </si>
  <si>
    <t>irn.mit.ener.pow.ore.t.2</t>
  </si>
  <si>
    <t>irn.mit.ener_g-f.t.ore.all.ktoe.2</t>
  </si>
  <si>
    <t>irn.mit.ener.pow.bio.t.2</t>
  </si>
  <si>
    <t>irn.mit.ener_g-f.t.bio.all.ktoe.2</t>
  </si>
  <si>
    <t>irn.mit.ener_s.e.tot.e.ktoe.2</t>
  </si>
  <si>
    <t>irn.mit.ener.pow.coa.e.2</t>
  </si>
  <si>
    <t>irn.mit.ener.pow.nga.e.2</t>
  </si>
  <si>
    <t>irn.mit.ener.pow.oop.e.2</t>
  </si>
  <si>
    <t>irn.mit.ener.pow.nuc.e.2</t>
  </si>
  <si>
    <t>irn.mit.ener_g-f.e.nuc.all.ktoe.2</t>
  </si>
  <si>
    <t>irn.mit.ener.pow.wnd.e.2</t>
  </si>
  <si>
    <t>irn.mit.ener_g-f.e.wnd.all.ktoe.2</t>
  </si>
  <si>
    <t>irn.mit.ener.pow.sol.e.2</t>
  </si>
  <si>
    <t>irn.mit.ener_g-f.e.sol.all.ktoe.2</t>
  </si>
  <si>
    <t>irn.mit.ener.pow.hyd.e.2</t>
  </si>
  <si>
    <t>irn.mit.ener_g-f.e.hyd.all.ktoe.2</t>
  </si>
  <si>
    <t>irn.mit.ener.pow.ore.e.2</t>
  </si>
  <si>
    <t>irn.mit.ener_g-f.e.ore.all.ktoe.2</t>
  </si>
  <si>
    <t>irn.mit.ener.pow.bio.e.2</t>
  </si>
  <si>
    <t>irn.mit.ener.pow.tot.a.2</t>
  </si>
  <si>
    <t>irn.mit.ener_g-f.a.tot.a.ktoe.2</t>
  </si>
  <si>
    <t>irn.mit.ener.pow.coa.a.2</t>
  </si>
  <si>
    <t>irn.mit.ener_g-f.a.coa.all.ktoe.2</t>
  </si>
  <si>
    <t>irn.mit.ener.pow.nga.a.2</t>
  </si>
  <si>
    <t>irn.mit.ener_g-f.a.nga.all.ktoe.2</t>
  </si>
  <si>
    <t>irn.mit.ener.pow.oop.a.2</t>
  </si>
  <si>
    <t>irn.mit.ener_g-f.a.oop.all.ktoe.2</t>
  </si>
  <si>
    <t>irn.mit.ener.pow.nuc.a.2</t>
  </si>
  <si>
    <t>irn.mit.ener_g-f.a.nuc.all.ktoe.2</t>
  </si>
  <si>
    <t>irn.mit.ener.pow.wnd.a.2</t>
  </si>
  <si>
    <t>irn.mit.ener_g-f.a.wnd.all.ktoe.2</t>
  </si>
  <si>
    <t>irn.mit.ener.pow.sol.a.2</t>
  </si>
  <si>
    <t>irn.mit.ener_g-f.a.sol.all.ktoe.2</t>
  </si>
  <si>
    <t>irn.mit.ener.pow.hyd.a.2</t>
  </si>
  <si>
    <t>irn.mit.ener_g-f.a.hyd.all.ktoe.2</t>
  </si>
  <si>
    <t>irn.mit.ener.pow.ore.a.2</t>
  </si>
  <si>
    <t>irn.mit.ener_g-f.a.ore.all.ktoe.2</t>
  </si>
  <si>
    <t>irn.mit.ener.pow.bio.a.2</t>
  </si>
  <si>
    <t>irn.mit.ener_g-f.a.bio.all.ktoe.2</t>
  </si>
  <si>
    <t>irn.mit.rev_all.tot.usd.1</t>
  </si>
  <si>
    <t>irn.mit.rev.new.coa.usd.1</t>
  </si>
  <si>
    <t>irn.mit.rev_f.coa.usd.1</t>
  </si>
  <si>
    <t>irn.mit.rev.new.nga.usd.1</t>
  </si>
  <si>
    <t>irn.mit.rev_f.nga.usd.1</t>
  </si>
  <si>
    <t>irn.mit.rev.new.oil.usd.1</t>
  </si>
  <si>
    <t>irn.mit.rev_f.oil.usd.1</t>
  </si>
  <si>
    <t>irn.mit.rev.new.gso.usd.1</t>
  </si>
  <si>
    <t>irn.mit.rev_f.gso.usd.1</t>
  </si>
  <si>
    <t>irn.mit.rev.new.die.usd.1</t>
  </si>
  <si>
    <t>irn.mit.rev_f.die.usd.1</t>
  </si>
  <si>
    <t>irn.mit.rev.new.lpk.usd.1</t>
  </si>
  <si>
    <t>irn.mit.rev_f.lpk.usd.1</t>
  </si>
  <si>
    <t>irn.mit.rev_all.tot.usd.2</t>
  </si>
  <si>
    <t>irn.mit.rev.new.coa.usd.2</t>
  </si>
  <si>
    <t>irn.mit.rev_f.coa.usd.2</t>
  </si>
  <si>
    <t>irn.mit.rev.new.nga.usd.2</t>
  </si>
  <si>
    <t>irn.mit.rev_f.nga.usd.2</t>
  </si>
  <si>
    <t>irn.mit.rev.new.oil.usd.2</t>
  </si>
  <si>
    <t>irn.mit.rev_f.oil.usd.2</t>
  </si>
  <si>
    <t>irn.mit.rev.new.gso.usd.2</t>
  </si>
  <si>
    <t>irn.mit.rev_f.gso.usd.2</t>
  </si>
  <si>
    <t>irn.mit.rev.new.die.usd.2</t>
  </si>
  <si>
    <t>irn.mit.rev_f.die.usd.2</t>
  </si>
  <si>
    <t>irn.mit.rev.new.lpk.usd.2</t>
  </si>
  <si>
    <t>irn.mit.rev_f.lpk.usd.2</t>
  </si>
  <si>
    <t>irn.mit.rev.tot.usd.1</t>
  </si>
  <si>
    <t>irn.mit.rev_f.tot.usd.1</t>
  </si>
  <si>
    <t>irn.mit.rev.tot.coa.usd.1</t>
  </si>
  <si>
    <t>irn.mit.rev.tot.nga.usd.1</t>
  </si>
  <si>
    <t>irn.mit.rev.tot.oil.usd.1</t>
  </si>
  <si>
    <t>irn.mit.rev.tot.gso.usd.1</t>
  </si>
  <si>
    <t>irn.mit.rev.tot.die.usd.1</t>
  </si>
  <si>
    <t>irn.mit.rev.tot.lpk.usd.1</t>
  </si>
  <si>
    <t>irn.mit.sub.ren.usd.1</t>
  </si>
  <si>
    <t>irn.mit.sub_f.ren.usd.1</t>
  </si>
  <si>
    <t>irn.mit.rev.tot.ecy.usd.1</t>
  </si>
  <si>
    <t>irn.mit.rev_f.elec.usd.1</t>
  </si>
  <si>
    <t>irn.mit.rev.tot.usd.2</t>
  </si>
  <si>
    <t>irn.mit.rev_f.tot.usd.2</t>
  </si>
  <si>
    <t>irn.mit.rev.tot.coa.usd.2</t>
  </si>
  <si>
    <t>irn.mit.rev.tot.nga.usd.2</t>
  </si>
  <si>
    <t>irn.mit.rev.tot.oil.usd.2</t>
  </si>
  <si>
    <t>irn.mit.rev.tot.gso.usd.2</t>
  </si>
  <si>
    <t>irn.mit.rev.tot.die.usd.2</t>
  </si>
  <si>
    <t>irn.mit.rev.tot.lpk.usd.2</t>
  </si>
  <si>
    <t>irn.mit.sub.ren.usd.2</t>
  </si>
  <si>
    <t>irn.mit.sub_f.ren.usd.2</t>
  </si>
  <si>
    <t>irn.mit.rev.tot.ecy.usd.2</t>
  </si>
  <si>
    <t>irn.mit.rev_f.elec.usd.2</t>
  </si>
  <si>
    <t>irn.air.con.pm2.oap.urb.1</t>
  </si>
  <si>
    <t>irn.air.oap_.all.all.oappm2.all.1</t>
  </si>
  <si>
    <t>oappm2</t>
  </si>
  <si>
    <t>irn.air.con.pm2.oap.rur.1</t>
  </si>
  <si>
    <t>irn.air.con.pm2.oap.urb.2</t>
  </si>
  <si>
    <t>irn.air.oap_.all.all.oappm2.all.2</t>
  </si>
  <si>
    <t>irn.air.con.pm2.oap.rur.2</t>
  </si>
  <si>
    <t>irn.air.con.pm2.mod.all.1</t>
  </si>
  <si>
    <t>irn.air.mod_.all.all.modpm2.all.1</t>
  </si>
  <si>
    <t>modpm2</t>
  </si>
  <si>
    <t>irn.air.con.pm2.obs.all.1</t>
  </si>
  <si>
    <t>irn.air.obs_.all.all.obspm2.all.1</t>
  </si>
  <si>
    <t>obspm2</t>
  </si>
  <si>
    <t>irn.gui.whoguidelines_.all.all.pm2.all.all</t>
  </si>
  <si>
    <t>irn.air.cad.ao3</t>
  </si>
  <si>
    <t>irn.air.cad_.all.all.ao3.all.all</t>
  </si>
  <si>
    <t>irn.air.cad.apm25</t>
  </si>
  <si>
    <t>irn.air.cad_.all.all.apm25.all.all</t>
  </si>
  <si>
    <t>irn.air.cad.hpm25</t>
  </si>
  <si>
    <t>irn.air.cad_.all.all.hpm25.all.all</t>
  </si>
  <si>
    <t>irn.air.cad.net</t>
  </si>
  <si>
    <t>irn.air.cad_.all.all.net.all.all</t>
  </si>
  <si>
    <t>irn.air.ada.2464</t>
  </si>
  <si>
    <t>irn.air.ada_.all.all.age2464.all.all</t>
  </si>
  <si>
    <t>irn.air.ada.65</t>
  </si>
  <si>
    <t>irn.air.ada_.all.all.age65plus.all.all</t>
  </si>
  <si>
    <t>irn.air.ada.u24</t>
  </si>
  <si>
    <t>irn.air.ada_.all.all.u24.all.all</t>
  </si>
  <si>
    <t>irn.air.av.yll</t>
  </si>
  <si>
    <t>irn.air.yll_.all.all.all.all.all</t>
  </si>
  <si>
    <t>irn.air.av.yld</t>
  </si>
  <si>
    <t>irn.air.yld_.all.all.all.all.all</t>
  </si>
  <si>
    <t>irn.air.mort</t>
  </si>
  <si>
    <t>irn.air.mort_.all.all.all.all.all</t>
  </si>
  <si>
    <t>irn.air.ext.pp.coa</t>
  </si>
  <si>
    <t>irn.air.ext_.all.coa.all.all.all</t>
  </si>
  <si>
    <t>irn.air.ext.pp.gas</t>
  </si>
  <si>
    <t>irn.air.ext_.all.nga.all.all.all</t>
  </si>
  <si>
    <t>irn.air.ext.pp.oil</t>
  </si>
  <si>
    <t>irn.air.ext_.all.oop.all.all.all</t>
  </si>
  <si>
    <t>irn.air.ext.ind.coa</t>
  </si>
  <si>
    <t>irn.air.ext.ind.gas</t>
  </si>
  <si>
    <t>irn.air.ext.ind.oil</t>
  </si>
  <si>
    <t>irn.air.ext.tra.gso</t>
  </si>
  <si>
    <t>irn.air.ext_.all.gso.all.all.all</t>
  </si>
  <si>
    <t>irn.air.ext.tra.die</t>
  </si>
  <si>
    <t>irn.air.ext_.all.die.all.all.all</t>
  </si>
  <si>
    <t>irn.air.gdp.loss</t>
  </si>
  <si>
    <t>irn.air.gdploss_.all.all.all.loss.all</t>
  </si>
  <si>
    <t>irn.air.gdp.loss.ch</t>
  </si>
  <si>
    <t>irn.air.gdploss_.all.all.ch.loss.all</t>
  </si>
  <si>
    <t>irn.mit.airpol.cost.coa.ind.1</t>
  </si>
  <si>
    <t>irn.mit.airpolcost_.all.coa.all.usdgj.all</t>
  </si>
  <si>
    <t>irn.mit.airpol.cost.coa.res.1</t>
  </si>
  <si>
    <t>irn.mit.airpol.cost.coa.pow.1</t>
  </si>
  <si>
    <t>irn.mit.airpolcost_.all.nga.all.usdgj.all</t>
  </si>
  <si>
    <t>irn.mit.airpol.cost.nga.ind.1</t>
  </si>
  <si>
    <t>irn.mit.airpol.cost.nga.res.1</t>
  </si>
  <si>
    <t>irn.mit.airpol.cost.nga.pow.1</t>
  </si>
  <si>
    <t>irn.mit.airpol.cost.gso.1</t>
  </si>
  <si>
    <t>irn.mit.airpolcost_.all.gso.all.lit.all</t>
  </si>
  <si>
    <t>irn.mit.airpol.cost.die.1</t>
  </si>
  <si>
    <t>irn.mit.airpolcost_.all.die.all.lit.all</t>
  </si>
  <si>
    <t>irn.mit.airpol.cost.lpg.1</t>
  </si>
  <si>
    <t>irn.mit.airpolcost_.all.lpg.all.lit.all</t>
  </si>
  <si>
    <t>irn.mit.airpol.cost.ker.1</t>
  </si>
  <si>
    <t>irn.mit.airpolcost_.all.ker.all.lit.all</t>
  </si>
  <si>
    <t>irn.air.sav.the.gov</t>
  </si>
  <si>
    <t>irn.air.sav_.all.all.gov.usdm.all</t>
  </si>
  <si>
    <t>irn.air.sav.the.ppr</t>
  </si>
  <si>
    <t>irn.air.sav_.all.all.ppr.usdm.all</t>
  </si>
  <si>
    <t>irn.air.sav.the.opo</t>
  </si>
  <si>
    <t>irn.air.sav_.all.all.opo.usdm.all</t>
  </si>
  <si>
    <t>irn.air.sav.the.das</t>
  </si>
  <si>
    <t>irn.air.sav_.all.all.das.usdm.all</t>
  </si>
  <si>
    <t>irn.dth.ktoe.pow.coa.1</t>
  </si>
  <si>
    <t>irn.air.dthktoe_.all.coa.all.deathsktoe.1</t>
  </si>
  <si>
    <t>irn.dth.ktoe.pow.nga.1</t>
  </si>
  <si>
    <t>irn.air.dthktoe_.all.nga.all.deathsktoe.1</t>
  </si>
  <si>
    <t>irn.dth.ktoe.pow.oop.1</t>
  </si>
  <si>
    <t>irn.air.dthktoe_.all.oop.all.deathsktoe.1</t>
  </si>
  <si>
    <t>irn.dth.ktoe.tra.gso.1</t>
  </si>
  <si>
    <t>irn.air.dthktoe_.all.gso.all.deathsktoe.1</t>
  </si>
  <si>
    <t>irn.dth.ktoe.tra.die.1</t>
  </si>
  <si>
    <t>irn.air.dthktoe_.all.die.all.deathsktoe.1</t>
  </si>
  <si>
    <t>irn.dth.ktoe.ind.coa.1</t>
  </si>
  <si>
    <t>irn.dth.ktoe.ind.oop.1</t>
  </si>
  <si>
    <t>irn.dth.ktoe.ind.nga.1</t>
  </si>
  <si>
    <t>irn.dth.ktoe.res.nga.1</t>
  </si>
  <si>
    <t>irn.air.conc.pm2.cpp.1</t>
  </si>
  <si>
    <t>irn.air.conc_pm_.all.coa.all.ugm3.1</t>
  </si>
  <si>
    <t>irn.air.conc.pm2.gpp.1</t>
  </si>
  <si>
    <t>irn.air.conc_pm_.all.nga.all.ugm3.1</t>
  </si>
  <si>
    <t>irn.air.conc.pm2.opp.1</t>
  </si>
  <si>
    <t>irn.air.conc_pm_.all.all.all.ugm3.1</t>
  </si>
  <si>
    <t>irn.air.conc.pm2.rod.1</t>
  </si>
  <si>
    <t>irn.air.conc.pm2.gro.1</t>
  </si>
  <si>
    <t>irn.air.conc.pm2.oth.1</t>
  </si>
  <si>
    <t>irn.air.conc.pm2.foo.1</t>
  </si>
  <si>
    <t>irn.air.conc.pm2.tot.1</t>
  </si>
  <si>
    <t>irn.air.conc.pm2.cpp.2</t>
  </si>
  <si>
    <t>irn.air.conc_pm_.all.coa.all.ugm3.2</t>
  </si>
  <si>
    <t>irn.air.conc.pm2.gpp.2</t>
  </si>
  <si>
    <t>irn.air.conc_pm_.all.nga.all.ugm3.2</t>
  </si>
  <si>
    <t>irn.air.conc.pm2.opp.2</t>
  </si>
  <si>
    <t>irn.air.conc_pm_.all.all.all.ugm3.2</t>
  </si>
  <si>
    <t>irn.air.conc.pm2.rod.2</t>
  </si>
  <si>
    <t>irn.air.conc.pm2.gro.2</t>
  </si>
  <si>
    <t>irn.air.conc.pm2.oth.2</t>
  </si>
  <si>
    <t>irn.air.conc.pm2.foo.2</t>
  </si>
  <si>
    <t>irn.air.conc.pm2.tot.2</t>
  </si>
  <si>
    <t>irn.mit.cc.code.coa.1</t>
  </si>
  <si>
    <t>irn.mit.cccosts_.a.coa.a.usdgj.1</t>
  </si>
  <si>
    <t>irn.mit.cc.code.nga.1</t>
  </si>
  <si>
    <t>irn.mit.cccosts_.a.nga.a.usdgj.1</t>
  </si>
  <si>
    <t>irn.mit.cc.code.gso.1</t>
  </si>
  <si>
    <t>irn.mit.cccosts_.a.gso.a.usdgj.1</t>
  </si>
  <si>
    <t>irn.mit.cc.code.die.1</t>
  </si>
  <si>
    <t>irn.mit.cccosts_.a.die.a.usdgj.1</t>
  </si>
  <si>
    <t>irn.mit.cc.code.lpg.1</t>
  </si>
  <si>
    <t>irn.mit.cccosts_.a.lpg.a.usdgj.1</t>
  </si>
  <si>
    <t>irn.mit.cc.code.ker.1</t>
  </si>
  <si>
    <t>irn.mit.cccosts_.a.ker.a.usdgj.1</t>
  </si>
  <si>
    <t>irn.tran.vmt.1</t>
  </si>
  <si>
    <t>irn.tran.vmt_.all.all.all.all.1</t>
  </si>
  <si>
    <t>irn.tran.vmt.2</t>
  </si>
  <si>
    <t>irn.tran.deaths.1</t>
  </si>
  <si>
    <t>irn.tran.vmt_.all.all.all.all.2</t>
  </si>
  <si>
    <t>irn.tran.deaths.2</t>
  </si>
  <si>
    <t>irn.tran.deaths_.all.all.all.all.1</t>
  </si>
  <si>
    <t>irn.tran.acc.avd.cum.2</t>
  </si>
  <si>
    <t>irn.tran.deaths_.all.all.all.all.2</t>
  </si>
  <si>
    <t>irn.tran.congestionP.1</t>
  </si>
  <si>
    <t>irn.tran.congestionP_.all.all.all.all.1</t>
  </si>
  <si>
    <t>irn.tran.congestionP.2</t>
  </si>
  <si>
    <t>irn.tran.congestionP_.all.all.all.all.2</t>
  </si>
  <si>
    <t>irn.tran.acc.cost.gso.1</t>
  </si>
  <si>
    <t>irn.tran.acccost_.all.gso.all.all.1</t>
  </si>
  <si>
    <t>irn.tran.acc.cost.die.1</t>
  </si>
  <si>
    <t>irn.tran.acccost_.all.die.all.all.1</t>
  </si>
  <si>
    <t>irn.tran.con.cost.gso.1</t>
  </si>
  <si>
    <t>irn.tran.concost_.all.gso.all.all.1</t>
  </si>
  <si>
    <t>irn.tran.con.cost.die.1</t>
  </si>
  <si>
    <t>irn.tran.concost_.all.die.all.all.1</t>
  </si>
  <si>
    <t>irn.tran.rdm.cost.gso.1</t>
  </si>
  <si>
    <t>irn.tran.rdmcost_.all.dso.all.all.1</t>
  </si>
  <si>
    <t>irn.tran.rdm.cost.die.1</t>
  </si>
  <si>
    <t>irn.tran.rdmcost_.all.die.all.all.1</t>
  </si>
  <si>
    <t>Averted climate damages (national) (real US$ 2021 bn)</t>
  </si>
  <si>
    <t>irn.mit.wel.cli.usd</t>
  </si>
  <si>
    <t>irn.mit.wel_.a.all.acli.usd.all</t>
  </si>
  <si>
    <t>acli</t>
  </si>
  <si>
    <t>Averted air pollution mortality/morbidity (real US$ 2021 bn)</t>
  </si>
  <si>
    <t>irn.mit.wel.air.usd</t>
  </si>
  <si>
    <t>irn.mit.wel_.a.all.aair.usd.all</t>
  </si>
  <si>
    <t>aair</t>
  </si>
  <si>
    <t>Averted road accidents (real US$ 2021 bn)</t>
  </si>
  <si>
    <t>irn.mit.wel.rod.aci.usd</t>
  </si>
  <si>
    <t>irn.mit.wel_.a.all.arodaci.usd.all</t>
  </si>
  <si>
    <t>arodaci</t>
  </si>
  <si>
    <t>Reduced congestion (real US$ 2021 bn)</t>
  </si>
  <si>
    <t>irn.mit.wel.rod.con.usd</t>
  </si>
  <si>
    <t>irn.mit.wel_.a.all.arodcon.usd.all</t>
  </si>
  <si>
    <t>arodcon</t>
  </si>
  <si>
    <t>Efficiency costs (real US$ 2021 bn)</t>
  </si>
  <si>
    <t>irn.mit.wel.eco.dwl.usd</t>
  </si>
  <si>
    <t>irn.mit.wel_.a.all.aecodwl.usd.all</t>
  </si>
  <si>
    <t>aecodwl</t>
  </si>
  <si>
    <t>Total national welfare benefits (real US$ 2021 bn)</t>
  </si>
  <si>
    <t>irn.mit.wel.tot.tot</t>
  </si>
  <si>
    <t>irn.mit.wel_.a.all.atot.pc.all</t>
  </si>
  <si>
    <t>atot</t>
  </si>
  <si>
    <t>Climate benefits (real US$ 2021 bn)</t>
  </si>
  <si>
    <t>irn.mit.wel.cli.pct</t>
  </si>
  <si>
    <t>irn.mit.wel_.a.all.arodaci.pc.all</t>
  </si>
  <si>
    <t>Air pollution co-benefits (% GDP)</t>
  </si>
  <si>
    <t>irn.mit.wel.air.pct</t>
  </si>
  <si>
    <t>irn.mit.wel_.a.all.aroddam.pc.all</t>
  </si>
  <si>
    <t>aroddam</t>
  </si>
  <si>
    <t>Transport co-benefits (% GDP)</t>
  </si>
  <si>
    <t>irn.mit.wel.rod.pct</t>
  </si>
  <si>
    <t>irn.mit.wel_.a.all.arodcon.pc.all</t>
  </si>
  <si>
    <t>Efficiency costs (% GDP)</t>
  </si>
  <si>
    <t>irn.mit.wel.eco.dwl.pct</t>
  </si>
  <si>
    <t>irn.mit.wel_.a.all.aecodwl.pc.all</t>
  </si>
  <si>
    <t>Total national welfare benefits (% GDP)</t>
  </si>
  <si>
    <t>irn.mit.wel.tot.pct</t>
  </si>
  <si>
    <t>irn.distn.tef.tot.dec.rur</t>
  </si>
  <si>
    <t>irn.distn.tef_.all.all.rur.dec.all</t>
  </si>
  <si>
    <t>dec</t>
  </si>
  <si>
    <t>irn.distn.tef.tot.dec.urb</t>
  </si>
  <si>
    <t>irn.distn.tef_.all.all.urb.dec.all</t>
  </si>
  <si>
    <t>irn.distn.def.tot.dec.ove</t>
  </si>
  <si>
    <t>irn.distn.def_.all.all.ove.dec.all</t>
  </si>
  <si>
    <t>irn.distn.def.coa.dec.ove</t>
  </si>
  <si>
    <t>irn.distn.def.ely.dec.ove</t>
  </si>
  <si>
    <t>irn.distn.def.nga.dec.ove</t>
  </si>
  <si>
    <t>irn.distn.def.oil.dec.ove</t>
  </si>
  <si>
    <t>irn.distn.def.gso.dec.ove</t>
  </si>
  <si>
    <t>irn.distn.def.die.dec.ove</t>
  </si>
  <si>
    <t>irn.distn.def.ker.dec.ove</t>
  </si>
  <si>
    <t>irn.distn.def.lpg.dec.ove</t>
  </si>
  <si>
    <t>irn.distn.ief.tot.dec.ove</t>
  </si>
  <si>
    <t>irn.distn.ief_.all.all.ove.dec.all</t>
  </si>
  <si>
    <t>irn.distn.ief.app.dec.ove</t>
  </si>
  <si>
    <t>irn.distn.ief.che.dec.ove</t>
  </si>
  <si>
    <t>irn.distn.ief.clo.dec.ove</t>
  </si>
  <si>
    <t>irn.distn.ief.com.dec.ove</t>
  </si>
  <si>
    <t>irn.distn.ief.edu.dec.ove</t>
  </si>
  <si>
    <t>irn.distn.ief.food.dec.ove</t>
  </si>
  <si>
    <t>irn.distn.ief.hea.dec.ove</t>
  </si>
  <si>
    <t>irn.distn.ief.hou.dec.ove</t>
  </si>
  <si>
    <t>irn.distn.ief.oth.dec.ove</t>
  </si>
  <si>
    <t>irn.distn.ief.pap.dec.ove</t>
  </si>
  <si>
    <t>irn.distn.ief.pha.dec.ove</t>
  </si>
  <si>
    <t>irn.distn.ief.ret.dec.ove</t>
  </si>
  <si>
    <t>irn.distn.ief.teq.dec.ove</t>
  </si>
  <si>
    <t>irn.distn.ief.tpu.dec.ove</t>
  </si>
  <si>
    <t>irn.distn.bsh.coa.dec.ove</t>
  </si>
  <si>
    <t>irn.distn.bsh_.all.all.ove.dec.all</t>
  </si>
  <si>
    <t>irn.distn.bsh.ely.dec.ove</t>
  </si>
  <si>
    <t>irn.distn.bsh.nga.dec.ove</t>
  </si>
  <si>
    <t>irn.distn.bsh.oil.dec.ove</t>
  </si>
  <si>
    <t>irn.distn.bsh.gso.dec.ove</t>
  </si>
  <si>
    <t>irn.distn.bsh.die.dec.ove</t>
  </si>
  <si>
    <t>irn.distn.bsh.ker.dec.ove</t>
  </si>
  <si>
    <t>irn.distn.bsh.lpg.dec.ove</t>
  </si>
  <si>
    <t>irn.distn.bsh.ccl.dec.ove</t>
  </si>
  <si>
    <t>irn.distn.bsh.ethanol.dec.ove</t>
  </si>
  <si>
    <t>irn.distn.bsh.fwd.dec.ove</t>
  </si>
  <si>
    <t>irn.distn.bsh.app.dec.ove</t>
  </si>
  <si>
    <t>irn.distn.bsh.che.dec.ove</t>
  </si>
  <si>
    <t>irn.distn.bsh.clo.dec.ove</t>
  </si>
  <si>
    <t>irn.distn.bsh.com.dec.ove</t>
  </si>
  <si>
    <t>irn.distn.bsh.edu.dec.ove</t>
  </si>
  <si>
    <t>irn.distn.bsh.food.dec.ove</t>
  </si>
  <si>
    <t>irn.distn.bsh.hea.dec.ove</t>
  </si>
  <si>
    <t>irn.distn.bsh.hou.dec.ove</t>
  </si>
  <si>
    <t>irn.distn.bsh.oth.dec.ove</t>
  </si>
  <si>
    <t>irn.distn.bsh.pap.dec.ove</t>
  </si>
  <si>
    <t>irn.distn.bsh.pha.dec.ove</t>
  </si>
  <si>
    <t>irn.distn.bsh.ret.dec.ove</t>
  </si>
  <si>
    <t>irn.distn.bsh.teq.dec.ove</t>
  </si>
  <si>
    <t>irn.distn.bsh.tpu.dec.ove</t>
  </si>
  <si>
    <t>Real per-capita national accounts-adjusted consumption by decile (real 2021 LCU in year 2030)</t>
  </si>
  <si>
    <t>irn.distn.cons_pc_na.dec.ove</t>
  </si>
  <si>
    <t>irn.distn.cons_pc_na_.all.all.ove.dec.all</t>
  </si>
  <si>
    <t>Real total national accounts-adjusted consumption by decile (real 2021 LCU in year 2030)</t>
  </si>
  <si>
    <t>irn.distn.tot_cons_na.dec.ove</t>
  </si>
  <si>
    <t>irn.distn.tot_cons_na_.all.all.ove.dec.all</t>
  </si>
  <si>
    <t>Total population by decile (individuals in year 2030)</t>
  </si>
  <si>
    <t>irn.distn.pop_tot_adj.dec.ove</t>
  </si>
  <si>
    <t>irn.distn.pop_tot_adj_.all.all.ove.dec.all</t>
  </si>
  <si>
    <t>irn.distn.pctrev_comp.dec.rur</t>
  </si>
  <si>
    <t>irn.distn.pctrev_comp_.all.all.rur.dec.all</t>
  </si>
  <si>
    <t>irn.distn.pctrev_comp.dec.urb</t>
  </si>
  <si>
    <t>irn.distn.pctrev_comp_.all.all.urb.dec.all</t>
  </si>
  <si>
    <t>irn.distn.pctrev_comp.dec.ove</t>
  </si>
  <si>
    <t>irn.distn.pctrev_comp_.all.all.ove.dec.all</t>
  </si>
  <si>
    <t>irn.distn.pct_gini_norec.dec.ove</t>
  </si>
  <si>
    <t>irn.distn.pct_gini_norec_.all.all.ove.all.all</t>
  </si>
  <si>
    <t>irn.distn.pct_gini_norec.dec.urb</t>
  </si>
  <si>
    <t>irn.distn.pct_gini_norec_.all.all.urb.all.all</t>
  </si>
  <si>
    <t>irn.distn.pct_gini_norec.dec.rur</t>
  </si>
  <si>
    <t>irn.distn.pct_gini_norec_.all.all.rur.all.all</t>
  </si>
  <si>
    <t>irn.distn.pct_gini_rec.dec.ove</t>
  </si>
  <si>
    <t>irn.distn.pct_gini_rec_.all.all.ove.all.all</t>
  </si>
  <si>
    <t>irn.distn.pct_gini_rec.dec.urb</t>
  </si>
  <si>
    <t>irn.distn.pct_gini_rec_.all.all.urb.all.all</t>
  </si>
  <si>
    <t>irn.distn.pct_gini_rec.dec.rur</t>
  </si>
  <si>
    <t>irn.distn.pct_gini_rec_.all.all.rur.all.all</t>
  </si>
  <si>
    <t>irn.distn.dpr.coa</t>
  </si>
  <si>
    <t>irn.distn.dpr_.all.all.all.all.all</t>
  </si>
  <si>
    <t>irn.distn.dpr.ely</t>
  </si>
  <si>
    <t>irn.distn.dpr.nga</t>
  </si>
  <si>
    <t>irn.distn.dpr.oil</t>
  </si>
  <si>
    <t>irn.distn.dpr.gso</t>
  </si>
  <si>
    <t>irn.distn.dpr.die</t>
  </si>
  <si>
    <t>irn.distn.dpr.ker</t>
  </si>
  <si>
    <t>irn.distn.dpr.lpg</t>
  </si>
  <si>
    <t>irn.distn.dpr.app</t>
  </si>
  <si>
    <t>irn.distn.dpr.che</t>
  </si>
  <si>
    <t>irn.distn.dpr.clo</t>
  </si>
  <si>
    <t>irn.distn.dpr.com</t>
  </si>
  <si>
    <t>irn.distn.dpr.edu</t>
  </si>
  <si>
    <t>irn.distn.dpr.food</t>
  </si>
  <si>
    <t>irn.distn.dpr.hea</t>
  </si>
  <si>
    <t>irn.distn.dpr.hou</t>
  </si>
  <si>
    <t>irn.distn.dpr.oth</t>
  </si>
  <si>
    <t>irn.distn.dpr.pap</t>
  </si>
  <si>
    <t>irn.distn.dpr.pha</t>
  </si>
  <si>
    <t>irn.distn.dpr.ret</t>
  </si>
  <si>
    <t>irn.distn.dpr.teq</t>
  </si>
  <si>
    <t>irn.distn.dpr.tpu</t>
  </si>
  <si>
    <t>irn.distn.pit.tot.dec.ove</t>
  </si>
  <si>
    <t>irn.distn.pit_.all.all.ove.dec.all</t>
  </si>
  <si>
    <t>irn.distn.pui.tot.dec.ove</t>
  </si>
  <si>
    <t>irn.distn.pui_.all.all.ove.dec.all</t>
  </si>
  <si>
    <t>irn.distn.cts.tot.dec.ove</t>
  </si>
  <si>
    <t>irn.distn.cts_.all.all.ove.dec.all</t>
  </si>
  <si>
    <t>irn.distn.tgt.tot.dec.ove</t>
  </si>
  <si>
    <t>irn.distn.tgt_.all.all.ove.dec.all</t>
  </si>
  <si>
    <t>irn.distn.tef.tot.dec.ove</t>
  </si>
  <si>
    <t>irn.distn.tef_.all.all.ove.dec.all</t>
  </si>
  <si>
    <t>irn..all_.all.all.year.all.all</t>
  </si>
  <si>
    <t>irn..all_.all.all.stat.all.all</t>
  </si>
  <si>
    <t>irn.distn.pit.tot.dec.ove.mean</t>
  </si>
  <si>
    <t>irn.distn.pit_.all.all.all.dec.all</t>
  </si>
  <si>
    <t>irn.distn.pui.tot.dec.ove.mean</t>
  </si>
  <si>
    <t>irn.distn.pui_.all.all.all.dec.all</t>
  </si>
  <si>
    <t>irndistn.cts.tot.dec.ove.mean</t>
  </si>
  <si>
    <t>irn.distn.cts_.all.all.all.dec.all</t>
  </si>
  <si>
    <t>irn.distn.tgt.tot.dec.ove.mean</t>
  </si>
  <si>
    <t>irn.distn.tgt_.all.all.all.dec.all</t>
  </si>
  <si>
    <t>irn.distn.rec.tot.dec.ove.mean</t>
  </si>
  <si>
    <t>irn.distn.rec_.all.all.all.dec.all</t>
  </si>
  <si>
    <t>irn.distn.pit.tot.dec.rur.mean</t>
  </si>
  <si>
    <t>irn.distn.pui.tot.dec.rur.mean</t>
  </si>
  <si>
    <t>irn.distn.cts.tot.dec.rur.mean</t>
  </si>
  <si>
    <t>irn.distn.tgt.tot.dec.rur.mean</t>
  </si>
  <si>
    <t>irndistn.rec.tot.dec.rur.mean</t>
  </si>
  <si>
    <t>irn.distn.pit.tot.dec.urb.mean</t>
  </si>
  <si>
    <t>irn.distn.pui.tot.dec.urb.mean</t>
  </si>
  <si>
    <t>irn.distn.cts.tot.dec.urb.mean</t>
  </si>
  <si>
    <t>irn.distn.tgt.tot.dec.urb.mean</t>
  </si>
  <si>
    <t>irn.distn.rec.tot.dec.urb.mean</t>
  </si>
  <si>
    <t>irn.ind.coa</t>
  </si>
  <si>
    <t>irn.distn.ind_.all.coa.all.pct.all</t>
  </si>
  <si>
    <t>irn.ind.ely</t>
  </si>
  <si>
    <t>irn.distn.ind_.all.ely.all.pct.all</t>
  </si>
  <si>
    <t>irn.ind.nga</t>
  </si>
  <si>
    <t>irn.distn.ind_.all.nga.all.pct.all</t>
  </si>
  <si>
    <t>irn.ind.oil</t>
  </si>
  <si>
    <t>irn.distn.ind_.all.oil.all.pct.all</t>
  </si>
  <si>
    <t>irn.ind.p_c</t>
  </si>
  <si>
    <t>irn.distn.ind_.all.pc.all.pct.all</t>
  </si>
  <si>
    <t>irn.ind.total</t>
  </si>
  <si>
    <t>irn.distn.ind_.all.total.all.pct.all</t>
  </si>
  <si>
    <t>irn.dir.coa</t>
  </si>
  <si>
    <t>irn.distn.dir_.all.coa.all.all.all</t>
  </si>
  <si>
    <t>irn.dir.ely</t>
  </si>
  <si>
    <t>irn.distn.dir_.all.ely.all.all.all</t>
  </si>
  <si>
    <t>irn.dir.nga</t>
  </si>
  <si>
    <t>irn.distn.dir_.all.nga.all.all.all</t>
  </si>
  <si>
    <t>irn.dir.oil</t>
  </si>
  <si>
    <t>irn.distn.dir_.all.oil.all.all.all</t>
  </si>
  <si>
    <t>irn.dir.gso</t>
  </si>
  <si>
    <t>irn.distn.dir_.all.gso.all.all.all</t>
  </si>
  <si>
    <t>irn.dir.die</t>
  </si>
  <si>
    <t>irn.distn.dir_.all.die.all.all.all</t>
  </si>
  <si>
    <t>irn.dir.lpg</t>
  </si>
  <si>
    <t>irn.distn.dir_.all.lpg.all.all.all</t>
  </si>
  <si>
    <t>irn.dir.ker</t>
  </si>
  <si>
    <t>irn.distn.dir_.all.ker.all.all.all</t>
  </si>
  <si>
    <t>irn.dir.p_c</t>
  </si>
  <si>
    <t>irn.distn.dir_.all.pc.all.all.all</t>
  </si>
  <si>
    <t>irn.distn.dpr_.all.all.wavg.all.all</t>
  </si>
  <si>
    <t>irn.ppic.avi</t>
  </si>
  <si>
    <t>irn.ppic.foo</t>
  </si>
  <si>
    <t>irn.ppic.srv</t>
  </si>
  <si>
    <t>irn.ppic.con</t>
  </si>
  <si>
    <t>irn.ppic.mac</t>
  </si>
  <si>
    <t>irn.ppic.irn</t>
  </si>
  <si>
    <t>irn.ppic.man</t>
  </si>
  <si>
    <t>irn.ppic.oth</t>
  </si>
  <si>
    <t>irn.ppic.cem</t>
  </si>
  <si>
    <t>irn.ppic.shi</t>
  </si>
  <si>
    <t>irn.ppic.res</t>
  </si>
  <si>
    <t>irn.ppic.fuel</t>
  </si>
  <si>
    <t>irn.outpriin.avi</t>
  </si>
  <si>
    <t>irn.outpriin.shi</t>
  </si>
  <si>
    <t>irn.outpriin.cem</t>
  </si>
  <si>
    <t>irn.outpriin.irn</t>
  </si>
  <si>
    <t>irn.outpriin.oth</t>
  </si>
  <si>
    <t>irn.outpriin.man</t>
  </si>
  <si>
    <t>irn.outpriin.foo</t>
  </si>
  <si>
    <t>irn.outpriin.mac</t>
  </si>
  <si>
    <t>irn.outpriin.res</t>
  </si>
  <si>
    <t>irn.outpriin.con</t>
  </si>
  <si>
    <t>irn.outpriin.srv</t>
  </si>
  <si>
    <t>irn.adjustedpasstrhough</t>
  </si>
  <si>
    <t>irn.mit.el.inc.ecy.res</t>
  </si>
  <si>
    <t>irn.mit.elinc_.all.ecy.all.all.all</t>
  </si>
  <si>
    <t>irn.mit.el.inc.gso.res</t>
  </si>
  <si>
    <t>irn.mit.elinc_.all.gso.all.all.all</t>
  </si>
  <si>
    <t>irn.mit.el.inc.die.res</t>
  </si>
  <si>
    <t>irn.mit.elinc_.all.die.all.all.all</t>
  </si>
  <si>
    <t>irn.mit.gdpr_.all.all.all.all.all</t>
  </si>
  <si>
    <t>irn.mit.co2_.all.all.all.all.all</t>
  </si>
  <si>
    <t>irn.mit.co2inte_.all.all.all.all.all</t>
  </si>
  <si>
    <t>irn.mit.elec_.all.all.all.all.all</t>
  </si>
  <si>
    <t>irn.mit.renprop_.all.all.all.all.all</t>
  </si>
  <si>
    <t>irn.mit.co2intp_.all.all.all.all.all</t>
  </si>
  <si>
    <t>irn.mit.tsd.ecy.1</t>
  </si>
  <si>
    <t>irn.mit.tsd_.all.ecy.all.all.1</t>
  </si>
  <si>
    <t>irn.mit.eou.ecy.1</t>
  </si>
  <si>
    <t>irn.mit.eou_.all.ecy.all.all.1</t>
  </si>
  <si>
    <t>irn.mit.nxp.ecy.1</t>
  </si>
  <si>
    <t>irn.mit.nxp_.all.ecy.all.all.1</t>
  </si>
  <si>
    <t>irn.mit.ec.ele.2019.1</t>
  </si>
  <si>
    <t>irn.mit.ec_f.all.ele.2019.all.1</t>
  </si>
  <si>
    <t>2019</t>
  </si>
  <si>
    <t>irn.mit.ec.coa.2019.1</t>
  </si>
  <si>
    <t>irn.mit.ec_f.all.coa.2019.all.1</t>
  </si>
  <si>
    <t>irn.mit.ec.nga.2019.1</t>
  </si>
  <si>
    <t>irn.mit.ec_f.all.nga.2019.all.1</t>
  </si>
  <si>
    <t>irn.mit.ec.oop.2019.1</t>
  </si>
  <si>
    <t>irn.mit.ec_f.all.oop.2019.all.1</t>
  </si>
  <si>
    <t>irn.mit.ec.gso.2019.1</t>
  </si>
  <si>
    <t>irn.mit.ec_f.all.gso.2019.all.1</t>
  </si>
  <si>
    <t>irn.mit.ec.die.2019.1</t>
  </si>
  <si>
    <t>irn.mit.ec_f.all.die.2019.all.1</t>
  </si>
  <si>
    <t>irn.mit.ec.ker.2019.1</t>
  </si>
  <si>
    <t>irn.mit.ec_f.all.ker.2019.all.1</t>
  </si>
  <si>
    <t>irn.mit.ec.lpg.2019.1</t>
  </si>
  <si>
    <t>irn.mit.ec_f.all.lpg.2019.all.1</t>
  </si>
  <si>
    <t>irn.mit.ec.jfu.2019.1</t>
  </si>
  <si>
    <t>irn.mit.ec_f.all.jfu.2019.all.1</t>
  </si>
  <si>
    <t>irn.mit.ec.wnd.2019.1</t>
  </si>
  <si>
    <t>irn.mit.ec_f.all.wnd.2019.all.1</t>
  </si>
  <si>
    <t>irn.mit.ec.sol.2019.1</t>
  </si>
  <si>
    <t>irn.mit.ec_f.all.sol.2019.all.1</t>
  </si>
  <si>
    <t>irn.mit.ec.hyd.2019.1</t>
  </si>
  <si>
    <t>irn.mit.ec_f.all.hyd.2019.all.1</t>
  </si>
  <si>
    <t>irn.mit.ec.ore.2019.1</t>
  </si>
  <si>
    <t>irn.mit.ec_f.all.ore.2019.all.1</t>
  </si>
  <si>
    <t>irn.mit.ec.nuc.2019.1</t>
  </si>
  <si>
    <t>irn.mit.ec_f.all.nuc.2019.all.1</t>
  </si>
  <si>
    <t>irn.mit.ec.bio.2019.1</t>
  </si>
  <si>
    <t>irn.mit.ec_f.all.bio.2019.all.1</t>
  </si>
  <si>
    <t>irn.mit.ec.bgs.2019.1</t>
  </si>
  <si>
    <t>irn.mit.ec_f.all.bgs.2019.all.1</t>
  </si>
  <si>
    <t>irn.mit.ec.bdi.2019.1</t>
  </si>
  <si>
    <t>irn.mit.ec_f.all.bdi.2019.all.1</t>
  </si>
  <si>
    <t>irn.mit.ec.obf.2019.1</t>
  </si>
  <si>
    <t>irn.mit.ec_f.all.obf.2019.all.1</t>
  </si>
  <si>
    <t>irn.mit.ec.heat.2019.1</t>
  </si>
  <si>
    <t>irn.mit.ec_f.all.heat.2019.all.1</t>
  </si>
  <si>
    <t>irn.mit.elec.twh.sel.tot.ecy.1</t>
  </si>
  <si>
    <t>irn.mit.all_.all.all.all.all.all</t>
  </si>
  <si>
    <t>irn.mit.elec.twh.sel.tot.ecy.2</t>
  </si>
  <si>
    <t>irn.mit.cap_.all.all.all.MWe.all</t>
  </si>
  <si>
    <t>irn.mit.mancap.pow.tot.t.1</t>
  </si>
  <si>
    <t>irn.mit.effcap_.all.all.all.MWe.all</t>
  </si>
  <si>
    <t>irn.mit.nim.pow.coa.t.1</t>
  </si>
  <si>
    <t>irn.mit.nni_.t.coa.t.all.1</t>
  </si>
  <si>
    <t>irn.mit.nim.pow.nga.t.1</t>
  </si>
  <si>
    <t>irn.mit.nni_.t.nga.t.all.1</t>
  </si>
  <si>
    <t>irn.mit.nim.pow.oop.t.1</t>
  </si>
  <si>
    <t>irn.mit.nni_.t.oop.t.all.1</t>
  </si>
  <si>
    <t>irn.mit.nim.pow.nuc.t.1</t>
  </si>
  <si>
    <t>irn.mit.nni_.t.nuc.t.all.1</t>
  </si>
  <si>
    <t>irn.mit.nim.pow.wnd.t.1</t>
  </si>
  <si>
    <t>irn.mit.nni_.t.wnd.t.all.1</t>
  </si>
  <si>
    <t>irn.mit.nim.pow.sol.t.1</t>
  </si>
  <si>
    <t>irn.mit.nni_.t.sol.t.all.1</t>
  </si>
  <si>
    <t>irn.mit.nim.pow.hyd.t.1</t>
  </si>
  <si>
    <t>irn.mit.nni_.t.hyd.t.all.1</t>
  </si>
  <si>
    <t>irn.mit.nim.pow.ore.t.1</t>
  </si>
  <si>
    <t>irn.mit.nni_.t.ore.t.all.1</t>
  </si>
  <si>
    <t>irn.mit.nim.pow.bio.t.1</t>
  </si>
  <si>
    <t>irn.mit.nni_.t.bio.t.all.1</t>
  </si>
  <si>
    <t>irn.mit.nim.pow.coa.t.2</t>
  </si>
  <si>
    <t>irn.mit.nni_.t.coa.t.all.2</t>
  </si>
  <si>
    <t>irn.mit.nim.pow.nga.t.2</t>
  </si>
  <si>
    <t>irn.mit.nni_.t.nga.t.all.2</t>
  </si>
  <si>
    <t>irn.mit.nim.pow.oop.t.2</t>
  </si>
  <si>
    <t>irn.mit.nni_.t.oop.t.all.2</t>
  </si>
  <si>
    <t>irn.mit.nim.pow.nuc.t.2</t>
  </si>
  <si>
    <t>irn.mit.nni_.t.nuc.t.all.2</t>
  </si>
  <si>
    <t>irn.mit.nim.pow.wnd.t.2</t>
  </si>
  <si>
    <t>irn.mit.nni_.t.wnd.t.all.2</t>
  </si>
  <si>
    <t>irn.mit.nim.pow.sol.t.2</t>
  </si>
  <si>
    <t>irn.mit.nni_.t.sol.t.all.2</t>
  </si>
  <si>
    <t>irn.mit.nim.pow.hyd.t.2</t>
  </si>
  <si>
    <t>irn.mit.nni_.t.hyd.t.all.2</t>
  </si>
  <si>
    <t>irn.mit.nim.pow.ore.t.2</t>
  </si>
  <si>
    <t>irn.mit.nni_.t.ore.t.all.2</t>
  </si>
  <si>
    <t>irn.mit.nim.pow.bio.t.2</t>
  </si>
  <si>
    <t>irn.mit.nni_.t.bio.t.all.2</t>
  </si>
  <si>
    <t>irn.mit.nid.pow.coa.t.1</t>
  </si>
  <si>
    <t>irn.mit.nid.pow.nga.t.1</t>
  </si>
  <si>
    <t>irn.mit.nid.pow.oop.t.1</t>
  </si>
  <si>
    <t>irn.mit.nid.pow.nuc.t.1</t>
  </si>
  <si>
    <t>irn.mit.nid.pow.wnd.t.1</t>
  </si>
  <si>
    <t>irn.mit.nid.pow.sol.t.1</t>
  </si>
  <si>
    <t>irn.mit.nid.pow.hyd.t.1</t>
  </si>
  <si>
    <t>irn.mit.nid.pow.ore.t.1</t>
  </si>
  <si>
    <t>irn.mit.nid.pow.bio.t.1</t>
  </si>
  <si>
    <t>irn.mit.nid.pow.coa.t.2</t>
  </si>
  <si>
    <t>irn.mit.nid.pow.nga.t.2</t>
  </si>
  <si>
    <t>irn.mit.nid.pow.oop.t.2</t>
  </si>
  <si>
    <t>irn.mit.nid.pow.nuc.t.2</t>
  </si>
  <si>
    <t>irn.mit.nid.pow.wnd.t.2</t>
  </si>
  <si>
    <t>irn.mit.nid.pow.sol.t.2</t>
  </si>
  <si>
    <t>irn.mit.nid.pow.hyd.t.2</t>
  </si>
  <si>
    <t>irn.mit.nid.pow.ore.t.2</t>
  </si>
  <si>
    <t>irn.mit.nid.pow.bio.t.2</t>
  </si>
  <si>
    <t>Inflation index, 2021 = 100</t>
  </si>
  <si>
    <t>irn.mit.inflation_.all.all.all.index.all</t>
  </si>
  <si>
    <t>VAT rate</t>
  </si>
  <si>
    <t>irn.mit.vat_.all.all.all.pc.all</t>
  </si>
  <si>
    <t>Crude Oil forecast - international</t>
  </si>
  <si>
    <t>irn.mit.realoilbbl_.all.all.all.usdbbl.all</t>
  </si>
  <si>
    <t>Coal forecast  - international</t>
  </si>
  <si>
    <t>irn.mit.realcoalton_.all.all.all.usdton.all</t>
  </si>
  <si>
    <t>Natural gas forecast - international</t>
  </si>
  <si>
    <t>irn.mit.realngammbtu_.all.all.all.usdbbbtu.all</t>
  </si>
  <si>
    <t>irn.mit.realoilglobal_.all.all.all.usdbbl.all</t>
  </si>
  <si>
    <t>irn.mit.reacoalglobal_.all.all.all.usdton.all</t>
  </si>
  <si>
    <t>irn.mit.realngaglobal_.all.all.all.usdbbbtu.all</t>
  </si>
  <si>
    <t>For gasoline mark-up</t>
  </si>
  <si>
    <t>irn.mit.forgasolinemarkup_.all.all.all.usdpl.all</t>
  </si>
  <si>
    <t>For diesel mark-up</t>
  </si>
  <si>
    <t>irn.mit.fordieselmarkup_.all.all.all.usdpl.all</t>
  </si>
  <si>
    <t>For kerosene mark-up</t>
  </si>
  <si>
    <t>irn.mit.forkerosenemarkup_.all.all.all.usdpl.all</t>
  </si>
  <si>
    <t>For LPG mark-up</t>
  </si>
  <si>
    <t>irn.mit.forglpgmarkup_.all.all.all.usdpl.all</t>
  </si>
  <si>
    <t>irn.mit.mu1.coa.res.1</t>
  </si>
  <si>
    <t>irn.mit.mu1.coa.ind.1</t>
  </si>
  <si>
    <t>irn.mit.mu1.nga.pow.1</t>
  </si>
  <si>
    <t>irn.mit.mu1_.all.all.all.all.1</t>
  </si>
  <si>
    <t>irn.mit.mu1.nga.res.1</t>
  </si>
  <si>
    <t>irn.mit.mu1.nga.ind.1</t>
  </si>
  <si>
    <t>irn.mit.mu1.gso.all.1</t>
  </si>
  <si>
    <t>irn.mit.mu1.die.all.1</t>
  </si>
  <si>
    <t>irn.mit.mu1.lpg.all.1</t>
  </si>
  <si>
    <t>irn.mit.mu1.ker.all.1</t>
  </si>
  <si>
    <t>irn.mit.mu1.oop.all.1</t>
  </si>
  <si>
    <t>irn.mit.mu1.bio.all.1</t>
  </si>
  <si>
    <t>irn.mit.mu2.coa.pow.1</t>
  </si>
  <si>
    <t>irn.mit.mu2_.a.coa.a.all.1</t>
  </si>
  <si>
    <t>Markup2 (pretax to Retail Price) coa - res</t>
  </si>
  <si>
    <t>irn.mit.mu2.coa.res.1</t>
  </si>
  <si>
    <t>Markup2 (pretax to Retail Price) coa - ind</t>
  </si>
  <si>
    <t>irn.mit.mu2.coa.ind.1</t>
  </si>
  <si>
    <t>Markup2 (pretax to Retail Price) nga - pow</t>
  </si>
  <si>
    <t>irn.mit.mu2.nga.pow.1</t>
  </si>
  <si>
    <t>irn.mit.mu2_.a.nga.a.all.1</t>
  </si>
  <si>
    <t>Markup2 (pretax to Retail Price) nga - res</t>
  </si>
  <si>
    <t>irn.mit.mu2.nga.res.1</t>
  </si>
  <si>
    <t>Markup2 (pretax to Retail Price) nga - ind</t>
  </si>
  <si>
    <t>irn.mit.mu2.nga.ind.1</t>
  </si>
  <si>
    <t>Markup2 (pretax to Retail Price) gso - all</t>
  </si>
  <si>
    <t>irn.mit.mu2.gso.all.1</t>
  </si>
  <si>
    <t>irn.mit.mu2_.a.gso.a.all.1</t>
  </si>
  <si>
    <t>Markup2 (pretax to Retail Price) die - all</t>
  </si>
  <si>
    <t>irn.mit.mu2.die.all.1</t>
  </si>
  <si>
    <t>irn.mit.mu2_.a.die.a.all.1</t>
  </si>
  <si>
    <t>Markup2 (pretax to Retail Price) lpg - all</t>
  </si>
  <si>
    <t>irn.mit.mu2.lpg.all.1</t>
  </si>
  <si>
    <t>irn.mit.mu2_.a.lpg.a.all.1</t>
  </si>
  <si>
    <t>Markup2 (pretax to Retail Price) ker - all</t>
  </si>
  <si>
    <t>irn.mit.mu2.ker.all.1</t>
  </si>
  <si>
    <t>irn.mit.mu2_.a.ker.a.all.1</t>
  </si>
  <si>
    <t>Markup2 (pretax to Retail Price) oop - all</t>
  </si>
  <si>
    <t>irn.mit.mu2.oop.all.1</t>
  </si>
  <si>
    <t>irn.mit.mu2_.a.oop.a.all.1</t>
  </si>
  <si>
    <t>Markup2 (pretax to Retail Price) bio - all</t>
  </si>
  <si>
    <t>irn.mit.mu2.bio.all.1</t>
  </si>
  <si>
    <t>irn.mit.mu2_.a.bio.a.all.1</t>
  </si>
  <si>
    <t>Forecasted Pretax Price - coa - pow</t>
  </si>
  <si>
    <t>irn.mit.sp.coa.pow.1</t>
  </si>
  <si>
    <t>irn.mit.sp_.a.coa.a.all.1</t>
  </si>
  <si>
    <t>Forecasted Pretax Price - coa - res</t>
  </si>
  <si>
    <t>irn.mit.sp.coa.res.1</t>
  </si>
  <si>
    <t>Forecasted Pretax Price - coa - ind</t>
  </si>
  <si>
    <t>irn.mit.sp.coa.ind.1</t>
  </si>
  <si>
    <t>Forecasted Pretax Price - nga - pow</t>
  </si>
  <si>
    <t>irn.mit.sp.nga.pow.1</t>
  </si>
  <si>
    <t>irn.mit.sp_.a.nga.a.all.1</t>
  </si>
  <si>
    <t>Forecasted Pretax Price - nga - res</t>
  </si>
  <si>
    <t>irn.mit.sp.nga.res.1</t>
  </si>
  <si>
    <t>Forecasted Pretax Price - nga - ind</t>
  </si>
  <si>
    <t>irn.mit.sp.nga.ind.1</t>
  </si>
  <si>
    <t>Forecasted Pretax Price - gso - all</t>
  </si>
  <si>
    <t>irn.mit.sp.gso.all.1</t>
  </si>
  <si>
    <t>irn.mit.sp_.a.gso.a.all.1</t>
  </si>
  <si>
    <t>Forecasted Pretax Price - die - all</t>
  </si>
  <si>
    <t>irn.mit.sp.die.all.1</t>
  </si>
  <si>
    <t>irn.mit.sp_.a.die.a.all.1</t>
  </si>
  <si>
    <t>Forecasted Pretax Price - lpg - all</t>
  </si>
  <si>
    <t>irn.mit.sp.lpg.all.1</t>
  </si>
  <si>
    <t>irn.mit.sp_.a.lpg.a.all.1</t>
  </si>
  <si>
    <t>Forecasted Pretax Price - ker - all</t>
  </si>
  <si>
    <t>irn.mit.sp.ker.all.1</t>
  </si>
  <si>
    <t>irn.mit.sp_.a.ker.a.all.1</t>
  </si>
  <si>
    <t>Forecasted Pretax Price - oop - all</t>
  </si>
  <si>
    <t>irn.mit.sp.oop.all.1</t>
  </si>
  <si>
    <t>irn.mit.sp_.a.oop.a.all.1</t>
  </si>
  <si>
    <t>Retail Price - coa - pow</t>
  </si>
  <si>
    <t>irn.mit.rp_.a.coa.a.all.1</t>
  </si>
  <si>
    <t>Retail Price - coa - res</t>
  </si>
  <si>
    <t>Retail Price - coa - ind</t>
  </si>
  <si>
    <t>Retail Price - nga - pow</t>
  </si>
  <si>
    <t>irn.mit.rp_.a.nga.a.all.1</t>
  </si>
  <si>
    <t>Retail Price - nga - res</t>
  </si>
  <si>
    <t>Retail Price - nga - ind</t>
  </si>
  <si>
    <t>Retail Price - die - all</t>
  </si>
  <si>
    <t>irn.mit.rp.all.die.a.1</t>
  </si>
  <si>
    <t>irn.mit.rp_.a.die.a.all.1</t>
  </si>
  <si>
    <t>Retail Price - lpg - all</t>
  </si>
  <si>
    <t>irn.mit.rp.all.lpg.a.1</t>
  </si>
  <si>
    <t>irn.mit.rp_.a.lpg.a.all.1</t>
  </si>
  <si>
    <t>Retail Price - ker - all</t>
  </si>
  <si>
    <t>irn.mit.rp.all.ker.a.1</t>
  </si>
  <si>
    <t>irn.mit.rp_.a.ker.a.all.1</t>
  </si>
  <si>
    <t>Retail Price - oop - all</t>
  </si>
  <si>
    <t>irn.mit.rp.all.oop.a.1</t>
  </si>
  <si>
    <t>irn.mit.rp_.a.oop.a.all.1</t>
  </si>
  <si>
    <t>Oil and natural gas extraction - CH4 emissions factor, after abatement - baseline</t>
  </si>
  <si>
    <t>irn.air.ef.ext.ngaoil.ch4.1</t>
  </si>
  <si>
    <t>irn.mit.ef_.all.all.all.all.1</t>
  </si>
  <si>
    <t>ch4all</t>
  </si>
  <si>
    <t>Oil and natural gas extraction - CH4 emissions factor, after abatement - policy</t>
  </si>
  <si>
    <t>irn.air.ef.ext.ngaoil.ch4.2</t>
  </si>
  <si>
    <t>irn.mit.ef_.all.all.all.all.2</t>
  </si>
  <si>
    <t>Coal extraction - CH4 emissions factor, after abatement - baseline</t>
  </si>
  <si>
    <t>irn.air.ef.ext.coa.ch4.1</t>
  </si>
  <si>
    <t>Coal extraction - CH4 emissions factor, after abatement - policy</t>
  </si>
  <si>
    <t>irn.air.ef.ext.coa.ch4.2</t>
  </si>
  <si>
    <t>Energy related CH4 emissions - baseline</t>
  </si>
  <si>
    <t>Agriculture CH4 emissions - baseline</t>
  </si>
  <si>
    <t>Waste CH4 emissions - baseline</t>
  </si>
  <si>
    <t>Other CH4 emissions - baseline</t>
  </si>
  <si>
    <t>Total CH4 emissions, including LULUCF - baseline</t>
  </si>
  <si>
    <t>Total CH4 emissions, excluding LULUCF - baseline</t>
  </si>
  <si>
    <t>Energy related CH4 emissions - policy</t>
  </si>
  <si>
    <t>Agriculture CH4 emissions - policy</t>
  </si>
  <si>
    <t>Waste CH4 emissions - policy</t>
  </si>
  <si>
    <t>Other CH4 emissions - policy</t>
  </si>
  <si>
    <t>Total CH4 emissions, including LULUCF - policy</t>
  </si>
  <si>
    <t>Total CH4 emissions, excluding LULUCF - policy</t>
  </si>
  <si>
    <t>Methane fee - fossil, baseline</t>
  </si>
  <si>
    <t>irn.mit.mftrajfossil.1</t>
  </si>
  <si>
    <t>Methane fee - non-fossil, baseline</t>
  </si>
  <si>
    <t>irn.mit.mftrajnonfossil.1</t>
  </si>
  <si>
    <t>Methane fee - fossil, policy</t>
  </si>
  <si>
    <t>irn.mit.mftrajfossil.2</t>
  </si>
  <si>
    <t>Methane fee - non-fossil, policy</t>
  </si>
  <si>
    <t>irn.mit.mftrajnonfossil.2</t>
  </si>
  <si>
    <t>Efficiency cost - extractives</t>
  </si>
  <si>
    <t>irn.mit.wel.eco.ext.dwl.pct</t>
  </si>
  <si>
    <t>Efficiency cost - agriculture</t>
  </si>
  <si>
    <t>irn.mit.wel.eco.agc.dwl.pct</t>
  </si>
  <si>
    <t>Efficiency cost - waste</t>
  </si>
  <si>
    <t>irn.mit.wel.eco.was.dwl.pct</t>
  </si>
  <si>
    <t>Crude oil - producer price increase, percent</t>
  </si>
  <si>
    <t>irn.mit.ener.mfpct.oil.e.2</t>
  </si>
  <si>
    <t>Natural gas - producer price increase, percent</t>
  </si>
  <si>
    <t>irn.mit.ener.mfpct.coa.e.2</t>
  </si>
  <si>
    <t>Coal - producer price increase, percent</t>
  </si>
  <si>
    <t>irn.mit.ener.mfpct.nga.e.2</t>
  </si>
  <si>
    <t>Livestock - producer price increase, percent</t>
  </si>
  <si>
    <t>irn.mit.ener.mfpct.liv.e.2</t>
  </si>
  <si>
    <t>Gasoline - portion used for transportation</t>
  </si>
  <si>
    <t>irn.mit.trs.gso.all.a.1</t>
  </si>
  <si>
    <t>irn.mit.trs_.all.all.all.all.1</t>
  </si>
  <si>
    <t>trs</t>
  </si>
  <si>
    <t>Gasoline - VAT rate</t>
  </si>
  <si>
    <t>irn.mit.vatrate.all.gso.a.1</t>
  </si>
  <si>
    <t>irn.mit.vat_.all.all.all.all.1</t>
  </si>
  <si>
    <t>Gasoline - portion used for residential consumption</t>
  </si>
  <si>
    <t>irn.mit.rescon.gso.all.1</t>
  </si>
  <si>
    <t>irn.mit.res_.all.all.all.all.1</t>
  </si>
  <si>
    <t>Gasoline - efficient price</t>
  </si>
  <si>
    <t>irn.mit.effprice.gso.all.1</t>
  </si>
  <si>
    <t>irn.mit.eff_.all.all.all.all.1</t>
  </si>
  <si>
    <t>eff</t>
  </si>
  <si>
    <t>Gasoline - consumption</t>
  </si>
  <si>
    <t>irn.mit.con.gso.all.1</t>
  </si>
  <si>
    <t>irn.mit.con_.all.all.all.all.1</t>
  </si>
  <si>
    <t>con</t>
  </si>
  <si>
    <t>Gasoline - explicit subsidy</t>
  </si>
  <si>
    <t>irn.mit.expsub.con.gso.all.1</t>
  </si>
  <si>
    <t>irn.mit.exp_.all.all.all.all.1</t>
  </si>
  <si>
    <t>exp</t>
  </si>
  <si>
    <t>Gasoline - implicit subsidy</t>
  </si>
  <si>
    <t>irn.mit.impsub.con.gso.all.1</t>
  </si>
  <si>
    <t>irn.mit.imp_.all.all.all.all.1</t>
  </si>
  <si>
    <t>imp</t>
  </si>
  <si>
    <t>Diesel - portion used for transportation</t>
  </si>
  <si>
    <t>irn.mit.trs.die.all.a.1</t>
  </si>
  <si>
    <t>Diesel - VAT rate</t>
  </si>
  <si>
    <t>irn.mit.vatrate.all.die.a.1</t>
  </si>
  <si>
    <t>Diesel - portion used for residential consumption</t>
  </si>
  <si>
    <t>irn.mit.rescon.die.all.1</t>
  </si>
  <si>
    <t>Diesel - efficient price</t>
  </si>
  <si>
    <t>irn.mit.effprice.die.all.1</t>
  </si>
  <si>
    <t>Diesel - consumption</t>
  </si>
  <si>
    <t>irn.mit.con.die.all.1</t>
  </si>
  <si>
    <t>Diesel - explicit subsidy</t>
  </si>
  <si>
    <t>irn.mit.expsub.con.die.all.1</t>
  </si>
  <si>
    <t>Diesel - implicit subsidy</t>
  </si>
  <si>
    <t>irn.mit.impsub.con.die.all.1</t>
  </si>
  <si>
    <t>LPG - VAT rate</t>
  </si>
  <si>
    <t>irn.mit.vatrate.all.lpg.a.1</t>
  </si>
  <si>
    <t>LPG - portion used for residential consumption</t>
  </si>
  <si>
    <t>irn.mit.rescon.lpg.all.1</t>
  </si>
  <si>
    <t>LPG - efficient price</t>
  </si>
  <si>
    <t>irn.mit.effprice.lpg.all.1</t>
  </si>
  <si>
    <t>LPG - consumption</t>
  </si>
  <si>
    <t>irn.mit.con.lpg.all.1</t>
  </si>
  <si>
    <t>LPG - explicit subsidy</t>
  </si>
  <si>
    <t>irn.mit.expsub.con.lpg.all.1</t>
  </si>
  <si>
    <t>LPG - implicit subsidy</t>
  </si>
  <si>
    <t>irn.mit.impsub.con.lpg.all.1</t>
  </si>
  <si>
    <t>Kerosene - VAT rate</t>
  </si>
  <si>
    <t>irn.mit.vatrate.all.ker.a.1</t>
  </si>
  <si>
    <t>Kerosene - portion used for residential consumption</t>
  </si>
  <si>
    <t>irn.mit.rescon.ker.all.1</t>
  </si>
  <si>
    <t>Kerosene - efficient price</t>
  </si>
  <si>
    <t>irn.mit.effprice.ker.all.1</t>
  </si>
  <si>
    <t>Kerosene - consumption</t>
  </si>
  <si>
    <t>irn.mit.con.ker.all.1</t>
  </si>
  <si>
    <t>Kerosene - explicit subsidy</t>
  </si>
  <si>
    <t>irn.mit.expsub.con.ker.all.1</t>
  </si>
  <si>
    <t>Kerosene - implicit subsidy</t>
  </si>
  <si>
    <t>irn.mit.impsub.con.ker.all.1</t>
  </si>
  <si>
    <t>Other oil products - VAT rate</t>
  </si>
  <si>
    <t>irn.mit.vatrate.all.oop.a.1</t>
  </si>
  <si>
    <t>Other oil products - portion used for residential consumption</t>
  </si>
  <si>
    <t>irn.mit.rescon.oop.all.1</t>
  </si>
  <si>
    <t>Other oil products - efficient price</t>
  </si>
  <si>
    <t>irn.mit.effprice.oop.all.1</t>
  </si>
  <si>
    <t>Other oil products - retail price, baseline</t>
  </si>
  <si>
    <t>irn.mit.rp.oop.all.1</t>
  </si>
  <si>
    <t>irn.mit.rp._.all.all.all.all.1</t>
  </si>
  <si>
    <t>rp.</t>
  </si>
  <si>
    <t>Other oil products - consumption</t>
  </si>
  <si>
    <t>irn.mit.con.oop.all.1</t>
  </si>
  <si>
    <t>Other oil products - explicit subsidy</t>
  </si>
  <si>
    <t>irn.mit.expsub.con.oop.all.1</t>
  </si>
  <si>
    <t>Natural gas, industry - VAT</t>
  </si>
  <si>
    <t>irn.mit.vatext.nga.ind.1</t>
  </si>
  <si>
    <t>Natural gas, industry - efficient price</t>
  </si>
  <si>
    <t>irn.mit.effprice.nga.ind.1</t>
  </si>
  <si>
    <t>Natural gas, industry - consumption</t>
  </si>
  <si>
    <t>irn.mit.con.nga.ind.1</t>
  </si>
  <si>
    <t>Natural gas, industry - explicit subsidy</t>
  </si>
  <si>
    <t>irn.mit.expsub.con.nga.ind.1</t>
  </si>
  <si>
    <t>Natural gas, industry - implicit subsidy</t>
  </si>
  <si>
    <t>irn.mit.impsub.con.nga.ind.1</t>
  </si>
  <si>
    <t>Natural gas, residential - VAT rate</t>
  </si>
  <si>
    <t>irn.mit.vatrate.res.nga.a.1</t>
  </si>
  <si>
    <t>Natural gas, residential - efficient price</t>
  </si>
  <si>
    <t>irn.mit.effprice.nga.res.1</t>
  </si>
  <si>
    <t>Natural gas, residential - consumption</t>
  </si>
  <si>
    <t>irn.mit.con.nga.res.1</t>
  </si>
  <si>
    <t>Natural gas, residential - explicit subsidy</t>
  </si>
  <si>
    <t>irn.mit.expsub.con.nga.res.1</t>
  </si>
  <si>
    <t>Natural gas, residential - implicit subsidy</t>
  </si>
  <si>
    <t>irn.mit.impsub.con.nga.res.1</t>
  </si>
  <si>
    <t>Natural gas, power - efficient price</t>
  </si>
  <si>
    <t>irn.mit.effprice.nga.pow.1</t>
  </si>
  <si>
    <t>Natural gas, power - consumption</t>
  </si>
  <si>
    <t>irn.mit.con.nga.pow.1</t>
  </si>
  <si>
    <t>Natural gas, power - explicit subsidy</t>
  </si>
  <si>
    <t>irn.mit.expsub.con.nga.pow.1</t>
  </si>
  <si>
    <t>Natural gas, power - implicit subsidy</t>
  </si>
  <si>
    <t>irn.mit.impsub.con.nga.pow.1</t>
  </si>
  <si>
    <t>Natural gas, other - supply cost</t>
  </si>
  <si>
    <t>irn.mit.supcost.nga.other.1</t>
  </si>
  <si>
    <t>irn.mit.sup_.all.all.all.all.1</t>
  </si>
  <si>
    <t>sup</t>
  </si>
  <si>
    <t>Natural gas, other - externalities</t>
  </si>
  <si>
    <t>irn.mit.extcost.nga.other.1</t>
  </si>
  <si>
    <t>irn.mit.ext_.all.all.all.all.1</t>
  </si>
  <si>
    <t>Natural gas, other - VAT</t>
  </si>
  <si>
    <t>irn.mit.vatext.nga.other.1</t>
  </si>
  <si>
    <t>Natural gas, other - efficient price</t>
  </si>
  <si>
    <t>irn.mit.effprice.nga.other.1</t>
  </si>
  <si>
    <t>Natural gas, other - retail price, baseline</t>
  </si>
  <si>
    <t>irn.mit.rp.nga.other.1</t>
  </si>
  <si>
    <t>Natural gas, other - consumption</t>
  </si>
  <si>
    <t>irn.mit.con.nga.other.1</t>
  </si>
  <si>
    <t>Natural gas, other - explicit subsidy</t>
  </si>
  <si>
    <t>irn.mit.expsub.con.nga.other.1</t>
  </si>
  <si>
    <t>Natural gas, other - implicit subsidy</t>
  </si>
  <si>
    <t>irn.mit.impsub.con.nga.other.1</t>
  </si>
  <si>
    <t>Coal, industry - efficient price</t>
  </si>
  <si>
    <t>irn.mit.effprice.coa.ind.1</t>
  </si>
  <si>
    <t>Coal, industry - consumption</t>
  </si>
  <si>
    <t>irn.mit.con.coa.ind.1</t>
  </si>
  <si>
    <t>Coal, industry - explicit subsidy</t>
  </si>
  <si>
    <t>irn.mit.expsub.con.coa.ind.1</t>
  </si>
  <si>
    <t>Coal, industry - implicit subsidy</t>
  </si>
  <si>
    <t>irn.mit.impsub.con.coa.ind.1</t>
  </si>
  <si>
    <t>Coal, residential - VAT rate</t>
  </si>
  <si>
    <t>irn.mit.vatrate.res.coa.a.1</t>
  </si>
  <si>
    <t>Coal, residential - efficient price</t>
  </si>
  <si>
    <t>irn.mit.effprice.coa.res.1</t>
  </si>
  <si>
    <t>Coal, residential - consumption</t>
  </si>
  <si>
    <t>irn.mit.con.coa.res.1</t>
  </si>
  <si>
    <t>Coal, residential - explicit subsidy</t>
  </si>
  <si>
    <t>irn.mit.expsub.con.coa.res.1</t>
  </si>
  <si>
    <t>Coal, residential - implicit subsidy</t>
  </si>
  <si>
    <t>irn.mit.impsub.con.coa.res.1</t>
  </si>
  <si>
    <t>Coal, power - efficient price</t>
  </si>
  <si>
    <t>irn.mit.effprice.coa.pow.1</t>
  </si>
  <si>
    <t>Coal, power - consumption</t>
  </si>
  <si>
    <t>irn.mit.con.coa.pow.1</t>
  </si>
  <si>
    <t>Coal, power - explicit subsidy</t>
  </si>
  <si>
    <t>irn.mit.expsub.con.coa.pow.1</t>
  </si>
  <si>
    <t>Coal, power - implicit subsidy</t>
  </si>
  <si>
    <t>irn.mit.impsub.con.coa.pow.1</t>
  </si>
  <si>
    <t>Coal, other - supply cost</t>
  </si>
  <si>
    <t>irn.mit.supcost.coa.other.1</t>
  </si>
  <si>
    <t>Coal, other - externalities</t>
  </si>
  <si>
    <t>irn.mit.extcost.coa.other.1</t>
  </si>
  <si>
    <t>Coal, other - VAT</t>
  </si>
  <si>
    <t>irn.mit.vatext.coa.other.1</t>
  </si>
  <si>
    <t>Coal, other - efficient price</t>
  </si>
  <si>
    <t>irn.mit.effprice.coa.other.1</t>
  </si>
  <si>
    <t>Coal, other - retail price, baseline</t>
  </si>
  <si>
    <t>irn.mit.rp.coa.other.1</t>
  </si>
  <si>
    <t>Coal, other - consumption</t>
  </si>
  <si>
    <t>irn.mit.con.coa.other.1</t>
  </si>
  <si>
    <t>Coal, other - explicit subsidy</t>
  </si>
  <si>
    <t>irn.mit.expsub.con.coa.other.1</t>
  </si>
  <si>
    <t>Coal, other - implicit subsidy</t>
  </si>
  <si>
    <t>irn.mit.impsub.con.coa.other.1</t>
  </si>
  <si>
    <t>Electricity, industry - efficient price</t>
  </si>
  <si>
    <t>irn.mit.effprice.ecy.ind.1</t>
  </si>
  <si>
    <t>Electricity, industry - consumption</t>
  </si>
  <si>
    <t>irn.mit.con.ecy.ind.1</t>
  </si>
  <si>
    <t>Electricity, industry - explicit subsidy</t>
  </si>
  <si>
    <t>irn.mit.expsub.con.ecy.ind.1</t>
  </si>
  <si>
    <t>Electricity, industry - implicit subsidy</t>
  </si>
  <si>
    <t>irn.mit.impsub.con.ecy.ind.1</t>
  </si>
  <si>
    <t>Electricity, residential - VAT rate</t>
  </si>
  <si>
    <t>irn.mit.vatrate.res.ecy.t.1</t>
  </si>
  <si>
    <t>Electricity, residential - efficient price</t>
  </si>
  <si>
    <t>irn.mit.effprice.ecy.res.1</t>
  </si>
  <si>
    <t>Electricity, residential - consumption</t>
  </si>
  <si>
    <t>irn.mit.con.ecy.res.1</t>
  </si>
  <si>
    <t>Electricity, residential - explicit subsidy</t>
  </si>
  <si>
    <t>irn.mit.expsub.con.ecy.res.1</t>
  </si>
  <si>
    <t>Electricity, residential - implicit subsidy</t>
  </si>
  <si>
    <t>irn.mit.impsub.con.ecy.res.1</t>
  </si>
  <si>
    <t>Electricity, other - supply cost</t>
  </si>
  <si>
    <t>irn.mit.supcost.ecy.other.1</t>
  </si>
  <si>
    <t>Electricity, other - externalities</t>
  </si>
  <si>
    <t>irn.mit.extcost.ecy.other.1</t>
  </si>
  <si>
    <t>Electricity, other - VAT</t>
  </si>
  <si>
    <t>irn.mit.vatext.ecy.other.1</t>
  </si>
  <si>
    <t>Electricity, other - efficient price</t>
  </si>
  <si>
    <t>irn.mit.effprice.ecy.other.1</t>
  </si>
  <si>
    <t>Electricity, other - retail price, baseline</t>
  </si>
  <si>
    <t>irn.mit.rp.ecy.other.1</t>
  </si>
  <si>
    <t>Electricity, other - consumption</t>
  </si>
  <si>
    <t>irn.mit.con.ecy.other.1</t>
  </si>
  <si>
    <t>Electricity, other - explicit subsidy</t>
  </si>
  <si>
    <t>irn.mit.expsub.con.ecy.other.1</t>
  </si>
  <si>
    <t>Electricity, other - implicit subsidy</t>
  </si>
  <si>
    <t>irn.mit.impsub.con.ecy.other.1</t>
  </si>
  <si>
    <t>Total - explicit subsidy</t>
  </si>
  <si>
    <t>irn.mit.expsub.con.all.all.1</t>
  </si>
  <si>
    <t>Total - implicit subsidy</t>
  </si>
  <si>
    <t>irn.mit.impsub.con.all.all.1</t>
  </si>
  <si>
    <t>irn.mit.expsubgdp.con.all.all.1</t>
  </si>
  <si>
    <t>irn.mit.impsubgdp.con.all.all.1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</si>
</sst>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10"/>
      <name val="Aptos Narrow"/>
      <family val="2"/>
      <scheme val="minor"/>
    </font>
    <font>
      <b/>
      <sz val="10"/>
      <color rgb="FF242424"/>
      <name val="Segoe UI"/>
      <family val="2"/>
    </font>
    <font>
      <sz val="10"/>
      <color rgb="FF24242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" fontId="3" fillId="2" borderId="0" xfId="0" applyNumberFormat="1" applyFont="1" applyFill="1" applyAlignment="1">
      <alignment horizontal="left" vertical="center" wrapText="1"/>
    </xf>
    <xf numFmtId="1" fontId="4" fillId="3" borderId="0" xfId="0" applyNumberFormat="1" applyFont="1" applyFill="1" applyAlignment="1">
      <alignment horizontal="left" vertical="center" wrapText="1"/>
    </xf>
    <xf numFmtId="1" fontId="4" fillId="3" borderId="0" xfId="0" applyNumberFormat="1" applyFont="1" applyFill="1" applyAlignment="1">
      <alignment horizontal="right" vertical="center" wrapText="1"/>
    </xf>
    <xf numFmtId="1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left" vertical="center"/>
    </xf>
    <xf numFmtId="165" fontId="5" fillId="0" borderId="0" xfId="1" applyNumberFormat="1" applyFont="1" applyFill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" fontId="5" fillId="0" borderId="0" xfId="2" applyNumberFormat="1" applyFont="1" applyAlignment="1">
      <alignment horizontal="right" vertical="center"/>
    </xf>
    <xf numFmtId="1" fontId="5" fillId="4" borderId="0" xfId="0" applyNumberFormat="1" applyFont="1" applyFill="1" applyAlignment="1">
      <alignment horizontal="left" vertical="center"/>
    </xf>
    <xf numFmtId="1" fontId="5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6" fontId="5" fillId="0" borderId="0" xfId="1" applyNumberFormat="1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vertical="center"/>
    </xf>
    <xf numFmtId="0" fontId="5" fillId="0" borderId="0" xfId="0" applyFont="1" applyAlignment="1">
      <alignment horizontal="left" indent="1"/>
    </xf>
    <xf numFmtId="0" fontId="5" fillId="0" borderId="0" xfId="0" applyFont="1"/>
    <xf numFmtId="1" fontId="5" fillId="5" borderId="0" xfId="0" applyNumberFormat="1" applyFont="1" applyFill="1" applyAlignment="1">
      <alignment horizontal="left" vertical="center"/>
    </xf>
    <xf numFmtId="2" fontId="5" fillId="5" borderId="0" xfId="0" applyNumberFormat="1" applyFont="1" applyFill="1" applyAlignment="1">
      <alignment horizontal="right" vertical="center"/>
    </xf>
    <xf numFmtId="1" fontId="5" fillId="6" borderId="0" xfId="0" applyNumberFormat="1" applyFont="1" applyFill="1" applyAlignment="1">
      <alignment horizontal="left" vertical="center"/>
    </xf>
    <xf numFmtId="2" fontId="5" fillId="6" borderId="0" xfId="0" applyNumberFormat="1" applyFont="1" applyFill="1" applyAlignment="1">
      <alignment horizontal="right" vertical="center"/>
    </xf>
    <xf numFmtId="1" fontId="5" fillId="3" borderId="0" xfId="0" applyNumberFormat="1" applyFont="1" applyFill="1" applyAlignment="1">
      <alignment horizontal="left" vertical="center"/>
    </xf>
    <xf numFmtId="2" fontId="5" fillId="3" borderId="0" xfId="0" applyNumberFormat="1" applyFont="1" applyFill="1" applyAlignment="1">
      <alignment horizontal="right" vertical="center"/>
    </xf>
    <xf numFmtId="1" fontId="5" fillId="7" borderId="0" xfId="0" applyNumberFormat="1" applyFont="1" applyFill="1" applyAlignment="1">
      <alignment horizontal="left" vertical="center"/>
    </xf>
    <xf numFmtId="2" fontId="5" fillId="7" borderId="0" xfId="0" applyNumberFormat="1" applyFont="1" applyFill="1" applyAlignment="1">
      <alignment horizontal="right" vertical="center"/>
    </xf>
    <xf numFmtId="43" fontId="5" fillId="0" borderId="0" xfId="0" applyNumberFormat="1" applyFont="1"/>
    <xf numFmtId="43" fontId="5" fillId="5" borderId="0" xfId="0" applyNumberFormat="1" applyFont="1" applyFill="1"/>
    <xf numFmtId="43" fontId="5" fillId="6" borderId="0" xfId="0" applyNumberFormat="1" applyFont="1" applyFill="1"/>
    <xf numFmtId="43" fontId="5" fillId="7" borderId="0" xfId="0" applyNumberFormat="1" applyFont="1" applyFill="1"/>
    <xf numFmtId="1" fontId="4" fillId="3" borderId="0" xfId="0" applyNumberFormat="1" applyFont="1" applyFill="1" applyAlignment="1">
      <alignment horizontal="right" vertical="center"/>
    </xf>
    <xf numFmtId="0" fontId="2" fillId="3" borderId="0" xfId="0" applyFont="1" applyFill="1"/>
    <xf numFmtId="2" fontId="4" fillId="3" borderId="0" xfId="0" applyNumberFormat="1" applyFont="1" applyFill="1" applyAlignment="1">
      <alignment horizontal="right" vertical="center"/>
    </xf>
    <xf numFmtId="2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2" fontId="0" fillId="0" borderId="0" xfId="0" applyNumberFormat="1"/>
    <xf numFmtId="0" fontId="5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2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8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7" fillId="5" borderId="0" xfId="0" applyFont="1" applyFill="1" applyAlignment="1">
      <alignment horizontal="left" indent="1"/>
    </xf>
    <xf numFmtId="0" fontId="7" fillId="6" borderId="0" xfId="0" applyFont="1" applyFill="1" applyAlignment="1">
      <alignment horizontal="left" indent="1"/>
    </xf>
    <xf numFmtId="0" fontId="7" fillId="3" borderId="0" xfId="0" applyFont="1" applyFill="1" applyAlignment="1">
      <alignment horizontal="left" indent="1"/>
    </xf>
    <xf numFmtId="0" fontId="7" fillId="7" borderId="0" xfId="0" applyFont="1" applyFill="1" applyAlignment="1">
      <alignment horizontal="left" indent="1"/>
    </xf>
    <xf numFmtId="1" fontId="4" fillId="3" borderId="0" xfId="0" applyNumberFormat="1" applyFont="1" applyFill="1" applyAlignment="1">
      <alignment vertical="center"/>
    </xf>
    <xf numFmtId="0" fontId="4" fillId="3" borderId="0" xfId="0" applyFont="1" applyFill="1"/>
    <xf numFmtId="1" fontId="5" fillId="0" borderId="0" xfId="0" applyNumberFormat="1" applyFont="1" applyAlignment="1">
      <alignment horizontal="left" vertical="center" indent="1"/>
    </xf>
    <xf numFmtId="9" fontId="7" fillId="0" borderId="0" xfId="0" applyNumberFormat="1" applyFont="1" applyAlignment="1">
      <alignment horizontal="left" indent="1"/>
    </xf>
    <xf numFmtId="0" fontId="0" fillId="0" borderId="0" xfId="0" applyAlignment="1">
      <alignment shrinkToFi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b619696\Downloads\CPAT%201.0pre_376.xlsb" TargetMode="External"/><Relationship Id="rId1" Type="http://schemas.openxmlformats.org/officeDocument/2006/relationships/externalLinkPath" Target="file:///C:\Users\wb619696\Downloads\CPAT%201.0pre_376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Dashboard"/>
      <sheetName val="Manual inputs"/>
      <sheetName val="MODULES-&gt;"/>
      <sheetName val="Mitigation"/>
      <sheetName val="Distribution"/>
      <sheetName val="Air pollution"/>
      <sheetName val="Transport"/>
      <sheetName val="DATA_MITIGATION-&gt;"/>
      <sheetName val="MTInputs"/>
      <sheetName val="MTOutputs"/>
      <sheetName val="MAC"/>
      <sheetName val="WDI"/>
      <sheetName val="NDCs"/>
      <sheetName val="GHGs"/>
      <sheetName val="GoalSeekCoal"/>
      <sheetName val="Balances"/>
      <sheetName val="EnergyCons"/>
      <sheetName val="Power"/>
      <sheetName val="CH4Inputs"/>
      <sheetName val="UNPop"/>
      <sheetName val="OilProductShares"/>
      <sheetName val="Popn"/>
      <sheetName val="Prices_dom"/>
      <sheetName val="Prices_int"/>
      <sheetName val="Elasticities"/>
      <sheetName val="Data sources"/>
      <sheetName val="Countries"/>
      <sheetName val="WEO"/>
      <sheetName val="SSPs"/>
      <sheetName val="EF_GHG"/>
      <sheetName val="ECP"/>
      <sheetName val="CoBenefitsFFS"/>
      <sheetName val="OtherPowerUse"/>
      <sheetName val="SCC"/>
      <sheetName val="EF_PM"/>
      <sheetName val="CalVal"/>
      <sheetName val="Meta_mit"/>
      <sheetName val="DATA_DISTN-&gt;"/>
      <sheetName val="Mapping"/>
      <sheetName val="IO_GTAP"/>
      <sheetName val="HHSurvey"/>
      <sheetName val="HH_Elast"/>
      <sheetName val="ASPIRE"/>
      <sheetName val="WHOCooking"/>
      <sheetName val="GDPRatios"/>
      <sheetName val="DATA_TRAN-&gt;"/>
      <sheetName val="Notes"/>
      <sheetName val="TransCPAT"/>
      <sheetName val="Tran_Elast"/>
      <sheetName val="Tran_Scatter"/>
      <sheetName val="DATA_OUTPUT-&gt;"/>
      <sheetName val="Glossary"/>
      <sheetName val="Multipliers"/>
      <sheetName val="DATA_AIR_POLL-&gt;"/>
      <sheetName val="Air_1"/>
      <sheetName val="Air_2"/>
      <sheetName val="Air_3"/>
      <sheetName val="Air_4"/>
      <sheetName val="iF PP"/>
      <sheetName val="iF groundlevel"/>
      <sheetName val="Air-FASST"/>
      <sheetName val="Air_Src_app"/>
      <sheetName val="Air_ElasticNet"/>
      <sheetName val="Air-ML"/>
      <sheetName val="Air_meta"/>
      <sheetName val="VersionTracker"/>
    </sheetNames>
    <sheetDataSet>
      <sheetData sheetId="0"/>
      <sheetData sheetId="1">
        <row r="6">
          <cell r="Z6" t="str">
            <v>IRN</v>
          </cell>
        </row>
        <row r="10">
          <cell r="Z10">
            <v>2</v>
          </cell>
        </row>
      </sheetData>
      <sheetData sheetId="2"/>
      <sheetData sheetId="3"/>
      <sheetData sheetId="4">
        <row r="61">
          <cell r="Z61" t="str">
            <v>avi</v>
          </cell>
        </row>
        <row r="65">
          <cell r="Z65" t="str">
            <v>foo</v>
          </cell>
        </row>
        <row r="66">
          <cell r="Z66" t="str">
            <v>srv</v>
          </cell>
        </row>
        <row r="68">
          <cell r="Z68" t="str">
            <v>mch</v>
          </cell>
        </row>
        <row r="69">
          <cell r="Z69" t="str">
            <v>irn</v>
          </cell>
        </row>
        <row r="70">
          <cell r="Z70" t="str">
            <v>nfm</v>
          </cell>
        </row>
        <row r="71">
          <cell r="Z71" t="str">
            <v>mac</v>
          </cell>
        </row>
        <row r="72">
          <cell r="Z72" t="str">
            <v>cem</v>
          </cell>
        </row>
        <row r="73">
          <cell r="Z73" t="str">
            <v>omn</v>
          </cell>
        </row>
        <row r="74">
          <cell r="Z74" t="str">
            <v>cst</v>
          </cell>
        </row>
        <row r="75">
          <cell r="Z75" t="str">
            <v>ftr</v>
          </cell>
        </row>
        <row r="3456">
          <cell r="H3456" t="str">
            <v>irn.mit.mancap.pow.tot.t.1</v>
          </cell>
        </row>
        <row r="6190">
          <cell r="H6190" t="str">
            <v>irn.mit.rev.new.coa.usd.1</v>
          </cell>
        </row>
        <row r="6191">
          <cell r="H6191" t="str">
            <v>irn.mit.rev.new.nga.usd.1</v>
          </cell>
        </row>
        <row r="6192">
          <cell r="H6192" t="str">
            <v>irn.mit.rev.new.oil.usd.1</v>
          </cell>
        </row>
        <row r="6193">
          <cell r="H6193" t="str">
            <v>irn.mit.rev.new.gso.usd.1</v>
          </cell>
        </row>
        <row r="6194">
          <cell r="H6194" t="str">
            <v>irn.mit.rev.new.die.usd.1</v>
          </cell>
        </row>
        <row r="6195">
          <cell r="H6195" t="str">
            <v>irn.mit.rev.new.lpk.usd.1</v>
          </cell>
        </row>
        <row r="6767">
          <cell r="C6767">
            <v>2</v>
          </cell>
        </row>
        <row r="8218">
          <cell r="H8218" t="str">
            <v>irn.mit.ener.rod.ecy.t.2</v>
          </cell>
        </row>
        <row r="8219">
          <cell r="H8219" t="str">
            <v>irn.mit.ener.ral.ecy.t.2</v>
          </cell>
        </row>
        <row r="8220">
          <cell r="H8220" t="str">
            <v>irn.mit.ener.avi.ecy.t.2</v>
          </cell>
        </row>
        <row r="8221">
          <cell r="H8221" t="str">
            <v>irn.mit.ener.nav.ecy.t.2</v>
          </cell>
        </row>
        <row r="8222">
          <cell r="H8222" t="str">
            <v>irn.mit.ener.res.ecy.t.2</v>
          </cell>
        </row>
        <row r="8223">
          <cell r="H8223" t="str">
            <v>irn.mit.ener.foo.ecy.t.2</v>
          </cell>
        </row>
        <row r="8224">
          <cell r="H8224" t="str">
            <v>irn.mit.ener.srv.ecy.t.2</v>
          </cell>
        </row>
        <row r="8225">
          <cell r="H8225" t="str">
            <v>irn.mit.ener.mch.ecy.t.2</v>
          </cell>
        </row>
        <row r="8226">
          <cell r="H8226" t="str">
            <v>irn.mit.ener.irn.ecy.t.2</v>
          </cell>
        </row>
        <row r="8227">
          <cell r="H8227" t="str">
            <v>irn.mit.ener.nfm.ecy.t.2</v>
          </cell>
        </row>
        <row r="8228">
          <cell r="H8228" t="str">
            <v>irn.mit.ener.mac.ecy.t.2</v>
          </cell>
        </row>
        <row r="8229">
          <cell r="H8229" t="str">
            <v>irn.mit.ener.cem.ecy.t.2</v>
          </cell>
        </row>
        <row r="8230">
          <cell r="H8230" t="str">
            <v>irn.mit.ener.omn.ecy.t.2</v>
          </cell>
        </row>
        <row r="8231">
          <cell r="H8231" t="str">
            <v>irn.mit.ener.cst.ecy.t.2</v>
          </cell>
        </row>
        <row r="8232">
          <cell r="H8232" t="str">
            <v>irn.mit.ener.oen.ecy.t.2</v>
          </cell>
        </row>
        <row r="8234">
          <cell r="H8234" t="str">
            <v>irn.mit.ener.tot.ecy.t.2</v>
          </cell>
        </row>
        <row r="8235">
          <cell r="H8235" t="str">
            <v>irn.mit.ener.nxp.ecy.t.2</v>
          </cell>
        </row>
        <row r="8248">
          <cell r="H8248" t="str">
            <v>irn.mit.ener.ftr.ecy.t.2</v>
          </cell>
        </row>
        <row r="8348">
          <cell r="H8348" t="str">
            <v>irn.mit.ener.pow.coa.t.2</v>
          </cell>
        </row>
        <row r="8349">
          <cell r="H8349" t="str">
            <v>irn.mit.ener.pow.nga.t.2</v>
          </cell>
        </row>
        <row r="8350">
          <cell r="H8350" t="str">
            <v>irn.mit.ener.pow.oop.t.2</v>
          </cell>
        </row>
        <row r="8351">
          <cell r="H8351" t="str">
            <v>irn.mit.ener.pow.nuc.t.2</v>
          </cell>
        </row>
        <row r="8352">
          <cell r="H8352" t="str">
            <v>irn.mit.ener.pow.wnd.t.2</v>
          </cell>
        </row>
        <row r="8353">
          <cell r="H8353" t="str">
            <v>irn.mit.ener.pow.sol.t.2</v>
          </cell>
        </row>
        <row r="8354">
          <cell r="H8354" t="str">
            <v>irn.mit.ener.pow.hyd.t.2</v>
          </cell>
        </row>
        <row r="8355">
          <cell r="H8355" t="str">
            <v>irn.mit.ener.pow.ore.t.2</v>
          </cell>
        </row>
        <row r="8356">
          <cell r="H8356" t="str">
            <v>irn.mit.ener.pow.bio.t.2</v>
          </cell>
        </row>
        <row r="8357">
          <cell r="H8357" t="str">
            <v>irn.mit.ener.pow.tot.t.2</v>
          </cell>
        </row>
        <row r="8814">
          <cell r="H8814" t="str">
            <v>irn.mit.ener.rod.coa.e.2</v>
          </cell>
        </row>
        <row r="8815">
          <cell r="H8815" t="str">
            <v>irn.mit.ener.rod.nga.e.2</v>
          </cell>
        </row>
        <row r="8816">
          <cell r="H8816" t="str">
            <v>irn.mit.ener.rod.gso.e.2</v>
          </cell>
        </row>
        <row r="8817">
          <cell r="H8817" t="str">
            <v>irn.mit.ener.rod.die.e.2</v>
          </cell>
        </row>
        <row r="8818">
          <cell r="H8818" t="str">
            <v>irn.mit.ener.rod.lpg.e.2</v>
          </cell>
        </row>
        <row r="8819">
          <cell r="H8819" t="str">
            <v>irn.mit.ener.rod.ker.e.2</v>
          </cell>
        </row>
        <row r="8820">
          <cell r="H8820" t="str">
            <v>irn.mit.ener.rod.oop.e.2</v>
          </cell>
        </row>
        <row r="8821">
          <cell r="H8821" t="str">
            <v>irn.mit.ener.rod.bio.e.2</v>
          </cell>
        </row>
        <row r="8824">
          <cell r="H8824" t="str">
            <v>irn.mit.ener.rod.obf.e.2</v>
          </cell>
        </row>
        <row r="8828">
          <cell r="H8828" t="str">
            <v>irn.mit.ener.tot.rod.</v>
          </cell>
        </row>
        <row r="8844">
          <cell r="H8844" t="str">
            <v>irn.mit.ener.ral.coa.e.2</v>
          </cell>
        </row>
        <row r="8845">
          <cell r="H8845" t="str">
            <v>irn.mit.ener.ral.nga.e.2</v>
          </cell>
        </row>
        <row r="8846">
          <cell r="H8846" t="str">
            <v>irn.mit.ener.ral.gso.e.2</v>
          </cell>
        </row>
        <row r="8847">
          <cell r="H8847" t="str">
            <v>irn.mit.ener.ral.die.e.2</v>
          </cell>
        </row>
        <row r="8848">
          <cell r="H8848" t="str">
            <v>irn.mit.ener.ral.lpg.e.2</v>
          </cell>
        </row>
        <row r="8849">
          <cell r="H8849" t="str">
            <v>irn.mit.ener.ral.ker.e.2</v>
          </cell>
        </row>
        <row r="8850">
          <cell r="H8850" t="str">
            <v>irn.mit.ener.ral.oop.e.2</v>
          </cell>
        </row>
        <row r="8851">
          <cell r="H8851" t="str">
            <v>irn.mit.ener.ral.bio.e.2</v>
          </cell>
        </row>
        <row r="8852">
          <cell r="H8852" t="str">
            <v>irn.mit.ener.ral.ren.e.2</v>
          </cell>
        </row>
        <row r="8869">
          <cell r="H8869" t="str">
            <v>irn.mit.ener.avi.coa.e.2</v>
          </cell>
        </row>
        <row r="8870">
          <cell r="H8870" t="str">
            <v>irn.mit.ener.avi.nga.e.2</v>
          </cell>
        </row>
        <row r="8871">
          <cell r="H8871" t="str">
            <v>irn.mit.ener.avi.gso.e.2</v>
          </cell>
        </row>
        <row r="8872">
          <cell r="H8872" t="str">
            <v>irn.mit.ener.avi.die.e.2</v>
          </cell>
        </row>
        <row r="8873">
          <cell r="H8873" t="str">
            <v>irn.mit.ener.avi.lpg.e.2</v>
          </cell>
        </row>
        <row r="8874">
          <cell r="H8874" t="str">
            <v>irn.mit.ener.avi.ker.e.2</v>
          </cell>
        </row>
        <row r="8875">
          <cell r="H8875" t="str">
            <v>irn.mit.ener.avi.oop.e.2</v>
          </cell>
        </row>
        <row r="8876">
          <cell r="H8876" t="str">
            <v>irn.mit.ener.avi.bio.e.2</v>
          </cell>
        </row>
        <row r="8877">
          <cell r="H8877" t="str">
            <v>irn.mit.ener.avi.ren.e.2</v>
          </cell>
        </row>
        <row r="8878">
          <cell r="H8878" t="str">
            <v>irn.mit.ener.avi.jfu.e.2</v>
          </cell>
        </row>
        <row r="8894">
          <cell r="H8894" t="str">
            <v>irn.mit.ener.nav.coa.e.2</v>
          </cell>
        </row>
        <row r="8895">
          <cell r="H8895" t="str">
            <v>irn.mit.ener.nav.nga.e.2</v>
          </cell>
        </row>
        <row r="8896">
          <cell r="H8896" t="str">
            <v>irn.mit.ener.nav.gso.e.2</v>
          </cell>
        </row>
        <row r="8897">
          <cell r="H8897" t="str">
            <v>irn.mit.ener.nav.die.e.2</v>
          </cell>
        </row>
        <row r="8898">
          <cell r="H8898" t="str">
            <v>irn.mit.ener.nav.lpg.e.2</v>
          </cell>
        </row>
        <row r="8899">
          <cell r="H8899" t="str">
            <v>irn.mit.ener.nav.ker.e.2</v>
          </cell>
        </row>
        <row r="8900">
          <cell r="H8900" t="str">
            <v>irn.mit.ener.nav.oop.e.2</v>
          </cell>
        </row>
        <row r="8901">
          <cell r="H8901" t="str">
            <v>irn.mit.ener.nav.bio.e.2</v>
          </cell>
        </row>
        <row r="8902">
          <cell r="H8902" t="str">
            <v>irn.mit.ener.nav.ren.e.2</v>
          </cell>
        </row>
        <row r="8939">
          <cell r="H8939" t="str">
            <v>irn.mit.ener.res.coa.e.2</v>
          </cell>
        </row>
        <row r="8940">
          <cell r="H8940" t="str">
            <v>irn.mit.ener.res.nga.e.2</v>
          </cell>
        </row>
        <row r="8941">
          <cell r="H8941" t="str">
            <v>irn.mit.ener.res.gso.e.2</v>
          </cell>
        </row>
        <row r="8942">
          <cell r="H8942" t="str">
            <v>irn.mit.ener.res.die.e.2</v>
          </cell>
        </row>
        <row r="8943">
          <cell r="H8943" t="str">
            <v>irn.mit.ener.res.lpg.e.2</v>
          </cell>
        </row>
        <row r="8944">
          <cell r="H8944" t="str">
            <v>irn.mit.ener.res.ker.e.2</v>
          </cell>
        </row>
        <row r="8945">
          <cell r="H8945" t="str">
            <v>irn.mit.ener.res.oop.e.2</v>
          </cell>
        </row>
        <row r="8946">
          <cell r="H8946" t="str">
            <v>irn.mit.ener.res.bio.e.2</v>
          </cell>
        </row>
        <row r="8947">
          <cell r="H8947" t="str">
            <v>irn.mit.ener.res.ren.e.2</v>
          </cell>
        </row>
        <row r="8995">
          <cell r="H8995" t="str">
            <v>irn.mit.ener.foo.coa.e.2</v>
          </cell>
        </row>
        <row r="8996">
          <cell r="H8996" t="str">
            <v>irn.mit.ener.foo.nga.e.2</v>
          </cell>
        </row>
        <row r="8997">
          <cell r="H8997" t="str">
            <v>irn.mit.ener.foo.gso.e.2</v>
          </cell>
        </row>
        <row r="8998">
          <cell r="H8998" t="str">
            <v>irn.mit.ener.foo.die.e.2</v>
          </cell>
        </row>
        <row r="8999">
          <cell r="H8999" t="str">
            <v>irn.mit.ener.foo.lpg.e.2</v>
          </cell>
        </row>
        <row r="9000">
          <cell r="H9000" t="str">
            <v>irn.mit.ener.foo.ker.e.2</v>
          </cell>
        </row>
        <row r="9001">
          <cell r="H9001" t="str">
            <v>irn.mit.ener.foo.oop.e.2</v>
          </cell>
        </row>
        <row r="9002">
          <cell r="H9002" t="str">
            <v>irn.mit.ener.foo.bio.e.2</v>
          </cell>
        </row>
        <row r="9003">
          <cell r="H9003" t="str">
            <v>irn.mit.ener.foo.ren.e.2</v>
          </cell>
        </row>
        <row r="9020">
          <cell r="H9020" t="str">
            <v>irn.mit.ener.srv.coa.e.2</v>
          </cell>
        </row>
        <row r="9021">
          <cell r="H9021" t="str">
            <v>irn.mit.ener.srv.nga.e.2</v>
          </cell>
        </row>
        <row r="9022">
          <cell r="H9022" t="str">
            <v>irn.mit.ener.srv.gso.e.2</v>
          </cell>
        </row>
        <row r="9023">
          <cell r="H9023" t="str">
            <v>irn.mit.ener.srv.die.e.2</v>
          </cell>
        </row>
        <row r="9024">
          <cell r="H9024" t="str">
            <v>irn.mit.ener.srv.lpg.e.2</v>
          </cell>
        </row>
        <row r="9025">
          <cell r="H9025" t="str">
            <v>irn.mit.ener.srv.ker.e.2</v>
          </cell>
        </row>
        <row r="9026">
          <cell r="H9026" t="str">
            <v>irn.mit.ener.srv.oop.e.2</v>
          </cell>
        </row>
        <row r="9027">
          <cell r="H9027" t="str">
            <v>irn.mit.ener.srv.bio.e.2</v>
          </cell>
        </row>
        <row r="9028">
          <cell r="H9028" t="str">
            <v>irn.mit.ener.srv.ren.e.2</v>
          </cell>
        </row>
        <row r="9050">
          <cell r="H9050" t="str">
            <v>irn.mit.ener.bld.tot.e.2</v>
          </cell>
        </row>
        <row r="9065">
          <cell r="H9065" t="str">
            <v>irn.mit.ener.mch.coa.e.2</v>
          </cell>
        </row>
        <row r="9066">
          <cell r="H9066" t="str">
            <v>irn.mit.ener.mch.nga.e.2</v>
          </cell>
        </row>
        <row r="9067">
          <cell r="H9067" t="str">
            <v>irn.mit.ener.mch.gso.e.2</v>
          </cell>
        </row>
        <row r="9068">
          <cell r="H9068" t="str">
            <v>irn.mit.ener.mch.die.e.2</v>
          </cell>
        </row>
        <row r="9069">
          <cell r="H9069" t="str">
            <v>irn.mit.ener.mch.lpg.e.2</v>
          </cell>
        </row>
        <row r="9070">
          <cell r="H9070" t="str">
            <v>irn.mit.ener.mch.ker.e.2</v>
          </cell>
        </row>
        <row r="9071">
          <cell r="H9071" t="str">
            <v>irn.mit.ener.mch.oop.e.2</v>
          </cell>
        </row>
        <row r="9072">
          <cell r="H9072" t="str">
            <v>irn.mit.ener.mch.bio.e.2</v>
          </cell>
        </row>
        <row r="9073">
          <cell r="H9073" t="str">
            <v>irn.mit.ener.mch.ren.e.2</v>
          </cell>
        </row>
        <row r="9090">
          <cell r="H9090" t="str">
            <v>irn.mit.ener.irn.coa.e.2</v>
          </cell>
        </row>
        <row r="9091">
          <cell r="H9091" t="str">
            <v>irn.mit.ener.irn.nga.e.2</v>
          </cell>
        </row>
        <row r="9092">
          <cell r="H9092" t="str">
            <v>irn.mit.ener.irn.gso.e.2</v>
          </cell>
        </row>
        <row r="9093">
          <cell r="H9093" t="str">
            <v>irn.mit.ener.irn.die.e.2</v>
          </cell>
        </row>
        <row r="9094">
          <cell r="H9094" t="str">
            <v>irn.mit.ener.irn.lpg.e.2</v>
          </cell>
        </row>
        <row r="9095">
          <cell r="H9095" t="str">
            <v>irn.mit.ener.irn.ker.e.2</v>
          </cell>
        </row>
        <row r="9096">
          <cell r="H9096" t="str">
            <v>irn.mit.ener.irn.oop.e.2</v>
          </cell>
        </row>
        <row r="9097">
          <cell r="H9097" t="str">
            <v>irn.mit.ener.irn.bio.e.2</v>
          </cell>
        </row>
        <row r="9098">
          <cell r="H9098" t="str">
            <v>irn.mit.ener.irn.ren.e.2</v>
          </cell>
        </row>
        <row r="9115">
          <cell r="H9115" t="str">
            <v>irn.mit.ener.nfm.coa.e.2</v>
          </cell>
        </row>
        <row r="9116">
          <cell r="H9116" t="str">
            <v>irn.mit.ener.nfm.nga.e.2</v>
          </cell>
        </row>
        <row r="9117">
          <cell r="H9117" t="str">
            <v>irn.mit.ener.nfm.gso.e.2</v>
          </cell>
        </row>
        <row r="9118">
          <cell r="H9118" t="str">
            <v>irn.mit.ener.nfm.die.e.2</v>
          </cell>
        </row>
        <row r="9119">
          <cell r="H9119" t="str">
            <v>irn.mit.ener.nfm.lpg.e.2</v>
          </cell>
        </row>
        <row r="9120">
          <cell r="H9120" t="str">
            <v>irn.mit.ener.nfm.ker.e.2</v>
          </cell>
        </row>
        <row r="9121">
          <cell r="H9121" t="str">
            <v>irn.mit.ener.nfm.oop.e.2</v>
          </cell>
        </row>
        <row r="9122">
          <cell r="H9122" t="str">
            <v>irn.mit.ener.nfm.bio.e.2</v>
          </cell>
        </row>
        <row r="9123">
          <cell r="H9123" t="str">
            <v>irn.mit.ener.nfm.ren.e.2</v>
          </cell>
        </row>
        <row r="9140">
          <cell r="H9140" t="str">
            <v>irn.mit.ener.mac.coa.e.2</v>
          </cell>
        </row>
        <row r="9141">
          <cell r="H9141" t="str">
            <v>irn.mit.ener.mac.nga.e.2</v>
          </cell>
        </row>
        <row r="9142">
          <cell r="H9142" t="str">
            <v>irn.mit.ener.mac.gso.e.2</v>
          </cell>
        </row>
        <row r="9143">
          <cell r="H9143" t="str">
            <v>irn.mit.ener.mac.die.e.2</v>
          </cell>
        </row>
        <row r="9144">
          <cell r="H9144" t="str">
            <v>irn.mit.ener.mac.lpg.e.2</v>
          </cell>
        </row>
        <row r="9145">
          <cell r="H9145" t="str">
            <v>irn.mit.ener.mac.ker.e.2</v>
          </cell>
        </row>
        <row r="9146">
          <cell r="H9146" t="str">
            <v>irn.mit.ener.mac.oop.e.2</v>
          </cell>
        </row>
        <row r="9147">
          <cell r="H9147" t="str">
            <v>irn.mit.ener.mac.bio.e.2</v>
          </cell>
        </row>
        <row r="9148">
          <cell r="H9148" t="str">
            <v>irn.mit.ener.mac.ren.e.2</v>
          </cell>
        </row>
        <row r="9165">
          <cell r="H9165" t="str">
            <v>irn.mit.ener.cem.coa.e.2</v>
          </cell>
        </row>
        <row r="9166">
          <cell r="H9166" t="str">
            <v>irn.mit.ener.cem.nga.e.2</v>
          </cell>
        </row>
        <row r="9167">
          <cell r="H9167" t="str">
            <v>irn.mit.ener.cem.gso.e.2</v>
          </cell>
        </row>
        <row r="9168">
          <cell r="H9168" t="str">
            <v>irn.mit.ener.cem.die.e.2</v>
          </cell>
        </row>
        <row r="9169">
          <cell r="H9169" t="str">
            <v>irn.mit.ener.cem.lpg.e.2</v>
          </cell>
        </row>
        <row r="9170">
          <cell r="H9170" t="str">
            <v>irn.mit.ener.cem.ker.e.2</v>
          </cell>
        </row>
        <row r="9171">
          <cell r="H9171" t="str">
            <v>irn.mit.ener.cem.oop.e.2</v>
          </cell>
        </row>
        <row r="9172">
          <cell r="H9172" t="str">
            <v>irn.mit.ener.cem.bio.e.2</v>
          </cell>
        </row>
        <row r="9173">
          <cell r="H9173" t="str">
            <v>irn.mit.ener.cem.ren.e.2</v>
          </cell>
        </row>
        <row r="9190">
          <cell r="H9190" t="str">
            <v>irn.mit.ener.omn.coa.e.2</v>
          </cell>
        </row>
        <row r="9191">
          <cell r="H9191" t="str">
            <v>irn.mit.ener.omn.nga.e.2</v>
          </cell>
        </row>
        <row r="9192">
          <cell r="H9192" t="str">
            <v>irn.mit.ener.omn.gso.e.2</v>
          </cell>
        </row>
        <row r="9193">
          <cell r="H9193" t="str">
            <v>irn.mit.ener.omn.die.e.2</v>
          </cell>
        </row>
        <row r="9194">
          <cell r="H9194" t="str">
            <v>irn.mit.ener.omn.lpg.e.2</v>
          </cell>
        </row>
        <row r="9195">
          <cell r="H9195" t="str">
            <v>irn.mit.ener.omn.ker.e.2</v>
          </cell>
        </row>
        <row r="9196">
          <cell r="H9196" t="str">
            <v>irn.mit.ener.omn.oop.e.2</v>
          </cell>
        </row>
        <row r="9197">
          <cell r="H9197" t="str">
            <v>irn.mit.ener.omn.bio.e.2</v>
          </cell>
        </row>
        <row r="9198">
          <cell r="H9198" t="str">
            <v>irn.mit.ener.omn.ren.e.2</v>
          </cell>
        </row>
        <row r="9215">
          <cell r="H9215" t="str">
            <v>irn.mit.ener.cst.coa.e.2</v>
          </cell>
        </row>
        <row r="9216">
          <cell r="H9216" t="str">
            <v>irn.mit.ener.cst.nga.e.2</v>
          </cell>
        </row>
        <row r="9217">
          <cell r="H9217" t="str">
            <v>irn.mit.ener.cst.gso.e.2</v>
          </cell>
        </row>
        <row r="9218">
          <cell r="H9218" t="str">
            <v>irn.mit.ener.cst.die.e.2</v>
          </cell>
        </row>
        <row r="9219">
          <cell r="H9219" t="str">
            <v>irn.mit.ener.cst.lpg.e.2</v>
          </cell>
        </row>
        <row r="9220">
          <cell r="H9220" t="str">
            <v>irn.mit.ener.cst.ker.e.2</v>
          </cell>
        </row>
        <row r="9221">
          <cell r="H9221" t="str">
            <v>irn.mit.ener.cst.oop.e.2</v>
          </cell>
        </row>
        <row r="9222">
          <cell r="H9222" t="str">
            <v>irn.mit.ener.cst.bio.e.2</v>
          </cell>
        </row>
        <row r="9223">
          <cell r="H9223" t="str">
            <v>irn.mit.ener.cst.ren.e.2</v>
          </cell>
        </row>
        <row r="9240">
          <cell r="H9240" t="str">
            <v>irn.mit.ener.ftr.coa.e.2</v>
          </cell>
        </row>
        <row r="9241">
          <cell r="H9241" t="str">
            <v>irn.mit.ener.ftr.nga.e.2</v>
          </cell>
        </row>
        <row r="9242">
          <cell r="H9242" t="str">
            <v>irn.mit.ener.ftr.gso.e.2</v>
          </cell>
        </row>
        <row r="9243">
          <cell r="H9243" t="str">
            <v>irn.mit.ener.ftr.die.e.2</v>
          </cell>
        </row>
        <row r="9244">
          <cell r="H9244" t="str">
            <v>irn.mit.ener.ftr.lpg.e.2</v>
          </cell>
        </row>
        <row r="9245">
          <cell r="H9245" t="str">
            <v>irn.mit.ener.ftr.ker.e.2</v>
          </cell>
        </row>
        <row r="9246">
          <cell r="H9246" t="str">
            <v>irn.mit.ener.ftr.oop.e.2</v>
          </cell>
        </row>
        <row r="9247">
          <cell r="H9247" t="str">
            <v>irn.mit.ener.ftr.bio.e.2</v>
          </cell>
        </row>
        <row r="9248">
          <cell r="H9248" t="str">
            <v>irn.mit.ener.ftr.ren.e.2</v>
          </cell>
        </row>
        <row r="9275">
          <cell r="H9275" t="str">
            <v>irn.mit.ener.ind.tot.e.2</v>
          </cell>
        </row>
        <row r="9470">
          <cell r="H9470" t="str">
            <v>irn.mit.ener.pow.coa.e.2</v>
          </cell>
        </row>
        <row r="9471">
          <cell r="H9471" t="str">
            <v>irn.mit.ener.pow.nga.e.2</v>
          </cell>
        </row>
        <row r="9472">
          <cell r="H9472" t="str">
            <v>irn.mit.ener.pow.oop.e.2</v>
          </cell>
        </row>
        <row r="9473">
          <cell r="H9473" t="str">
            <v>irn.mit.ener.pow.nuc.e.2</v>
          </cell>
        </row>
        <row r="9474">
          <cell r="H9474" t="str">
            <v>irn.mit.ener.pow.wnd.e.2</v>
          </cell>
        </row>
        <row r="9475">
          <cell r="H9475" t="str">
            <v>irn.mit.ener.pow.sol.e.2</v>
          </cell>
        </row>
        <row r="9476">
          <cell r="H9476" t="str">
            <v>irn.mit.ener.pow.hyd.e.2</v>
          </cell>
        </row>
        <row r="9477">
          <cell r="H9477" t="str">
            <v>irn.mit.ener.pow.ore.e.2</v>
          </cell>
        </row>
        <row r="9478">
          <cell r="H9478" t="str">
            <v>irn.mit.ener.pow.bio.e.2</v>
          </cell>
        </row>
        <row r="13366">
          <cell r="G13366" t="str">
            <v>irn.mit.sp.ind.coa.a.1</v>
          </cell>
        </row>
        <row r="13367">
          <cell r="G13367" t="str">
            <v>irn.mit.sp.ind.nga.a.1</v>
          </cell>
        </row>
        <row r="13368">
          <cell r="G13368" t="str">
            <v>irn.mit.sp.res.coa.a.1</v>
          </cell>
        </row>
        <row r="13369">
          <cell r="G13369" t="str">
            <v>irn.mit.sp.res.nga.a.1</v>
          </cell>
        </row>
        <row r="13370">
          <cell r="G13370" t="str">
            <v>irn.mit.sp.pow.coa.a.1</v>
          </cell>
        </row>
        <row r="13371">
          <cell r="G13371" t="str">
            <v>irn.mit.sp.pow.nga.a.1</v>
          </cell>
        </row>
        <row r="13372">
          <cell r="G13372" t="str">
            <v>irn.mit.sp.all.oop.a.1</v>
          </cell>
        </row>
        <row r="13373">
          <cell r="G13373" t="str">
            <v>irn.mit.sp.all.gso.a.1</v>
          </cell>
        </row>
        <row r="13374">
          <cell r="G13374" t="str">
            <v>irn.mit.sp.all.die.a.1</v>
          </cell>
        </row>
        <row r="13375">
          <cell r="G13375" t="str">
            <v>irn.mit.sp.all.lpg.a.1</v>
          </cell>
        </row>
        <row r="13376">
          <cell r="G13376" t="str">
            <v>irn.mit.sp.all.ker.a.1</v>
          </cell>
        </row>
        <row r="13378">
          <cell r="G13378" t="str">
            <v>irn.mit.txo.ind.ecy.t.1</v>
          </cell>
        </row>
        <row r="13379">
          <cell r="G13379" t="str">
            <v>irn.mit.txo.res.ecy.t.1</v>
          </cell>
        </row>
        <row r="13380">
          <cell r="G13380" t="str">
            <v>irn.mit.txo.ind.coa.a.1</v>
          </cell>
        </row>
        <row r="13381">
          <cell r="G13381" t="str">
            <v>irn.mit.txo.ind.nga.a.1</v>
          </cell>
        </row>
        <row r="13382">
          <cell r="G13382" t="str">
            <v>irn.mit.txo.res.coa.a.1</v>
          </cell>
        </row>
        <row r="13383">
          <cell r="G13383" t="str">
            <v>irn.mit.txo.res.nga.a.1</v>
          </cell>
        </row>
        <row r="13384">
          <cell r="G13384" t="str">
            <v>irn.mit.txo.pow.coa.a.1</v>
          </cell>
        </row>
        <row r="13385">
          <cell r="G13385" t="str">
            <v>irn.mit.txo.pow.nga.a.1</v>
          </cell>
        </row>
        <row r="13386">
          <cell r="G13386" t="str">
            <v>irn.mit.txo.all.oop.a.1</v>
          </cell>
        </row>
        <row r="13387">
          <cell r="G13387" t="str">
            <v>irn.mit.txo.all.gso.a.1</v>
          </cell>
        </row>
        <row r="13388">
          <cell r="G13388" t="str">
            <v>irn.mit.txo.all.die.a.1</v>
          </cell>
        </row>
        <row r="13389">
          <cell r="G13389" t="str">
            <v>irn.mit.txo.all.lpg.a.1</v>
          </cell>
        </row>
        <row r="13390">
          <cell r="G13390" t="str">
            <v>irn.mit.txo.all.ker.a.1</v>
          </cell>
        </row>
        <row r="13392">
          <cell r="G13392" t="str">
            <v>irn.mit.vat.ind.ecy.t.1</v>
          </cell>
        </row>
        <row r="13393">
          <cell r="G13393" t="str">
            <v>irn.mit.vat.res.ecy.t.1</v>
          </cell>
        </row>
        <row r="13394">
          <cell r="G13394" t="str">
            <v>irn.mit.vat.ind.coa.a.1</v>
          </cell>
        </row>
        <row r="13395">
          <cell r="G13395" t="str">
            <v>irn.mit.vat.ind.nga.a.1</v>
          </cell>
        </row>
        <row r="13396">
          <cell r="G13396" t="str">
            <v>irn.mit.vat.res.coa.a.1</v>
          </cell>
        </row>
        <row r="13397">
          <cell r="G13397" t="str">
            <v>irn.mit.vat.res.nga.a.1</v>
          </cell>
        </row>
        <row r="13398">
          <cell r="G13398" t="str">
            <v>irn.mit.vat.pow.coa.a.1</v>
          </cell>
        </row>
        <row r="13399">
          <cell r="G13399" t="str">
            <v>irn.mit.vat.pow.nga.a.1</v>
          </cell>
        </row>
        <row r="13400">
          <cell r="G13400" t="str">
            <v>irn.mit.vat.all.oop.a.1</v>
          </cell>
        </row>
        <row r="13401">
          <cell r="G13401" t="str">
            <v>irn.mit.vat.all.gso.a.1</v>
          </cell>
        </row>
        <row r="13402">
          <cell r="G13402" t="str">
            <v>irn.mit.vat.all.die.a.1</v>
          </cell>
        </row>
        <row r="13403">
          <cell r="G13403" t="str">
            <v>irn.mit.vat.all.lpg.a.1</v>
          </cell>
        </row>
        <row r="13404">
          <cell r="G13404" t="str">
            <v>irn.mit.vat.all.ker.a.1</v>
          </cell>
        </row>
        <row r="13406">
          <cell r="G13406" t="str">
            <v>irn.mit.ctx.ind.ecy.t.1</v>
          </cell>
        </row>
        <row r="13407">
          <cell r="G13407" t="str">
            <v>irn.mit.ctx.res.ecy.t.1</v>
          </cell>
        </row>
        <row r="13408">
          <cell r="G13408" t="str">
            <v>irn.mit.ctx.ind.coa.a.1</v>
          </cell>
        </row>
        <row r="13409">
          <cell r="G13409" t="str">
            <v>irn.mit.ctx.ind.nga.a.1</v>
          </cell>
        </row>
        <row r="13410">
          <cell r="G13410" t="str">
            <v>irn.mit.ctx.res.coa.a.1</v>
          </cell>
        </row>
        <row r="13411">
          <cell r="G13411" t="str">
            <v>irn.mit.ctx.res.nga.a.1</v>
          </cell>
        </row>
        <row r="13412">
          <cell r="G13412" t="str">
            <v>irn.mit.ctx.pow.coa.a.1</v>
          </cell>
        </row>
        <row r="13413">
          <cell r="G13413" t="str">
            <v>irn.mit.ctx.pow.nga.a.1</v>
          </cell>
        </row>
        <row r="13414">
          <cell r="G13414" t="str">
            <v>irn.mit.ctx.all.oop.a.1</v>
          </cell>
        </row>
        <row r="13415">
          <cell r="G13415" t="str">
            <v>irn.mit.ctx.all.gso.a.1</v>
          </cell>
        </row>
        <row r="13416">
          <cell r="G13416" t="str">
            <v>irn.mit.ctx.all.die.a.1</v>
          </cell>
        </row>
        <row r="13417">
          <cell r="G13417" t="str">
            <v>irn.mit.ctx.all.lpg.a.1</v>
          </cell>
        </row>
        <row r="13418">
          <cell r="G13418" t="str">
            <v>irn.mit.ctx.all.ker.a.1</v>
          </cell>
        </row>
        <row r="13420">
          <cell r="G13420" t="str">
            <v>irn.mit.ets.ind.ecy.t.1</v>
          </cell>
        </row>
        <row r="13421">
          <cell r="G13421" t="str">
            <v>irn.mit.ets.res.ecy.t.1</v>
          </cell>
        </row>
        <row r="13422">
          <cell r="G13422" t="str">
            <v>irn.mit.ets.ind.coa.a.1</v>
          </cell>
        </row>
        <row r="13423">
          <cell r="G13423" t="str">
            <v>irn.mit.ets.ind.nga.a.1</v>
          </cell>
        </row>
        <row r="13424">
          <cell r="G13424" t="str">
            <v>irn.mit.ets.res.coa.a.1</v>
          </cell>
        </row>
        <row r="13425">
          <cell r="G13425" t="str">
            <v>irn.mit.ets.res.nga.a.1</v>
          </cell>
        </row>
        <row r="13426">
          <cell r="G13426" t="str">
            <v>irn.mit.ets.pow.coa.a.1</v>
          </cell>
        </row>
        <row r="13427">
          <cell r="G13427" t="str">
            <v>irn.mit.ets.pow.nga.a.1</v>
          </cell>
        </row>
        <row r="13428">
          <cell r="G13428" t="str">
            <v>irn.mit.ets.all.oop.a.1</v>
          </cell>
        </row>
        <row r="13429">
          <cell r="G13429" t="str">
            <v>irn.mit.ets.all.gso.a.1</v>
          </cell>
        </row>
        <row r="13430">
          <cell r="G13430" t="str">
            <v>irn.mit.ets.all.die.a.1</v>
          </cell>
        </row>
        <row r="13431">
          <cell r="G13431" t="str">
            <v>irn.mit.ets.all.lpg.a.1</v>
          </cell>
        </row>
        <row r="13432">
          <cell r="G13432" t="str">
            <v>irn.mit.ets.all.ker.a.1</v>
          </cell>
        </row>
        <row r="13434">
          <cell r="G13434" t="str">
            <v>irn.mit.rp.ind.ecy.t.1</v>
          </cell>
        </row>
        <row r="13435">
          <cell r="G13435" t="str">
            <v>irn.mit.rp.res.ecy.t.1</v>
          </cell>
        </row>
        <row r="13436">
          <cell r="G13436" t="str">
            <v>irn.mit.rp.ind.coa.a.1</v>
          </cell>
        </row>
        <row r="13437">
          <cell r="G13437" t="str">
            <v>irn.mit.rp.ind.nga.a.1</v>
          </cell>
        </row>
        <row r="13438">
          <cell r="G13438" t="str">
            <v>irn.mit.rp.res.coa.a.1</v>
          </cell>
        </row>
        <row r="13439">
          <cell r="G13439" t="str">
            <v>irn.mit.rp.res.nga.a.1</v>
          </cell>
        </row>
        <row r="13440">
          <cell r="G13440" t="str">
            <v>irn.mit.rp.pow.coa.a.1</v>
          </cell>
        </row>
        <row r="13441">
          <cell r="G13441" t="str">
            <v>irn.mit.rp.pow.nga.a.1</v>
          </cell>
        </row>
        <row r="13475">
          <cell r="H13475" t="str">
            <v>irn.mit.rp.all.ecy.wtd.1</v>
          </cell>
        </row>
        <row r="13476">
          <cell r="H13476" t="str">
            <v>irn.mit.rp.all.coa.wtd.1</v>
          </cell>
        </row>
        <row r="13477">
          <cell r="H13477" t="str">
            <v>irn.mit.rp.all.nga.wtd.1</v>
          </cell>
        </row>
        <row r="13478">
          <cell r="H13478" t="str">
            <v>irn.mit.rp.all.oil.wtd.1</v>
          </cell>
        </row>
        <row r="13479">
          <cell r="H13479" t="str">
            <v>irn.mit.rp.all.gso.wtd.1</v>
          </cell>
        </row>
        <row r="13480">
          <cell r="H13480" t="str">
            <v>irn.mit.rp.all.die.wtd.1</v>
          </cell>
        </row>
        <row r="13481">
          <cell r="H13481" t="str">
            <v>irn.mit.rp.all.lpg.wtd.1</v>
          </cell>
        </row>
        <row r="13482">
          <cell r="H13482" t="str">
            <v>irn.mit.rp.all.ker.wtd.1</v>
          </cell>
        </row>
        <row r="13486">
          <cell r="G13486" t="str">
            <v>irn.mit.rp.ind.ecy.t.2</v>
          </cell>
        </row>
        <row r="13487">
          <cell r="G13487" t="str">
            <v>irn.mit.rp.res.ecy.t.2</v>
          </cell>
        </row>
        <row r="13488">
          <cell r="G13488" t="str">
            <v>irn.mit.rp.ind.coa.a.2</v>
          </cell>
        </row>
        <row r="13489">
          <cell r="G13489" t="str">
            <v>irn.mit.rp.ind.nga.a.2</v>
          </cell>
        </row>
        <row r="13490">
          <cell r="G13490" t="str">
            <v>irn.mit.rp.res.coa.a.2</v>
          </cell>
        </row>
        <row r="13491">
          <cell r="G13491" t="str">
            <v>irn.mit.rp.res.nga.a.2</v>
          </cell>
        </row>
        <row r="13492">
          <cell r="G13492" t="str">
            <v>irn.mit.rp.pow.coa.a.2</v>
          </cell>
        </row>
        <row r="13493">
          <cell r="G13493" t="str">
            <v>irn.mit.rp.pow.nga.a.2</v>
          </cell>
        </row>
        <row r="13500">
          <cell r="H13500" t="str">
            <v>irn.mit.rp.all.ecy.wtd.2</v>
          </cell>
        </row>
        <row r="13501">
          <cell r="H13501" t="str">
            <v>irn.mit.rp.coa.wtd.2</v>
          </cell>
        </row>
        <row r="13502">
          <cell r="H13502" t="str">
            <v>irn.mit.rp.nga.wtd.2</v>
          </cell>
        </row>
        <row r="13503">
          <cell r="H13503" t="str">
            <v>irn.mit.rp.oil.wtd.2</v>
          </cell>
        </row>
        <row r="13504">
          <cell r="H13504" t="str">
            <v>irn.mit.rp.gso.wtd.2</v>
          </cell>
        </row>
        <row r="13505">
          <cell r="H13505" t="str">
            <v>irn.mit.rp.die.wtd.2</v>
          </cell>
        </row>
        <row r="13506">
          <cell r="H13506" t="str">
            <v>irn.mit.rp.lpg.wtd.2</v>
          </cell>
        </row>
        <row r="13507">
          <cell r="H13507" t="str">
            <v>irn.mit.rp.ker.wtd.2</v>
          </cell>
        </row>
        <row r="13534">
          <cell r="H13534" t="str">
            <v>irn.mit.rp.all.ecy.pct.2</v>
          </cell>
        </row>
        <row r="13535">
          <cell r="H13535" t="str">
            <v>irn.mit.rp.all.coa.pct.2</v>
          </cell>
        </row>
        <row r="13536">
          <cell r="H13536" t="str">
            <v>irn.mit.rp.all.nga.pct.2</v>
          </cell>
        </row>
        <row r="13537">
          <cell r="H13537" t="str">
            <v>irn.mit.rp.all.oil.pct.2</v>
          </cell>
        </row>
        <row r="13538">
          <cell r="H13538" t="str">
            <v>irn.mit.rp.all.gso.pct.2</v>
          </cell>
        </row>
        <row r="13539">
          <cell r="H13539" t="str">
            <v>irn.mit.rp.all.die.pct.2</v>
          </cell>
        </row>
        <row r="13540">
          <cell r="H13540" t="str">
            <v>irn.mit.rp.all.lpg.pct.2</v>
          </cell>
        </row>
        <row r="13541">
          <cell r="H13541" t="str">
            <v>irn.mit.rp.all.ker.pct.2</v>
          </cell>
        </row>
        <row r="13633">
          <cell r="H13633" t="str">
            <v>irn.mit.tcp.all.coa.a.1</v>
          </cell>
        </row>
        <row r="13641">
          <cell r="H13641" t="str">
            <v>irn.mit.tcp.all.nga.a.1</v>
          </cell>
        </row>
        <row r="13647">
          <cell r="H13647" t="str">
            <v>irn.mit.tcp_csf.rod.gso.a.1</v>
          </cell>
        </row>
        <row r="13653">
          <cell r="H13653" t="str">
            <v>irn.mit.tcp_csf.rod.die.a1</v>
          </cell>
        </row>
        <row r="13659">
          <cell r="H13659" t="str">
            <v>irn.mit.tcp_csf.res.lpg.a.1</v>
          </cell>
        </row>
        <row r="13665">
          <cell r="H13665" t="str">
            <v>irn.mit.tcp_csf.all.ker.a.1</v>
          </cell>
        </row>
        <row r="13671">
          <cell r="H13671" t="str">
            <v>irn.mit.tcp_csf.all.oop.a.1</v>
          </cell>
        </row>
        <row r="13685">
          <cell r="H13685" t="str">
            <v>irn.mit.tcp.all.all.a.1</v>
          </cell>
        </row>
        <row r="13759">
          <cell r="H13759" t="str">
            <v>irn.mit.tcp.all.coa.a.2</v>
          </cell>
        </row>
        <row r="13767">
          <cell r="H13767" t="str">
            <v>irn.mit.tcp.all.nga.a.2</v>
          </cell>
        </row>
        <row r="13773">
          <cell r="H13773" t="str">
            <v>irn.mit.tcp_csf.rod.gso.a.2</v>
          </cell>
        </row>
        <row r="13779">
          <cell r="H13779" t="str">
            <v>irn.mit.tcp_csf.rod.die.a2</v>
          </cell>
        </row>
        <row r="13785">
          <cell r="H13785" t="str">
            <v>irn.mit.tcp_csf.res.lpg.a.2</v>
          </cell>
        </row>
        <row r="13791">
          <cell r="H13791" t="str">
            <v>irn.mit.tcp_csf.all.ker.a.2</v>
          </cell>
        </row>
        <row r="13797">
          <cell r="H13797" t="str">
            <v>irn.mit.tcp_csf.all.oop.a.2</v>
          </cell>
        </row>
        <row r="13811">
          <cell r="H13811" t="str">
            <v>irn.mit.tcp.all.all.a.2</v>
          </cell>
        </row>
        <row r="13817">
          <cell r="H13817" t="str">
            <v>irn.mit.ecr.1</v>
          </cell>
        </row>
        <row r="13825">
          <cell r="H13825" t="str">
            <v>irn.mit.ecr.2</v>
          </cell>
        </row>
        <row r="13829">
          <cell r="H13829" t="str">
            <v>irn.mit.co2.ela.eco.2</v>
          </cell>
        </row>
        <row r="13831">
          <cell r="H13831" t="str">
            <v>irn.mit.ndc.ecr.2</v>
          </cell>
        </row>
        <row r="14153">
          <cell r="G14153" t="str">
            <v>irn.mit.tsd.ecy.1</v>
          </cell>
        </row>
        <row r="14154">
          <cell r="G14154" t="str">
            <v>irn.mit.eou.ecy.1</v>
          </cell>
        </row>
        <row r="14155">
          <cell r="G14155" t="str">
            <v>irn.mit.nxp.ecy.1</v>
          </cell>
        </row>
        <row r="14162">
          <cell r="H14162" t="str">
            <v>irn.mit.elec.twh.tot.1</v>
          </cell>
        </row>
        <row r="14163">
          <cell r="H14163" t="str">
            <v>irn.mit.elec.twh.coa.1</v>
          </cell>
        </row>
        <row r="14164">
          <cell r="H14164" t="str">
            <v>irn.mit.elec.twh.nga.1</v>
          </cell>
        </row>
        <row r="14165">
          <cell r="H14165" t="str">
            <v>irn.mit.elec.twh.oop.1</v>
          </cell>
        </row>
        <row r="14166">
          <cell r="H14166" t="str">
            <v>irn.mit.elec.twh.nuc.1</v>
          </cell>
        </row>
        <row r="14167">
          <cell r="H14167" t="str">
            <v>irn.mit.elec.twh.wnd.1</v>
          </cell>
        </row>
        <row r="14168">
          <cell r="H14168" t="str">
            <v>irn.mit.elec.twh.sol.1</v>
          </cell>
        </row>
        <row r="14169">
          <cell r="H14169" t="str">
            <v>irn.mit.elec.twh.hyd.1</v>
          </cell>
        </row>
        <row r="14170">
          <cell r="H14170" t="str">
            <v>irn.mit.elec.twh.ore.1</v>
          </cell>
        </row>
        <row r="14171">
          <cell r="H14171" t="str">
            <v>irn.mit.elec.twh.bio.1</v>
          </cell>
        </row>
        <row r="14172">
          <cell r="H14172" t="str">
            <v>irn.mit.elec.twh.ren.1</v>
          </cell>
        </row>
        <row r="14177">
          <cell r="H14177" t="str">
            <v>irn.mit.elec.twh.tot.2</v>
          </cell>
        </row>
        <row r="14178">
          <cell r="H14178" t="str">
            <v>irn.mit.elec.twh.coa.2</v>
          </cell>
        </row>
        <row r="14179">
          <cell r="H14179" t="str">
            <v>irn.mit.elec.twh.nga.2</v>
          </cell>
        </row>
        <row r="14180">
          <cell r="H14180" t="str">
            <v>irn.mit.elec.twh.oop.2</v>
          </cell>
        </row>
        <row r="14181">
          <cell r="H14181" t="str">
            <v>irn.mit.elec.twh.nuc.2</v>
          </cell>
        </row>
        <row r="14182">
          <cell r="H14182" t="str">
            <v>irn.mit.elec.twh.wnd.2</v>
          </cell>
        </row>
        <row r="14183">
          <cell r="H14183" t="str">
            <v>irn.mit.elec.twh.sol.2</v>
          </cell>
        </row>
        <row r="14184">
          <cell r="H14184" t="str">
            <v>irn.mit.elec.twh.hyd.2</v>
          </cell>
        </row>
        <row r="14185">
          <cell r="H14185" t="str">
            <v>irn.mit.elec.twh.ore.2</v>
          </cell>
        </row>
        <row r="14186">
          <cell r="H14186" t="str">
            <v>irn.mit.elec.twh.bio.2</v>
          </cell>
        </row>
        <row r="14187">
          <cell r="H14187" t="str">
            <v>irn.mit.elec.twh.ren.2</v>
          </cell>
        </row>
        <row r="14232">
          <cell r="H14232" t="str">
            <v>irn.mit.elec.twh.sel.tot.ecy.1</v>
          </cell>
        </row>
        <row r="14240">
          <cell r="H14240" t="str">
            <v>irn.mit.elec.twh.sel.tot.ecy.2</v>
          </cell>
        </row>
        <row r="14250">
          <cell r="G14250" t="str">
            <v>irn.mit.nim.pow.coa.t.1</v>
          </cell>
        </row>
        <row r="14251">
          <cell r="G14251" t="str">
            <v>irn.mit.nim.pow.nga.t.1</v>
          </cell>
        </row>
        <row r="14252">
          <cell r="G14252" t="str">
            <v>irn.mit.nim.pow.oop.t.1</v>
          </cell>
        </row>
        <row r="14253">
          <cell r="G14253" t="str">
            <v>irn.mit.nim.pow.nuc.t.1</v>
          </cell>
        </row>
        <row r="14254">
          <cell r="G14254" t="str">
            <v>irn.mit.nim.pow.wnd.t.1</v>
          </cell>
        </row>
        <row r="14255">
          <cell r="G14255" t="str">
            <v>irn.mit.nim.pow.sol.t.1</v>
          </cell>
        </row>
        <row r="14256">
          <cell r="G14256" t="str">
            <v>irn.mit.nim.pow.hyd.t.1</v>
          </cell>
        </row>
        <row r="14257">
          <cell r="G14257" t="str">
            <v>irn.mit.nim.pow.ore.t.1</v>
          </cell>
        </row>
        <row r="14258">
          <cell r="G14258" t="str">
            <v>irn.mit.nim.pow.bio.t.1</v>
          </cell>
        </row>
        <row r="14260">
          <cell r="G14260" t="str">
            <v>irn.mit.nim.pow.coa.t.2</v>
          </cell>
        </row>
        <row r="14261">
          <cell r="G14261" t="str">
            <v>irn.mit.nim.pow.nga.t.2</v>
          </cell>
        </row>
        <row r="14262">
          <cell r="G14262" t="str">
            <v>irn.mit.nim.pow.oop.t.2</v>
          </cell>
        </row>
        <row r="14263">
          <cell r="G14263" t="str">
            <v>irn.mit.nim.pow.nuc.t.2</v>
          </cell>
        </row>
        <row r="14264">
          <cell r="G14264" t="str">
            <v>irn.mit.nim.pow.wnd.t.2</v>
          </cell>
        </row>
        <row r="14265">
          <cell r="G14265" t="str">
            <v>irn.mit.nim.pow.sol.t.2</v>
          </cell>
        </row>
        <row r="14266">
          <cell r="G14266" t="str">
            <v>irn.mit.nim.pow.hyd.t.2</v>
          </cell>
        </row>
        <row r="14267">
          <cell r="G14267" t="str">
            <v>irn.mit.nim.pow.ore.t.2</v>
          </cell>
        </row>
        <row r="14268">
          <cell r="G14268" t="str">
            <v>irn.mit.nim.pow.bio.t.2</v>
          </cell>
        </row>
        <row r="14271">
          <cell r="G14271" t="str">
            <v>irn.mit.nid.pow.coa.t.1</v>
          </cell>
        </row>
        <row r="14272">
          <cell r="G14272" t="str">
            <v>irn.mit.nid.pow.nga.t.1</v>
          </cell>
        </row>
        <row r="14273">
          <cell r="G14273" t="str">
            <v>irn.mit.nid.pow.oop.t.1</v>
          </cell>
        </row>
        <row r="14274">
          <cell r="G14274" t="str">
            <v>irn.mit.nid.pow.nuc.t.1</v>
          </cell>
        </row>
        <row r="14275">
          <cell r="G14275" t="str">
            <v>irn.mit.nid.pow.wnd.t.1</v>
          </cell>
        </row>
        <row r="14276">
          <cell r="G14276" t="str">
            <v>irn.mit.nid.pow.sol.t.1</v>
          </cell>
        </row>
        <row r="14277">
          <cell r="G14277" t="str">
            <v>irn.mit.nid.pow.hyd.t.1</v>
          </cell>
        </row>
        <row r="14278">
          <cell r="G14278" t="str">
            <v>irn.mit.nid.pow.ore.t.1</v>
          </cell>
        </row>
        <row r="14279">
          <cell r="G14279" t="str">
            <v>irn.mit.nid.pow.bio.t.1</v>
          </cell>
        </row>
        <row r="14281">
          <cell r="G14281" t="str">
            <v>irn.mit.nid.pow.coa.t.2</v>
          </cell>
        </row>
        <row r="14282">
          <cell r="G14282" t="str">
            <v>irn.mit.nid.pow.nga.t.2</v>
          </cell>
        </row>
        <row r="14283">
          <cell r="G14283" t="str">
            <v>irn.mit.nid.pow.oop.t.2</v>
          </cell>
        </row>
        <row r="14284">
          <cell r="G14284" t="str">
            <v>irn.mit.nid.pow.nuc.t.2</v>
          </cell>
        </row>
        <row r="14285">
          <cell r="G14285" t="str">
            <v>irn.mit.nid.pow.wnd.t.2</v>
          </cell>
        </row>
        <row r="14286">
          <cell r="G14286" t="str">
            <v>irn.mit.nid.pow.sol.t.2</v>
          </cell>
        </row>
        <row r="14287">
          <cell r="G14287" t="str">
            <v>irn.mit.nid.pow.hyd.t.2</v>
          </cell>
        </row>
        <row r="14288">
          <cell r="G14288" t="str">
            <v>irn.mit.nid.pow.ore.t.2</v>
          </cell>
        </row>
        <row r="14289">
          <cell r="G14289" t="str">
            <v>irn.mit.nid.pow.bio.t.2</v>
          </cell>
        </row>
        <row r="14346">
          <cell r="H14346" t="str">
            <v>irn.mit.rev.new.usd.1</v>
          </cell>
        </row>
        <row r="14348">
          <cell r="G14348" t="str">
            <v>irn.mit.rev.new.coa.usd.2</v>
          </cell>
        </row>
        <row r="14349">
          <cell r="G14349" t="str">
            <v>irn.mit.rev.new.nga.usd.2</v>
          </cell>
        </row>
        <row r="14350">
          <cell r="G14350" t="str">
            <v>irn.mit.rev.new.oil.usd.2</v>
          </cell>
        </row>
        <row r="14351">
          <cell r="G14351" t="str">
            <v>irn.mit.rev.new.gso.usd.2</v>
          </cell>
        </row>
        <row r="14352">
          <cell r="G14352" t="str">
            <v>irn.mit.rev.new.die.usd.2</v>
          </cell>
        </row>
        <row r="14353">
          <cell r="G14353" t="str">
            <v>irn.mit.rev.new.lpk.usd.2</v>
          </cell>
        </row>
        <row r="14355">
          <cell r="G14355" t="str">
            <v>irn.mit.rev.new.usd.2</v>
          </cell>
        </row>
        <row r="14359">
          <cell r="G14359" t="str">
            <v>irn.mit.rev.tot.usd.1</v>
          </cell>
        </row>
        <row r="14360">
          <cell r="G14360" t="str">
            <v>irn.mit.rev.tot.coa.usd.1</v>
          </cell>
        </row>
        <row r="14361">
          <cell r="G14361" t="str">
            <v>irn.mit.rev.tot.nga.usd.1</v>
          </cell>
        </row>
        <row r="14362">
          <cell r="G14362" t="str">
            <v>irn.mit.rev.tot.oil.usd.1</v>
          </cell>
        </row>
        <row r="14363">
          <cell r="G14363" t="str">
            <v>irn.mit.rev.tot.gso.usd.1</v>
          </cell>
        </row>
        <row r="14364">
          <cell r="G14364" t="str">
            <v>irn.mit.rev.tot.die.usd.1</v>
          </cell>
        </row>
        <row r="14365">
          <cell r="G14365" t="str">
            <v>irn.mit.rev.tot.lpk.usd.1</v>
          </cell>
        </row>
        <row r="14366">
          <cell r="G14366" t="str">
            <v>irn.mit.sub.ren.usd.1</v>
          </cell>
        </row>
        <row r="14367">
          <cell r="G14367" t="str">
            <v>irn.mit.rev.tot.ecy.usd.1</v>
          </cell>
        </row>
        <row r="14368">
          <cell r="G14368" t="str">
            <v>irn.mit.rev.tot.usd.2</v>
          </cell>
        </row>
        <row r="14369">
          <cell r="G14369" t="str">
            <v>irn.mit.rev.tot.coa.usd.2</v>
          </cell>
        </row>
        <row r="14370">
          <cell r="G14370" t="str">
            <v>irn.mit.rev.tot.nga.usd.2</v>
          </cell>
        </row>
        <row r="14371">
          <cell r="G14371" t="str">
            <v>irn.mit.rev.tot.oil.usd.2</v>
          </cell>
        </row>
        <row r="14372">
          <cell r="G14372" t="str">
            <v>irn.mit.rev.tot.gso.usd.2</v>
          </cell>
        </row>
        <row r="14373">
          <cell r="G14373" t="str">
            <v>irn.mit.rev.tot.die.usd.2</v>
          </cell>
        </row>
        <row r="14374">
          <cell r="G14374" t="str">
            <v>irn.mit.rev.tot.lpk.usd.2</v>
          </cell>
        </row>
        <row r="14375">
          <cell r="G14375" t="str">
            <v>irn.mit.sub.ren.usd.2</v>
          </cell>
        </row>
        <row r="14376">
          <cell r="G14376" t="str">
            <v>irn.mit.rev.tot.ecy.usd.2</v>
          </cell>
        </row>
        <row r="14478">
          <cell r="H14478" t="str">
            <v>irn.mit.ers</v>
          </cell>
        </row>
        <row r="14487">
          <cell r="H14487" t="str">
            <v>irn.mit.rcp</v>
          </cell>
        </row>
        <row r="14488">
          <cell r="H14488" t="str">
            <v>irn.mit.rcp.pow</v>
          </cell>
        </row>
        <row r="14489">
          <cell r="H14489" t="str">
            <v>irn.mit.rcp.trs</v>
          </cell>
        </row>
        <row r="14490">
          <cell r="H14490" t="str">
            <v>irn.mit.rcp.bld</v>
          </cell>
        </row>
        <row r="14491">
          <cell r="H14491" t="str">
            <v>irn.mit.rcp.ind</v>
          </cell>
        </row>
        <row r="14832">
          <cell r="H14832" t="str">
            <v>irn.mit.scc.1</v>
          </cell>
        </row>
        <row r="14836">
          <cell r="H14836" t="str">
            <v>irn.mit.cc.code.coa.1</v>
          </cell>
        </row>
        <row r="14837">
          <cell r="H14837" t="str">
            <v>irn.mit.cc.code.nga.1</v>
          </cell>
        </row>
        <row r="14839">
          <cell r="H14839" t="str">
            <v>irn.mit.cc.code.gso.1</v>
          </cell>
        </row>
        <row r="14840">
          <cell r="H14840" t="str">
            <v>irn.mit.cc.code.die.1</v>
          </cell>
        </row>
        <row r="14841">
          <cell r="H14841" t="str">
            <v>irn.mit.cc.code.lpg.1</v>
          </cell>
        </row>
        <row r="14842">
          <cell r="H14842" t="str">
            <v>irn.mit.cc.code.ker.1</v>
          </cell>
        </row>
        <row r="14849">
          <cell r="E14849" t="str">
            <v>real US$ 2021 bn</v>
          </cell>
        </row>
        <row r="14850">
          <cell r="D14850" t="str">
            <v>Averted climate damages (national)</v>
          </cell>
          <cell r="E14850" t="str">
            <v>real US$ 2021 bn</v>
          </cell>
          <cell r="H14850" t="str">
            <v>irn.mit.wel.cli.usd</v>
          </cell>
        </row>
        <row r="14851">
          <cell r="D14851" t="str">
            <v>Averted air pollution mortality/morbidity</v>
          </cell>
          <cell r="E14851" t="str">
            <v>real US$ 2021 bn</v>
          </cell>
          <cell r="H14851" t="str">
            <v>irn.mit.wel.air.usd</v>
          </cell>
        </row>
        <row r="14852">
          <cell r="D14852" t="str">
            <v>Averted road accidents</v>
          </cell>
          <cell r="E14852" t="str">
            <v>real US$ 2021 bn</v>
          </cell>
          <cell r="H14852" t="str">
            <v>irn.mit.wel.rod.aci.usd</v>
          </cell>
        </row>
        <row r="14853">
          <cell r="D14853" t="str">
            <v>Reduced congestion</v>
          </cell>
          <cell r="E14853" t="str">
            <v>real US$ 2021 bn</v>
          </cell>
          <cell r="H14853" t="str">
            <v>irn.mit.wel.rod.con.usd</v>
          </cell>
        </row>
        <row r="14855">
          <cell r="D14855" t="str">
            <v>Efficiency costs</v>
          </cell>
          <cell r="E14855" t="str">
            <v>real US$ 2021 bn</v>
          </cell>
          <cell r="H14855" t="str">
            <v>irn.mit.wel.eco.dwl.usd</v>
          </cell>
        </row>
        <row r="14856">
          <cell r="D14856" t="str">
            <v>Total national welfare benefits</v>
          </cell>
          <cell r="E14856" t="str">
            <v>real US$ 2021 bn</v>
          </cell>
          <cell r="H14856" t="str">
            <v>irn.mit.wel.tot.tot</v>
          </cell>
        </row>
        <row r="14857">
          <cell r="D14857" t="str">
            <v>Climate benefits</v>
          </cell>
          <cell r="E14857" t="str">
            <v>% GDP</v>
          </cell>
          <cell r="H14857" t="str">
            <v>irn.mit.wel.cli.pct</v>
          </cell>
        </row>
        <row r="14858">
          <cell r="D14858" t="str">
            <v>Air pollution co-benefits</v>
          </cell>
          <cell r="E14858" t="str">
            <v>% GDP</v>
          </cell>
          <cell r="H14858" t="str">
            <v>irn.mit.wel.air.pct</v>
          </cell>
        </row>
        <row r="14859">
          <cell r="D14859" t="str">
            <v>Transport co-benefits</v>
          </cell>
          <cell r="E14859" t="str">
            <v>% GDP</v>
          </cell>
          <cell r="H14859" t="str">
            <v>irn.mit.wel.rod.pct</v>
          </cell>
        </row>
        <row r="14860">
          <cell r="D14860" t="str">
            <v>Efficiency costs</v>
          </cell>
          <cell r="E14860" t="str">
            <v>% GDP</v>
          </cell>
          <cell r="H14860" t="str">
            <v>irn.mit.wel.eco.dwl.pct</v>
          </cell>
        </row>
        <row r="14861">
          <cell r="D14861" t="str">
            <v>Total national welfare benefits</v>
          </cell>
          <cell r="H14861" t="str">
            <v>irn.mit.wel.tot.pct</v>
          </cell>
        </row>
        <row r="14872">
          <cell r="H14872" t="str">
            <v>irn.mit.airpol.cost.coa.ind.1</v>
          </cell>
        </row>
        <row r="14873">
          <cell r="H14873" t="str">
            <v>irn.mit.airpol.cost.coa.res.1</v>
          </cell>
        </row>
        <row r="14874">
          <cell r="H14874" t="str">
            <v>irn.mit.airpol.cost.coa.pow.1</v>
          </cell>
        </row>
        <row r="14875">
          <cell r="H14875" t="str">
            <v>irn.mit.airpol.cost.nga.ind.1</v>
          </cell>
        </row>
        <row r="14876">
          <cell r="H14876" t="str">
            <v>irn.mit.airpol.cost.nga.res.1</v>
          </cell>
        </row>
        <row r="14877">
          <cell r="H14877" t="str">
            <v>irn.mit.airpol.cost.nga.pow.1</v>
          </cell>
        </row>
        <row r="14878">
          <cell r="H14878" t="str">
            <v>irn.mit.airpol.cost.gso.1</v>
          </cell>
        </row>
        <row r="14879">
          <cell r="H14879" t="str">
            <v>irn.mit.airpol.cost.die.1</v>
          </cell>
        </row>
        <row r="14880">
          <cell r="H14880" t="str">
            <v>irn.mit.airpol.cost.lpg.1</v>
          </cell>
        </row>
        <row r="14881">
          <cell r="H14881" t="str">
            <v>irn.mit.airpol.cost.ker.1</v>
          </cell>
        </row>
        <row r="14890">
          <cell r="H14890" t="str">
            <v>irn.tran.acc.cost.gso.1</v>
          </cell>
        </row>
        <row r="14891">
          <cell r="H14891" t="str">
            <v>irn.tran.acc.cost.die.1</v>
          </cell>
        </row>
        <row r="14892">
          <cell r="H14892" t="str">
            <v>irn.tran.con.cost.gso.1</v>
          </cell>
        </row>
        <row r="14893">
          <cell r="H14893" t="str">
            <v>irn.tran.con.cost.die.1</v>
          </cell>
        </row>
        <row r="14894">
          <cell r="H14894" t="str">
            <v>irn.tran.rdm.cost.gso.1</v>
          </cell>
        </row>
        <row r="14895">
          <cell r="H14895" t="str">
            <v>irn.tran.rdm.cost.die.1</v>
          </cell>
        </row>
        <row r="14923">
          <cell r="D14923" t="str">
            <v>Gasoline - portion used for transportation</v>
          </cell>
          <cell r="H14923" t="str">
            <v>irn.mit.trs.gso.all.a.1</v>
          </cell>
        </row>
        <row r="14924">
          <cell r="D14924" t="str">
            <v>Gasoline - VAT rate</v>
          </cell>
          <cell r="H14924" t="str">
            <v>irn.mit.vatrate.all.gso.a.1</v>
          </cell>
        </row>
        <row r="14925">
          <cell r="D14925" t="str">
            <v>Gasoline - portion used for residential consumption</v>
          </cell>
          <cell r="H14925" t="str">
            <v>irn.mit.rescon.gso.all.1</v>
          </cell>
        </row>
        <row r="14929">
          <cell r="D14929" t="str">
            <v>Gasoline - efficient price</v>
          </cell>
          <cell r="H14929" t="str">
            <v>irn.mit.effprice.gso.all.1</v>
          </cell>
        </row>
        <row r="14931">
          <cell r="D14931" t="str">
            <v>Gasoline - consumption</v>
          </cell>
          <cell r="H14931" t="str">
            <v>irn.mit.con.gso.all.1</v>
          </cell>
        </row>
        <row r="14932">
          <cell r="D14932" t="str">
            <v>Gasoline - explicit subsidy</v>
          </cell>
          <cell r="H14932" t="str">
            <v>irn.mit.expsub.con.gso.all.1</v>
          </cell>
        </row>
        <row r="14933">
          <cell r="D14933" t="str">
            <v>Gasoline - implicit subsidy</v>
          </cell>
          <cell r="H14933" t="str">
            <v>irn.mit.impsub.con.gso.all.1</v>
          </cell>
        </row>
        <row r="14935">
          <cell r="D14935" t="str">
            <v>Diesel - portion used for transportation</v>
          </cell>
          <cell r="H14935" t="str">
            <v>irn.mit.trs.die.all.a.1</v>
          </cell>
        </row>
        <row r="14936">
          <cell r="D14936" t="str">
            <v>Diesel - VAT rate</v>
          </cell>
          <cell r="H14936" t="str">
            <v>irn.mit.vatrate.all.die.a.1</v>
          </cell>
        </row>
        <row r="14937">
          <cell r="D14937" t="str">
            <v>Diesel - portion used for residential consumption</v>
          </cell>
          <cell r="H14937" t="str">
            <v>irn.mit.rescon.die.all.1</v>
          </cell>
        </row>
        <row r="14941">
          <cell r="D14941" t="str">
            <v>Diesel - efficient price</v>
          </cell>
          <cell r="H14941" t="str">
            <v>irn.mit.effprice.die.all.1</v>
          </cell>
        </row>
        <row r="14943">
          <cell r="D14943" t="str">
            <v>Diesel - consumption</v>
          </cell>
          <cell r="H14943" t="str">
            <v>irn.mit.con.die.all.1</v>
          </cell>
        </row>
        <row r="14944">
          <cell r="D14944" t="str">
            <v>Diesel - explicit subsidy</v>
          </cell>
          <cell r="H14944" t="str">
            <v>irn.mit.expsub.con.die.all.1</v>
          </cell>
        </row>
        <row r="14945">
          <cell r="D14945" t="str">
            <v>Diesel - implicit subsidy</v>
          </cell>
          <cell r="H14945" t="str">
            <v>irn.mit.impsub.con.die.all.1</v>
          </cell>
        </row>
        <row r="14947">
          <cell r="D14947" t="str">
            <v>LPG - VAT rate</v>
          </cell>
          <cell r="H14947" t="str">
            <v>irn.mit.vatrate.all.lpg.a.1</v>
          </cell>
        </row>
        <row r="14948">
          <cell r="D14948" t="str">
            <v>LPG - portion used for residential consumption</v>
          </cell>
          <cell r="H14948" t="str">
            <v>irn.mit.rescon.lpg.all.1</v>
          </cell>
        </row>
        <row r="14952">
          <cell r="D14952" t="str">
            <v>LPG - efficient price</v>
          </cell>
          <cell r="H14952" t="str">
            <v>irn.mit.effprice.lpg.all.1</v>
          </cell>
        </row>
        <row r="14954">
          <cell r="D14954" t="str">
            <v>LPG - consumption</v>
          </cell>
          <cell r="H14954" t="str">
            <v>irn.mit.con.lpg.all.1</v>
          </cell>
        </row>
        <row r="14955">
          <cell r="D14955" t="str">
            <v>LPG - explicit subsidy</v>
          </cell>
          <cell r="H14955" t="str">
            <v>irn.mit.expsub.con.lpg.all.1</v>
          </cell>
        </row>
        <row r="14956">
          <cell r="D14956" t="str">
            <v>LPG - implicit subsidy</v>
          </cell>
          <cell r="H14956" t="str">
            <v>irn.mit.impsub.con.lpg.all.1</v>
          </cell>
        </row>
        <row r="14958">
          <cell r="D14958" t="str">
            <v>Kerosene - VAT rate</v>
          </cell>
          <cell r="H14958" t="str">
            <v>irn.mit.vatrate.all.ker.a.1</v>
          </cell>
        </row>
        <row r="14959">
          <cell r="D14959" t="str">
            <v>Kerosene - portion used for residential consumption</v>
          </cell>
          <cell r="H14959" t="str">
            <v>irn.mit.rescon.ker.all.1</v>
          </cell>
        </row>
        <row r="14963">
          <cell r="D14963" t="str">
            <v>Kerosene - efficient price</v>
          </cell>
          <cell r="H14963" t="str">
            <v>irn.mit.effprice.ker.all.1</v>
          </cell>
        </row>
        <row r="14965">
          <cell r="D14965" t="str">
            <v>Kerosene - consumption</v>
          </cell>
          <cell r="H14965" t="str">
            <v>irn.mit.con.ker.all.1</v>
          </cell>
        </row>
        <row r="14966">
          <cell r="D14966" t="str">
            <v>Kerosene - explicit subsidy</v>
          </cell>
          <cell r="H14966" t="str">
            <v>irn.mit.expsub.con.ker.all.1</v>
          </cell>
        </row>
        <row r="14967">
          <cell r="D14967" t="str">
            <v>Kerosene - implicit subsidy</v>
          </cell>
          <cell r="H14967" t="str">
            <v>irn.mit.impsub.con.ker.all.1</v>
          </cell>
        </row>
        <row r="14969">
          <cell r="D14969" t="str">
            <v>Other oil products - VAT rate</v>
          </cell>
          <cell r="H14969" t="str">
            <v>irn.mit.vatrate.all.oop.a.1</v>
          </cell>
        </row>
        <row r="14970">
          <cell r="D14970" t="str">
            <v>Other oil products - portion used for residential consumption</v>
          </cell>
          <cell r="H14970" t="str">
            <v>irn.mit.rescon.oop.all.1</v>
          </cell>
        </row>
        <row r="14974">
          <cell r="D14974" t="str">
            <v>Other oil products - efficient price</v>
          </cell>
          <cell r="H14974" t="str">
            <v>irn.mit.effprice.oop.all.1</v>
          </cell>
        </row>
        <row r="14975">
          <cell r="D14975" t="str">
            <v>Other oil products - retail price, baseline</v>
          </cell>
          <cell r="H14975" t="str">
            <v>irn.mit.rp.oop.all.1</v>
          </cell>
        </row>
        <row r="14976">
          <cell r="D14976" t="str">
            <v>Other oil products - consumption</v>
          </cell>
          <cell r="H14976" t="str">
            <v>irn.mit.con.oop.all.1</v>
          </cell>
        </row>
        <row r="14977">
          <cell r="D14977" t="str">
            <v>Other oil products - explicit subsidy</v>
          </cell>
          <cell r="H14977" t="str">
            <v>irn.mit.expsub.con.oop.all.1</v>
          </cell>
        </row>
        <row r="14982">
          <cell r="D14982" t="str">
            <v>Natural gas, industry - VAT</v>
          </cell>
          <cell r="H14982" t="str">
            <v>irn.mit.vatext.nga.ind.1</v>
          </cell>
        </row>
        <row r="14983">
          <cell r="D14983" t="str">
            <v>Natural gas, industry - efficient price</v>
          </cell>
          <cell r="H14983" t="str">
            <v>irn.mit.effprice.nga.ind.1</v>
          </cell>
        </row>
        <row r="14985">
          <cell r="D14985" t="str">
            <v>Natural gas, industry - consumption</v>
          </cell>
          <cell r="H14985" t="str">
            <v>irn.mit.con.nga.ind.1</v>
          </cell>
        </row>
        <row r="14986">
          <cell r="D14986" t="str">
            <v>Natural gas, industry - explicit subsidy</v>
          </cell>
          <cell r="H14986" t="str">
            <v>irn.mit.expsub.con.nga.ind.1</v>
          </cell>
        </row>
        <row r="14987">
          <cell r="D14987" t="str">
            <v>Natural gas, industry - implicit subsidy</v>
          </cell>
          <cell r="H14987" t="str">
            <v>irn.mit.impsub.con.nga.ind.1</v>
          </cell>
        </row>
        <row r="14989">
          <cell r="D14989" t="str">
            <v>Natural gas, residential - VAT rate</v>
          </cell>
          <cell r="H14989" t="str">
            <v>irn.mit.vatrate.res.nga.a.1</v>
          </cell>
        </row>
        <row r="14993">
          <cell r="D14993" t="str">
            <v>Natural gas, residential - efficient price</v>
          </cell>
          <cell r="H14993" t="str">
            <v>irn.mit.effprice.nga.res.1</v>
          </cell>
        </row>
        <row r="14995">
          <cell r="D14995" t="str">
            <v>Natural gas, residential - consumption</v>
          </cell>
          <cell r="H14995" t="str">
            <v>irn.mit.con.nga.res.1</v>
          </cell>
        </row>
        <row r="14996">
          <cell r="D14996" t="str">
            <v>Natural gas, residential - explicit subsidy</v>
          </cell>
          <cell r="H14996" t="str">
            <v>irn.mit.expsub.con.nga.res.1</v>
          </cell>
        </row>
        <row r="14997">
          <cell r="D14997" t="str">
            <v>Natural gas, residential - implicit subsidy</v>
          </cell>
          <cell r="H14997" t="str">
            <v>irn.mit.impsub.con.nga.res.1</v>
          </cell>
        </row>
        <row r="15002">
          <cell r="D15002" t="str">
            <v>Natural gas, power - efficient price</v>
          </cell>
          <cell r="H15002" t="str">
            <v>irn.mit.effprice.nga.pow.1</v>
          </cell>
        </row>
        <row r="15004">
          <cell r="D15004" t="str">
            <v>Natural gas, power - consumption</v>
          </cell>
          <cell r="H15004" t="str">
            <v>irn.mit.con.nga.pow.1</v>
          </cell>
        </row>
        <row r="15005">
          <cell r="D15005" t="str">
            <v>Natural gas, power - explicit subsidy</v>
          </cell>
          <cell r="H15005" t="str">
            <v>irn.mit.expsub.con.nga.pow.1</v>
          </cell>
        </row>
        <row r="15006">
          <cell r="D15006" t="str">
            <v>Natural gas, power - implicit subsidy</v>
          </cell>
          <cell r="H15006" t="str">
            <v>irn.mit.impsub.con.nga.pow.1</v>
          </cell>
        </row>
        <row r="15008">
          <cell r="D15008" t="str">
            <v>Natural gas, other - supply cost</v>
          </cell>
          <cell r="H15008" t="str">
            <v>irn.mit.supcost.nga.other.1</v>
          </cell>
        </row>
        <row r="15009">
          <cell r="D15009" t="str">
            <v>Natural gas, other - externalities</v>
          </cell>
          <cell r="H15009" t="str">
            <v>irn.mit.extcost.nga.other.1</v>
          </cell>
        </row>
        <row r="15010">
          <cell r="D15010" t="str">
            <v>Natural gas, other - VAT</v>
          </cell>
          <cell r="H15010" t="str">
            <v>irn.mit.vatext.nga.other.1</v>
          </cell>
        </row>
        <row r="15011">
          <cell r="D15011" t="str">
            <v>Natural gas, other - efficient price</v>
          </cell>
          <cell r="H15011" t="str">
            <v>irn.mit.effprice.nga.other.1</v>
          </cell>
        </row>
        <row r="15012">
          <cell r="D15012" t="str">
            <v>Natural gas, other - retail price, baseline</v>
          </cell>
          <cell r="H15012" t="str">
            <v>irn.mit.rp.nga.other.1</v>
          </cell>
        </row>
        <row r="15013">
          <cell r="D15013" t="str">
            <v>Natural gas, other - consumption</v>
          </cell>
          <cell r="H15013" t="str">
            <v>irn.mit.con.nga.other.1</v>
          </cell>
        </row>
        <row r="15014">
          <cell r="D15014" t="str">
            <v>Natural gas, other - explicit subsidy</v>
          </cell>
          <cell r="H15014" t="str">
            <v>irn.mit.expsub.con.nga.other.1</v>
          </cell>
        </row>
        <row r="15015">
          <cell r="D15015" t="str">
            <v>Natural gas, other - implicit subsidy</v>
          </cell>
          <cell r="H15015" t="str">
            <v>irn.mit.impsub.con.nga.other.1</v>
          </cell>
        </row>
        <row r="15020">
          <cell r="D15020" t="str">
            <v>Coal, industry - efficient price</v>
          </cell>
          <cell r="H15020" t="str">
            <v>irn.mit.effprice.coa.ind.1</v>
          </cell>
        </row>
        <row r="15022">
          <cell r="D15022" t="str">
            <v>Coal, industry - consumption</v>
          </cell>
          <cell r="H15022" t="str">
            <v>irn.mit.con.coa.ind.1</v>
          </cell>
        </row>
        <row r="15023">
          <cell r="D15023" t="str">
            <v>Coal, industry - explicit subsidy</v>
          </cell>
          <cell r="H15023" t="str">
            <v>irn.mit.expsub.con.coa.ind.1</v>
          </cell>
        </row>
        <row r="15024">
          <cell r="D15024" t="str">
            <v>Coal, industry - implicit subsidy</v>
          </cell>
          <cell r="H15024" t="str">
            <v>irn.mit.impsub.con.coa.ind.1</v>
          </cell>
        </row>
        <row r="15026">
          <cell r="D15026" t="str">
            <v>Coal, residential - VAT rate</v>
          </cell>
          <cell r="H15026" t="str">
            <v>irn.mit.vatrate.res.coa.a.1</v>
          </cell>
        </row>
        <row r="15030">
          <cell r="D15030" t="str">
            <v>Coal, residential - efficient price</v>
          </cell>
          <cell r="H15030" t="str">
            <v>irn.mit.effprice.coa.res.1</v>
          </cell>
        </row>
        <row r="15032">
          <cell r="D15032" t="str">
            <v>Coal, residential - consumption</v>
          </cell>
          <cell r="H15032" t="str">
            <v>irn.mit.con.coa.res.1</v>
          </cell>
        </row>
        <row r="15033">
          <cell r="D15033" t="str">
            <v>Coal, residential - explicit subsidy</v>
          </cell>
          <cell r="H15033" t="str">
            <v>irn.mit.expsub.con.coa.res.1</v>
          </cell>
        </row>
        <row r="15034">
          <cell r="D15034" t="str">
            <v>Coal, residential - implicit subsidy</v>
          </cell>
          <cell r="H15034" t="str">
            <v>irn.mit.impsub.con.coa.res.1</v>
          </cell>
        </row>
        <row r="15039">
          <cell r="D15039" t="str">
            <v>Coal, power - efficient price</v>
          </cell>
          <cell r="H15039" t="str">
            <v>irn.mit.effprice.coa.pow.1</v>
          </cell>
        </row>
        <row r="15041">
          <cell r="D15041" t="str">
            <v>Coal, power - consumption</v>
          </cell>
          <cell r="H15041" t="str">
            <v>irn.mit.con.coa.pow.1</v>
          </cell>
        </row>
        <row r="15042">
          <cell r="D15042" t="str">
            <v>Coal, power - explicit subsidy</v>
          </cell>
          <cell r="H15042" t="str">
            <v>irn.mit.expsub.con.coa.pow.1</v>
          </cell>
        </row>
        <row r="15043">
          <cell r="D15043" t="str">
            <v>Coal, power - implicit subsidy</v>
          </cell>
          <cell r="H15043" t="str">
            <v>irn.mit.impsub.con.coa.pow.1</v>
          </cell>
        </row>
        <row r="15045">
          <cell r="D15045" t="str">
            <v>Coal, other - supply cost</v>
          </cell>
          <cell r="H15045" t="str">
            <v>irn.mit.supcost.coa.other.1</v>
          </cell>
        </row>
        <row r="15046">
          <cell r="D15046" t="str">
            <v>Coal, other - externalities</v>
          </cell>
          <cell r="H15046" t="str">
            <v>irn.mit.extcost.coa.other.1</v>
          </cell>
        </row>
        <row r="15047">
          <cell r="D15047" t="str">
            <v>Coal, other - VAT</v>
          </cell>
          <cell r="H15047" t="str">
            <v>irn.mit.vatext.coa.other.1</v>
          </cell>
        </row>
        <row r="15048">
          <cell r="D15048" t="str">
            <v>Coal, other - efficient price</v>
          </cell>
          <cell r="H15048" t="str">
            <v>irn.mit.effprice.coa.other.1</v>
          </cell>
        </row>
        <row r="15049">
          <cell r="D15049" t="str">
            <v>Coal, other - retail price, baseline</v>
          </cell>
          <cell r="H15049" t="str">
            <v>irn.mit.rp.coa.other.1</v>
          </cell>
        </row>
        <row r="15050">
          <cell r="D15050" t="str">
            <v>Coal, other - consumption</v>
          </cell>
          <cell r="H15050" t="str">
            <v>irn.mit.con.coa.other.1</v>
          </cell>
        </row>
        <row r="15051">
          <cell r="D15051" t="str">
            <v>Coal, other - explicit subsidy</v>
          </cell>
          <cell r="H15051" t="str">
            <v>irn.mit.expsub.con.coa.other.1</v>
          </cell>
        </row>
        <row r="15052">
          <cell r="D15052" t="str">
            <v>Coal, other - implicit subsidy</v>
          </cell>
          <cell r="H15052" t="str">
            <v>irn.mit.impsub.con.coa.other.1</v>
          </cell>
        </row>
        <row r="15057">
          <cell r="D15057" t="str">
            <v>Electricity, industry - efficient price</v>
          </cell>
          <cell r="H15057" t="str">
            <v>irn.mit.effprice.ecy.ind.1</v>
          </cell>
        </row>
        <row r="15059">
          <cell r="D15059" t="str">
            <v>Electricity, industry - consumption</v>
          </cell>
          <cell r="H15059" t="str">
            <v>irn.mit.con.ecy.ind.1</v>
          </cell>
        </row>
        <row r="15060">
          <cell r="D15060" t="str">
            <v>Electricity, industry - explicit subsidy</v>
          </cell>
          <cell r="H15060" t="str">
            <v>irn.mit.expsub.con.ecy.ind.1</v>
          </cell>
        </row>
        <row r="15061">
          <cell r="D15061" t="str">
            <v>Electricity, industry - implicit subsidy</v>
          </cell>
          <cell r="H15061" t="str">
            <v>irn.mit.impsub.con.ecy.ind.1</v>
          </cell>
        </row>
        <row r="15063">
          <cell r="D15063" t="str">
            <v>Electricity, residential - VAT rate</v>
          </cell>
          <cell r="H15063" t="str">
            <v>irn.mit.vatrate.res.ecy.t.1</v>
          </cell>
        </row>
        <row r="15067">
          <cell r="D15067" t="str">
            <v>Electricity, residential - efficient price</v>
          </cell>
          <cell r="H15067" t="str">
            <v>irn.mit.effprice.ecy.res.1</v>
          </cell>
        </row>
        <row r="15069">
          <cell r="D15069" t="str">
            <v>Electricity, residential - consumption</v>
          </cell>
          <cell r="H15069" t="str">
            <v>irn.mit.con.ecy.res.1</v>
          </cell>
        </row>
        <row r="15070">
          <cell r="D15070" t="str">
            <v>Electricity, residential - explicit subsidy</v>
          </cell>
          <cell r="H15070" t="str">
            <v>irn.mit.expsub.con.ecy.res.1</v>
          </cell>
        </row>
        <row r="15071">
          <cell r="D15071" t="str">
            <v>Electricity, residential - implicit subsidy</v>
          </cell>
          <cell r="H15071" t="str">
            <v>irn.mit.impsub.con.ecy.res.1</v>
          </cell>
        </row>
        <row r="15073">
          <cell r="D15073" t="str">
            <v>Electricity, other - supply cost</v>
          </cell>
          <cell r="H15073" t="str">
            <v>irn.mit.supcost.ecy.other.1</v>
          </cell>
        </row>
        <row r="15074">
          <cell r="D15074" t="str">
            <v>Electricity, other - externalities</v>
          </cell>
          <cell r="H15074" t="str">
            <v>irn.mit.extcost.ecy.other.1</v>
          </cell>
        </row>
        <row r="15075">
          <cell r="D15075" t="str">
            <v>Electricity, other - VAT</v>
          </cell>
          <cell r="H15075" t="str">
            <v>irn.mit.vatext.ecy.other.1</v>
          </cell>
        </row>
        <row r="15076">
          <cell r="D15076" t="str">
            <v>Electricity, other - efficient price</v>
          </cell>
          <cell r="H15076" t="str">
            <v>irn.mit.effprice.ecy.other.1</v>
          </cell>
        </row>
        <row r="15077">
          <cell r="D15077" t="str">
            <v>Electricity, other - retail price, baseline</v>
          </cell>
          <cell r="H15077" t="str">
            <v>irn.mit.rp.ecy.other.1</v>
          </cell>
        </row>
        <row r="15078">
          <cell r="D15078" t="str">
            <v>Electricity, other - consumption</v>
          </cell>
          <cell r="H15078" t="str">
            <v>irn.mit.con.ecy.other.1</v>
          </cell>
        </row>
        <row r="15079">
          <cell r="D15079" t="str">
            <v>Electricity, other - explicit subsidy</v>
          </cell>
          <cell r="H15079" t="str">
            <v>irn.mit.expsub.con.ecy.other.1</v>
          </cell>
        </row>
        <row r="15080">
          <cell r="D15080" t="str">
            <v>Electricity, other - implicit subsidy</v>
          </cell>
          <cell r="H15080" t="str">
            <v>irn.mit.impsub.con.ecy.other.1</v>
          </cell>
        </row>
        <row r="15082">
          <cell r="D15082" t="str">
            <v>Total - explicit subsidy</v>
          </cell>
          <cell r="H15082" t="str">
            <v>irn.mit.expsub.con.all.all.1</v>
          </cell>
        </row>
        <row r="15083">
          <cell r="D15083" t="str">
            <v>Total - implicit subsidy</v>
          </cell>
          <cell r="H15083" t="str">
            <v>irn.mit.impsub.con.all.all.1</v>
          </cell>
        </row>
        <row r="15084">
          <cell r="D15084" t="str">
            <v>Total - explicit subsidy</v>
          </cell>
          <cell r="H15084" t="str">
            <v>irn.mit.expsubgdp.con.all.all.1</v>
          </cell>
        </row>
        <row r="15085">
          <cell r="D15085" t="str">
            <v>Total - implicit subsidy</v>
          </cell>
          <cell r="H15085" t="str">
            <v>irn.mit.impsubgdp.con.all.all.1</v>
          </cell>
        </row>
        <row r="15096">
          <cell r="H15096" t="str">
            <v>irn.mit.eff.price.gso.all.2</v>
          </cell>
        </row>
        <row r="15097">
          <cell r="H15097" t="str">
            <v>irn.mit.sup.cost.gso.all.2</v>
          </cell>
        </row>
        <row r="15098">
          <cell r="H15098" t="str">
            <v>irn.mit.airpol.cost.gso.all.2</v>
          </cell>
        </row>
        <row r="15099">
          <cell r="H15099" t="str">
            <v>irn.mit.acc.cost.gso.all.2</v>
          </cell>
        </row>
        <row r="15100">
          <cell r="H15100" t="str">
            <v>irn.mit.con.cost.gso.all.2</v>
          </cell>
        </row>
        <row r="15101">
          <cell r="H15101" t="str">
            <v>irn.mit.rdm.cost.gso.all.2</v>
          </cell>
        </row>
        <row r="15102">
          <cell r="H15102" t="str">
            <v>irn.mit.scc.cost.gso.all.2</v>
          </cell>
        </row>
        <row r="15103">
          <cell r="H15103" t="str">
            <v>irn.mit.vat.cost.gso.all.2</v>
          </cell>
        </row>
        <row r="15104">
          <cell r="H15104" t="str">
            <v>irn.mit.rp.gso.all.2</v>
          </cell>
        </row>
        <row r="15105">
          <cell r="H15105" t="str">
            <v>irn.mit.tgap.gso.all.2</v>
          </cell>
        </row>
        <row r="15106">
          <cell r="H15106" t="str">
            <v>irn.mit.txo.all.gso.a.1</v>
          </cell>
        </row>
        <row r="15107">
          <cell r="H15107" t="str">
            <v>irn.mit.txo.co2e.gso.all.1</v>
          </cell>
        </row>
        <row r="15108">
          <cell r="H15108" t="str">
            <v>irn.mit.pig.gso.all.2</v>
          </cell>
        </row>
        <row r="15109">
          <cell r="H15109" t="str">
            <v>irn.mit.app.gso.all.2</v>
          </cell>
        </row>
        <row r="15110">
          <cell r="H15110" t="str">
            <v>irn.mit.pig.co2e.gso.all.2</v>
          </cell>
        </row>
        <row r="15111">
          <cell r="H15111" t="str">
            <v>irn.mit.eff.price.die.all.2</v>
          </cell>
        </row>
        <row r="15112">
          <cell r="H15112" t="str">
            <v>irn.mit.sup.cost.die.all.2</v>
          </cell>
        </row>
        <row r="15113">
          <cell r="H15113" t="str">
            <v>irn.mit.airpol.cost.die.all.2</v>
          </cell>
        </row>
        <row r="15114">
          <cell r="H15114" t="str">
            <v>irn.mit.acc.cost.die.all.2</v>
          </cell>
        </row>
        <row r="15115">
          <cell r="H15115" t="str">
            <v>irn.mit.con.cost.die.all.2</v>
          </cell>
        </row>
        <row r="15116">
          <cell r="H15116" t="str">
            <v>irn.mit.rdm.cost.die.all.2</v>
          </cell>
        </row>
        <row r="15117">
          <cell r="H15117" t="str">
            <v>irn.mit.scc.cost.die.all.2</v>
          </cell>
        </row>
        <row r="15118">
          <cell r="H15118" t="str">
            <v>irn.mit.vat.cost.die.all.2</v>
          </cell>
        </row>
        <row r="15119">
          <cell r="H15119" t="str">
            <v>irn.mit.rp.die.all.2</v>
          </cell>
        </row>
        <row r="15120">
          <cell r="H15120" t="str">
            <v>irn.mit.tgap.die.all.2</v>
          </cell>
        </row>
        <row r="15121">
          <cell r="H15121" t="str">
            <v>irn.mit.txo.all.die.a.1</v>
          </cell>
        </row>
        <row r="15122">
          <cell r="H15122" t="str">
            <v>irn.mit.txo.co2e.die.all.1</v>
          </cell>
        </row>
        <row r="15123">
          <cell r="H15123" t="str">
            <v>irn.mit.pig.die.all.2</v>
          </cell>
        </row>
        <row r="15124">
          <cell r="H15124" t="str">
            <v>irn.mit.app.die.all.2</v>
          </cell>
        </row>
        <row r="15125">
          <cell r="H15125" t="str">
            <v>irn.mit.pig.co2e.die.all.2</v>
          </cell>
        </row>
        <row r="15126">
          <cell r="H15126" t="str">
            <v>irn.mit.eff.price.lpg.all.2</v>
          </cell>
        </row>
        <row r="15127">
          <cell r="H15127" t="str">
            <v>irn.mit.sup.cost.lpg.all.2</v>
          </cell>
        </row>
        <row r="15128">
          <cell r="H15128" t="str">
            <v>irn.mit.airpol.cost.lpg.all.2</v>
          </cell>
        </row>
        <row r="15129">
          <cell r="H15129" t="str">
            <v>irn.mit.scc.cost.lpg.all.2</v>
          </cell>
        </row>
        <row r="15130">
          <cell r="H15130" t="str">
            <v>irn.mit.vat.cost.lpg.all.2</v>
          </cell>
        </row>
        <row r="15131">
          <cell r="H15131" t="str">
            <v>irn.mit.rp.lpg.all.2</v>
          </cell>
        </row>
        <row r="15132">
          <cell r="H15132" t="str">
            <v>irn.mit.tgap.lpg.all.2</v>
          </cell>
        </row>
        <row r="15133">
          <cell r="H15133" t="str">
            <v>irn.mit.txo.all.lpg.a.1</v>
          </cell>
        </row>
        <row r="15134">
          <cell r="H15134" t="str">
            <v>irn.mit.txo.co2e.lpg.all.1</v>
          </cell>
        </row>
        <row r="15135">
          <cell r="H15135" t="str">
            <v>irn.mit.pig.lpg.all.2</v>
          </cell>
        </row>
        <row r="15136">
          <cell r="H15136" t="str">
            <v>irn.mit.app.lpg.all.2</v>
          </cell>
        </row>
        <row r="15137">
          <cell r="H15137" t="str">
            <v>irn.mit.pig.co2e.lpg.all.2</v>
          </cell>
        </row>
        <row r="15138">
          <cell r="H15138" t="str">
            <v>irn.mit.eff.price.ker.all.2</v>
          </cell>
        </row>
        <row r="15139">
          <cell r="H15139" t="str">
            <v>irn.mit.sup.cost.ker.all.2</v>
          </cell>
        </row>
        <row r="15140">
          <cell r="H15140" t="str">
            <v>irn.mit.airpol.cost.ker.all.2</v>
          </cell>
        </row>
        <row r="15141">
          <cell r="H15141" t="str">
            <v>irn.mit.scc.cost.ker.all.2</v>
          </cell>
        </row>
        <row r="15142">
          <cell r="H15142" t="str">
            <v>irn.mit.vat.cost.ker.all.2</v>
          </cell>
        </row>
        <row r="15143">
          <cell r="H15143" t="str">
            <v>irn.mit.rp.ker.all.2</v>
          </cell>
        </row>
        <row r="15144">
          <cell r="H15144" t="str">
            <v>irn.mit.tgap.ker.all.2</v>
          </cell>
        </row>
        <row r="15145">
          <cell r="H15145" t="str">
            <v>irn.mit.txo.all.ker.a.1</v>
          </cell>
        </row>
        <row r="15146">
          <cell r="H15146" t="str">
            <v>irn.mit.txo.co2e.ker.all.1</v>
          </cell>
        </row>
        <row r="15147">
          <cell r="H15147" t="str">
            <v>irn.mit.pig.ker.all.2</v>
          </cell>
        </row>
        <row r="15148">
          <cell r="H15148" t="str">
            <v>irn.mit.app.ker.all.2</v>
          </cell>
        </row>
        <row r="15149">
          <cell r="H15149" t="str">
            <v>irn.mit.pig.co2e.ker.all.2</v>
          </cell>
        </row>
        <row r="15150">
          <cell r="H15150" t="str">
            <v>irn.mit.eff.price.coa.ind.2</v>
          </cell>
        </row>
        <row r="15151">
          <cell r="H15151" t="str">
            <v>irn.mit.sup.cost.coa.ind.2</v>
          </cell>
        </row>
        <row r="15152">
          <cell r="H15152" t="str">
            <v>irn.mit.airpol.cost.coa.ind.2</v>
          </cell>
        </row>
        <row r="15153">
          <cell r="H15153" t="str">
            <v>irn.mit.scc.cost.coa.ind.2</v>
          </cell>
        </row>
        <row r="15154">
          <cell r="H15154" t="str">
            <v>irn.mit.vat.cost.coa.ind.2</v>
          </cell>
        </row>
        <row r="15155">
          <cell r="H15155" t="str">
            <v>irn.mit.rp.coa.ind.2</v>
          </cell>
        </row>
        <row r="15156">
          <cell r="H15156" t="str">
            <v>irn.mit.tgap.coa.ind.2</v>
          </cell>
        </row>
        <row r="15157">
          <cell r="H15157" t="str">
            <v>irn.mit.txo.ind.coa.a.1</v>
          </cell>
        </row>
        <row r="15158">
          <cell r="H15158" t="str">
            <v>irn.mit.txo.co2e.coa.ind.1</v>
          </cell>
        </row>
        <row r="15159">
          <cell r="H15159" t="str">
            <v>irn.mit.pig.coa.ind.2</v>
          </cell>
        </row>
        <row r="15160">
          <cell r="H15160" t="str">
            <v>irn.mit.app.coa.ind.2</v>
          </cell>
        </row>
        <row r="15161">
          <cell r="H15161" t="str">
            <v>irn.mit.pig.co2e.coa.ind.2</v>
          </cell>
        </row>
        <row r="15162">
          <cell r="H15162" t="str">
            <v>irn.mit.eff.price.coa.res.2</v>
          </cell>
        </row>
        <row r="15163">
          <cell r="H15163" t="str">
            <v>irn.mit.sup.cost.coa.res.2</v>
          </cell>
        </row>
        <row r="15164">
          <cell r="H15164" t="str">
            <v>irn.mit.airpol.cost.coa.res.2</v>
          </cell>
        </row>
        <row r="15165">
          <cell r="H15165" t="str">
            <v>irn.mit.scc.cost.coa.res.2</v>
          </cell>
        </row>
        <row r="15166">
          <cell r="H15166" t="str">
            <v>irn.mit.vat.cost.coa.res.2</v>
          </cell>
        </row>
        <row r="15167">
          <cell r="H15167" t="str">
            <v>irn.mit.rp.coa.res.2</v>
          </cell>
        </row>
        <row r="15168">
          <cell r="H15168" t="str">
            <v>irn.mit.tgap.coa.res.2</v>
          </cell>
        </row>
        <row r="15169">
          <cell r="H15169" t="str">
            <v>irn.mit.txo.res.coa.a.1</v>
          </cell>
        </row>
        <row r="15170">
          <cell r="H15170" t="str">
            <v>irn.mit.txo.co2e.coa.res.1</v>
          </cell>
        </row>
        <row r="15171">
          <cell r="H15171" t="str">
            <v>irn.mit.pig.coa.res.2</v>
          </cell>
        </row>
        <row r="15172">
          <cell r="H15172" t="str">
            <v>irn.mit.app.coa.res.2</v>
          </cell>
        </row>
        <row r="15173">
          <cell r="H15173" t="str">
            <v>irn.mit.pig.co2e.coa.res.2</v>
          </cell>
        </row>
        <row r="15174">
          <cell r="H15174" t="str">
            <v>irn.mit.eff.price.coa.pow.2</v>
          </cell>
        </row>
        <row r="15175">
          <cell r="H15175" t="str">
            <v>irn.mit.sup.cost.coa.pow.2</v>
          </cell>
        </row>
        <row r="15176">
          <cell r="H15176" t="str">
            <v>irn.mit.airpol.cost.coa.pow.2</v>
          </cell>
        </row>
        <row r="15177">
          <cell r="H15177" t="str">
            <v>irn.mit.scc.cost.coa.pow.2</v>
          </cell>
        </row>
        <row r="15178">
          <cell r="H15178" t="str">
            <v>irn.mit.vat.cost.coa.pow.2</v>
          </cell>
        </row>
        <row r="15179">
          <cell r="H15179" t="str">
            <v>irn.mit.rp.coa.pow.2</v>
          </cell>
        </row>
        <row r="15180">
          <cell r="H15180" t="str">
            <v>irn.mit.tgap.coa.pow.2</v>
          </cell>
        </row>
        <row r="15181">
          <cell r="H15181" t="str">
            <v>irn.mit.txo.pow.coa.a.1</v>
          </cell>
        </row>
        <row r="15182">
          <cell r="H15182" t="str">
            <v>irn.mit.txo.co2e.coa.pow.1</v>
          </cell>
        </row>
        <row r="15183">
          <cell r="H15183" t="str">
            <v>irn.mit.pig.coa.pow.2</v>
          </cell>
        </row>
        <row r="15184">
          <cell r="H15184" t="str">
            <v>irn.mit.app.coa.pow.2</v>
          </cell>
        </row>
        <row r="15185">
          <cell r="H15185" t="str">
            <v>irn.mit.pig.co2e.coa.pow.2</v>
          </cell>
        </row>
        <row r="15186">
          <cell r="H15186" t="str">
            <v>irn.mit.eff.price.nga.ind.2</v>
          </cell>
        </row>
        <row r="15187">
          <cell r="H15187" t="str">
            <v>irn.mit.sup.cost.nga.ind.2</v>
          </cell>
        </row>
        <row r="15188">
          <cell r="H15188" t="str">
            <v>irn.mit.airpol.cost.nga.ind.2</v>
          </cell>
        </row>
        <row r="15189">
          <cell r="H15189" t="str">
            <v>irn.mit.scc.cost.nga.ind.2</v>
          </cell>
        </row>
        <row r="15190">
          <cell r="H15190" t="str">
            <v>irn.mit.vat.cost.nga.ind.2</v>
          </cell>
        </row>
        <row r="15191">
          <cell r="H15191" t="str">
            <v>irn.mit.rp.nga.ind.2</v>
          </cell>
        </row>
        <row r="15192">
          <cell r="H15192" t="str">
            <v>irn.mit.tgap.nga.ind.2</v>
          </cell>
        </row>
        <row r="15193">
          <cell r="H15193" t="str">
            <v>irn.mit.txo.ind.nga.a.1</v>
          </cell>
        </row>
        <row r="15194">
          <cell r="H15194" t="str">
            <v>irn.mit.txo.co2e.nga.ind.1</v>
          </cell>
        </row>
        <row r="15195">
          <cell r="H15195" t="str">
            <v>irn.mit.pig.nga.ind.2</v>
          </cell>
        </row>
        <row r="15196">
          <cell r="H15196" t="str">
            <v>irn.mit.app.nga.ind.2</v>
          </cell>
        </row>
        <row r="15197">
          <cell r="H15197" t="str">
            <v>irn.mit.pig.co2e.nga.ind.2</v>
          </cell>
        </row>
        <row r="15198">
          <cell r="H15198" t="str">
            <v>irn.mit.eff.price.nga.res.2</v>
          </cell>
        </row>
        <row r="15199">
          <cell r="H15199" t="str">
            <v>irn.mit.sup.cost.nga.res.2</v>
          </cell>
        </row>
        <row r="15200">
          <cell r="H15200" t="str">
            <v>irn.mit.airpol.cost.nga.res.2</v>
          </cell>
        </row>
        <row r="15201">
          <cell r="H15201" t="str">
            <v>irn.mit.scc.cost.nga.res.2</v>
          </cell>
        </row>
        <row r="15202">
          <cell r="H15202" t="str">
            <v>irn.mit.vat.cost.nga.res.2</v>
          </cell>
        </row>
        <row r="15203">
          <cell r="H15203" t="str">
            <v>irn.mit.rp.nga.res.2</v>
          </cell>
        </row>
        <row r="15204">
          <cell r="H15204" t="str">
            <v>irn.mit.tgap.nga.res.2</v>
          </cell>
        </row>
        <row r="15205">
          <cell r="H15205" t="str">
            <v>irn.mit.txo.res.nga.a.1</v>
          </cell>
        </row>
        <row r="15206">
          <cell r="H15206" t="str">
            <v>irn.mit.txo.co2e.nga.res.1</v>
          </cell>
        </row>
        <row r="15207">
          <cell r="H15207" t="str">
            <v>irn.mit.pig.nga.res.2</v>
          </cell>
        </row>
        <row r="15208">
          <cell r="H15208" t="str">
            <v>irn.mit.app.nga.res.2</v>
          </cell>
        </row>
        <row r="15209">
          <cell r="H15209" t="str">
            <v>irn.mit.pig.co2e.nga.res.2</v>
          </cell>
        </row>
        <row r="15210">
          <cell r="H15210" t="str">
            <v>irn.mit.eff.price.nga.pow.2</v>
          </cell>
        </row>
        <row r="15211">
          <cell r="H15211" t="str">
            <v>irn.mit.sup.cost.nga.pow.2</v>
          </cell>
        </row>
        <row r="15212">
          <cell r="H15212" t="str">
            <v>irn.mit.airpol.cost.nga.pow.2</v>
          </cell>
        </row>
        <row r="15213">
          <cell r="H15213" t="str">
            <v>irn.mit.scc.cost.nga.pow.2</v>
          </cell>
        </row>
        <row r="15214">
          <cell r="H15214" t="str">
            <v>irn.mit.vat.cost.nga.pow.2</v>
          </cell>
        </row>
        <row r="15215">
          <cell r="H15215" t="str">
            <v>irn.mit.rp.nga.pow.2</v>
          </cell>
        </row>
        <row r="15216">
          <cell r="H15216" t="str">
            <v>irn.mit.tgap.nga.pow.2</v>
          </cell>
        </row>
        <row r="15217">
          <cell r="H15217" t="str">
            <v>irn.mit.txo.pow.nga.a.1</v>
          </cell>
        </row>
        <row r="15218">
          <cell r="H15218" t="str">
            <v>irn.mit.txo.co2e.nga.pow.1</v>
          </cell>
        </row>
        <row r="15219">
          <cell r="H15219" t="str">
            <v>irn.mit.pig.nga.pow.2</v>
          </cell>
        </row>
        <row r="15220">
          <cell r="H15220" t="str">
            <v>irn.mit.app.nga.pow.2</v>
          </cell>
        </row>
        <row r="15221">
          <cell r="H15221" t="str">
            <v>irn.mit.pig.co2e.nga.pow.2</v>
          </cell>
        </row>
        <row r="15222">
          <cell r="H15222" t="str">
            <v>irn.mit.eff.price.ecy.ind.2</v>
          </cell>
        </row>
        <row r="15223">
          <cell r="H15223" t="str">
            <v>irn.mit.sup.cost.ecy.ind.2</v>
          </cell>
        </row>
        <row r="15224">
          <cell r="H15224" t="str">
            <v>irn.mit.airpol.cost.ecy.ind.2</v>
          </cell>
        </row>
        <row r="15225">
          <cell r="H15225" t="str">
            <v>irn.mit.scc.cost.ecy.ind.2</v>
          </cell>
        </row>
        <row r="15226">
          <cell r="H15226" t="str">
            <v>irn.mit.vat.cost.ecy.ind.2</v>
          </cell>
        </row>
        <row r="15227">
          <cell r="H15227" t="str">
            <v>irn.mit.rp.ecy.ind.2</v>
          </cell>
        </row>
        <row r="15228">
          <cell r="H15228" t="str">
            <v>irn.mit.tgap.ecy.ind.2</v>
          </cell>
        </row>
        <row r="15229">
          <cell r="H15229" t="str">
            <v>irn.mit.txo.ind.ecy.t.1</v>
          </cell>
        </row>
        <row r="15230">
          <cell r="H15230" t="str">
            <v>irn.mit.txo.co2e.ecy.ind.1</v>
          </cell>
        </row>
        <row r="15231">
          <cell r="H15231" t="str">
            <v>irn.mit.pig.ecy.ind.2</v>
          </cell>
        </row>
        <row r="15233">
          <cell r="H15233" t="str">
            <v>irn.mit.pig.co2e.ecy.ind.2</v>
          </cell>
        </row>
        <row r="15234">
          <cell r="H15234" t="str">
            <v>irn.mit.eff.price.ecy.res.2</v>
          </cell>
        </row>
        <row r="15235">
          <cell r="H15235" t="str">
            <v>irn.mit.sup.cost.ecy.res.2</v>
          </cell>
        </row>
        <row r="15236">
          <cell r="H15236" t="str">
            <v>irn.mit.airpol.cost.ecy.res.2</v>
          </cell>
        </row>
        <row r="15237">
          <cell r="H15237" t="str">
            <v>irn.mit.scc.cost.ecy.res.2</v>
          </cell>
        </row>
        <row r="15238">
          <cell r="H15238" t="str">
            <v>irn.mit.vat.cost.ecy.res.2</v>
          </cell>
        </row>
        <row r="15239">
          <cell r="H15239" t="str">
            <v>irn.mit.rp.ecy.res.2</v>
          </cell>
        </row>
        <row r="15240">
          <cell r="H15240" t="str">
            <v>irn.mit.tgap.ecy.res.2</v>
          </cell>
        </row>
        <row r="15241">
          <cell r="H15241" t="str">
            <v>irn.mit.txo.res.ecy.t.1</v>
          </cell>
        </row>
        <row r="15242">
          <cell r="H15242" t="str">
            <v>irn.mit.txo.co2e.ecy.res.1</v>
          </cell>
        </row>
        <row r="15243">
          <cell r="H15243" t="str">
            <v>irn.mit.pig.ecy.res.2</v>
          </cell>
        </row>
        <row r="15245">
          <cell r="H15245" t="str">
            <v>irn.mit.pig.co2e.ecy.res.2</v>
          </cell>
        </row>
        <row r="15247">
          <cell r="H15247" t="str">
            <v>irn.mit.sup.cost.ecy.ind.1</v>
          </cell>
        </row>
        <row r="15251">
          <cell r="H15251" t="str">
            <v>irn.mit.pig.co2e.all.all.1</v>
          </cell>
        </row>
        <row r="15252">
          <cell r="H15252" t="str">
            <v>irn.mit.pig.co2e.all.all.2</v>
          </cell>
        </row>
        <row r="15256">
          <cell r="H15256" t="str">
            <v>irn.mit.app.co2e.all.all.1</v>
          </cell>
        </row>
        <row r="15257">
          <cell r="H15257" t="str">
            <v>irn.mit.app.co2e.all.all.2</v>
          </cell>
        </row>
        <row r="15361">
          <cell r="G15361" t="str">
            <v>irn.mit.co2.tot.1</v>
          </cell>
        </row>
        <row r="15362">
          <cell r="G15362" t="str">
            <v>irn.mit.ch4.tot.1</v>
          </cell>
        </row>
        <row r="15363">
          <cell r="G15363" t="str">
            <v>irn.mit.nox.tot.1</v>
          </cell>
        </row>
        <row r="15364">
          <cell r="G15364" t="str">
            <v>irn.mit.fga.tot.1</v>
          </cell>
        </row>
        <row r="15366">
          <cell r="G15366" t="str">
            <v>irn.mit.co2.tot.2</v>
          </cell>
        </row>
        <row r="15367">
          <cell r="G15367" t="str">
            <v>irn.mit.ch4.tot.2</v>
          </cell>
        </row>
        <row r="15368">
          <cell r="G15368" t="str">
            <v>irn.mit.nox.tot.2</v>
          </cell>
        </row>
        <row r="15369">
          <cell r="G15369" t="str">
            <v>irn.mit.fga.tot.2</v>
          </cell>
        </row>
        <row r="15373">
          <cell r="D15373" t="str">
            <v>Methane: energy (baseline)</v>
          </cell>
          <cell r="G15373" t="str">
            <v>irn.mit.ghg.enr.ch4.1</v>
          </cell>
        </row>
        <row r="15374">
          <cell r="D15374" t="str">
            <v>Methane: industrial processes (baseline)</v>
          </cell>
          <cell r="G15374" t="str">
            <v>irn.mit.ghg.ipr.ch4.1</v>
          </cell>
        </row>
        <row r="15375">
          <cell r="D15375" t="str">
            <v>Methane: agriculture</v>
          </cell>
          <cell r="G15375" t="str">
            <v>irn.mit.ghg.agr.ch4.1</v>
          </cell>
        </row>
        <row r="15376">
          <cell r="D15376" t="str">
            <v>Methane: LULUCF (baseline)</v>
          </cell>
          <cell r="G15376" t="str">
            <v>irn.mit.ghg.lucf.ch4.1</v>
          </cell>
        </row>
        <row r="15377">
          <cell r="D15377" t="str">
            <v>Methane: waste (baseline)</v>
          </cell>
          <cell r="G15377" t="str">
            <v>irn.mit.ghg.wst.ch4.1</v>
          </cell>
        </row>
        <row r="15378">
          <cell r="D15378" t="str">
            <v>Methane: other (baseline)</v>
          </cell>
          <cell r="G15378" t="str">
            <v>irn.mit.ghg.oth.ch4.1</v>
          </cell>
        </row>
        <row r="15379">
          <cell r="D15379" t="str">
            <v>Total methane, incl. LULUCF (baseline)</v>
          </cell>
          <cell r="G15379" t="str">
            <v>irn.mit.ghg.tot.inc.ch4.1</v>
          </cell>
        </row>
        <row r="15380">
          <cell r="D15380" t="str">
            <v>Total methane, excl. LULUCF (baseline)</v>
          </cell>
          <cell r="G15380" t="str">
            <v>irn.mit.ghg.tot.exc.ch4.1</v>
          </cell>
        </row>
        <row r="15381">
          <cell r="D15381" t="str">
            <v>Methane: memo energy distribution (baseline)</v>
          </cell>
          <cell r="G15381" t="str">
            <v>irn.mit.ghg.fug.ch4.1</v>
          </cell>
        </row>
        <row r="15382">
          <cell r="D15382" t="str">
            <v>Methane: energy (policy)</v>
          </cell>
          <cell r="G15382" t="str">
            <v>irn.mit.ghg.enr.ch4.2</v>
          </cell>
        </row>
        <row r="15383">
          <cell r="D15383" t="str">
            <v>Methane: industrial processes (policy)</v>
          </cell>
          <cell r="G15383" t="str">
            <v>irn.mit.ghg.ipr.ch4.2</v>
          </cell>
        </row>
        <row r="15384">
          <cell r="D15384" t="str">
            <v>Methane: agriculture</v>
          </cell>
          <cell r="G15384" t="str">
            <v>irn.mit.ghg.agr.ch4.2</v>
          </cell>
        </row>
        <row r="15385">
          <cell r="D15385" t="str">
            <v>Methane: LULUCF (policy)</v>
          </cell>
          <cell r="G15385" t="str">
            <v>irn.mit.ghg.lucf.ch4.2</v>
          </cell>
        </row>
        <row r="15386">
          <cell r="D15386" t="str">
            <v>Methane: waste (policy)</v>
          </cell>
          <cell r="G15386" t="str">
            <v>irn.mit.ghg.wst.ch4.2</v>
          </cell>
        </row>
        <row r="15387">
          <cell r="D15387" t="str">
            <v>Methane: other (policy)</v>
          </cell>
          <cell r="G15387" t="str">
            <v>irn.mit.ghg.oth.ch4.2</v>
          </cell>
        </row>
        <row r="15388">
          <cell r="D15388" t="str">
            <v>Total methane, incl. LULUCF (policy)</v>
          </cell>
          <cell r="G15388" t="str">
            <v>irn.mit.ghg.tot.inc.ch4.2</v>
          </cell>
        </row>
        <row r="15389">
          <cell r="D15389" t="str">
            <v>Total methane, excl. LULUCF (policy)</v>
          </cell>
          <cell r="G15389" t="str">
            <v>irn.mit.ghg.tot.exc.ch4.2</v>
          </cell>
        </row>
        <row r="15390">
          <cell r="D15390" t="str">
            <v>Methane: memo energy distribution (policy)</v>
          </cell>
          <cell r="G15390" t="str">
            <v>irn.mit.ghg.fug.ch4.2</v>
          </cell>
        </row>
        <row r="15616">
          <cell r="H15616" t="str">
            <v>irn.mit.ndc.desc.lng</v>
          </cell>
        </row>
        <row r="15617">
          <cell r="H15617" t="str">
            <v>irn.mit.ndc.desc.sht</v>
          </cell>
        </row>
        <row r="16050">
          <cell r="D16050" t="str">
            <v>Oil and natural gas extraction - CH4 emissions factor, after abatement - baseline</v>
          </cell>
          <cell r="H16050" t="str">
            <v>irn.air.ef.ext.ngaoil.ch4.1</v>
          </cell>
        </row>
        <row r="16051">
          <cell r="D16051" t="str">
            <v>Oil and natural gas extraction - CH4 emissions factor, after abatement - policy</v>
          </cell>
          <cell r="H16051" t="str">
            <v>irn.air.ef.ext.ngaoil.ch4.2</v>
          </cell>
        </row>
        <row r="16052">
          <cell r="D16052" t="str">
            <v>Coal extraction - CH4 emissions factor, after abatement - baseline</v>
          </cell>
          <cell r="H16052" t="str">
            <v>irn.air.ef.ext.coa.ch4.1</v>
          </cell>
        </row>
        <row r="16053">
          <cell r="D16053" t="str">
            <v>Coal extraction - CH4 emissions factor, after abatement - policy</v>
          </cell>
          <cell r="H16053" t="str">
            <v>irn.air.ef.ext.coa.ch4.2</v>
          </cell>
        </row>
        <row r="16055">
          <cell r="D16055" t="str">
            <v>Energy related CH4 emissions - baseline</v>
          </cell>
          <cell r="H16055" t="str">
            <v>irn.mit.ghg.enr.ch4.1</v>
          </cell>
        </row>
        <row r="16056">
          <cell r="D16056" t="str">
            <v>Agriculture CH4 emissions - baseline</v>
          </cell>
          <cell r="H16056" t="str">
            <v>irn.mit.ghg.agr.ch4.1</v>
          </cell>
        </row>
        <row r="16057">
          <cell r="D16057" t="str">
            <v>Waste CH4 emissions - baseline</v>
          </cell>
          <cell r="H16057" t="str">
            <v>irn.mit.ghg.wst.ch4.1</v>
          </cell>
        </row>
        <row r="16058">
          <cell r="D16058" t="str">
            <v>Other CH4 emissions - baseline</v>
          </cell>
          <cell r="H16058" t="str">
            <v>irn.mit.ghg.oth.ch4.1</v>
          </cell>
        </row>
        <row r="16059">
          <cell r="D16059" t="str">
            <v>Total CH4 emissions, including LULUCF - baseline</v>
          </cell>
          <cell r="H16059" t="str">
            <v>irn.mit.ghg.tot.inc.ch4.1</v>
          </cell>
        </row>
        <row r="16060">
          <cell r="D16060" t="str">
            <v>Total CH4 emissions, excluding LULUCF - baseline</v>
          </cell>
          <cell r="H16060" t="str">
            <v>irn.mit.ghg.tot.exc.ch4.1</v>
          </cell>
        </row>
        <row r="16062">
          <cell r="D16062" t="str">
            <v>Energy related CH4 emissions - policy</v>
          </cell>
          <cell r="H16062" t="str">
            <v>irn.mit.ghg.enr.ch4.2</v>
          </cell>
        </row>
        <row r="16063">
          <cell r="D16063" t="str">
            <v>Agriculture CH4 emissions - policy</v>
          </cell>
          <cell r="H16063" t="str">
            <v>irn.mit.ghg.agr.ch4.2</v>
          </cell>
        </row>
        <row r="16064">
          <cell r="D16064" t="str">
            <v>Waste CH4 emissions - policy</v>
          </cell>
          <cell r="H16064" t="str">
            <v>irn.mit.ghg.wst.ch4.2</v>
          </cell>
        </row>
        <row r="16065">
          <cell r="D16065" t="str">
            <v>Other CH4 emissions - policy</v>
          </cell>
          <cell r="H16065" t="str">
            <v>irn.mit.ghg.oth.ch4.2</v>
          </cell>
        </row>
        <row r="16066">
          <cell r="D16066" t="str">
            <v>Total CH4 emissions, including LULUCF - policy</v>
          </cell>
          <cell r="H16066" t="str">
            <v>irn.mit.ghg.tot.inc.ch4.2</v>
          </cell>
        </row>
        <row r="16067">
          <cell r="D16067" t="str">
            <v>Total CH4 emissions, excluding LULUCF - policy</v>
          </cell>
          <cell r="H16067" t="str">
            <v>irn.mit.ghg.tot.exc.ch4.2</v>
          </cell>
        </row>
        <row r="16069">
          <cell r="D16069" t="str">
            <v>Methane fee - fossil, baseline</v>
          </cell>
          <cell r="H16069" t="str">
            <v>irn.mit.mftrajfossil.1</v>
          </cell>
        </row>
        <row r="16070">
          <cell r="D16070" t="str">
            <v>Methane fee - non-fossil, baseline</v>
          </cell>
          <cell r="H16070" t="str">
            <v>irn.mit.mftrajnonfossil.1</v>
          </cell>
        </row>
        <row r="16071">
          <cell r="D16071" t="str">
            <v>Methane fee - fossil, policy</v>
          </cell>
          <cell r="H16071" t="str">
            <v>irn.mit.mftrajfossil.2</v>
          </cell>
        </row>
        <row r="16072">
          <cell r="D16072" t="str">
            <v>Methane fee - non-fossil, policy</v>
          </cell>
          <cell r="H16072" t="str">
            <v>irn.mit.mftrajnonfossil.2</v>
          </cell>
        </row>
        <row r="16074">
          <cell r="D16074" t="str">
            <v>Efficiency cost - extractives</v>
          </cell>
          <cell r="H16074" t="str">
            <v>irn.mit.wel.eco.ext.dwl.pct</v>
          </cell>
        </row>
        <row r="16075">
          <cell r="D16075" t="str">
            <v>Efficiency cost - agriculture</v>
          </cell>
          <cell r="H16075" t="str">
            <v>irn.mit.wel.eco.agc.dwl.pct</v>
          </cell>
        </row>
        <row r="16076">
          <cell r="D16076" t="str">
            <v>Efficiency cost - waste</v>
          </cell>
          <cell r="H16076" t="str">
            <v>irn.mit.wel.eco.was.dwl.pct</v>
          </cell>
        </row>
        <row r="16090">
          <cell r="D16090" t="str">
            <v>Crude oil - producer price increase, percent</v>
          </cell>
          <cell r="H16090" t="str">
            <v>irn.mit.ener.mfpct.oil.e.2</v>
          </cell>
        </row>
        <row r="16091">
          <cell r="D16091" t="str">
            <v>Natural gas - producer price increase, percent</v>
          </cell>
          <cell r="H16091" t="str">
            <v>irn.mit.ener.mfpct.coa.e.2</v>
          </cell>
        </row>
        <row r="16092">
          <cell r="D16092" t="str">
            <v>Coal - producer price increase, percent</v>
          </cell>
          <cell r="H16092" t="str">
            <v>irn.mit.ener.mfpct.nga.e.2</v>
          </cell>
        </row>
        <row r="16093">
          <cell r="D16093" t="str">
            <v>Livestock - producer price increase, percent</v>
          </cell>
          <cell r="H16093" t="str">
            <v>irn.mit.ener.mfpct.liv.e.2</v>
          </cell>
        </row>
        <row r="16101">
          <cell r="D16101" t="str">
            <v>Inflation index, 2021 = 100</v>
          </cell>
          <cell r="H16101" t="str">
            <v>inflation</v>
          </cell>
        </row>
        <row r="16102">
          <cell r="D16102" t="str">
            <v>VAT rate</v>
          </cell>
          <cell r="H16102" t="str">
            <v>vat</v>
          </cell>
        </row>
        <row r="16103">
          <cell r="D16103" t="str">
            <v>Crude Oil forecast - international</v>
          </cell>
          <cell r="H16103" t="str">
            <v>realoilbbl</v>
          </cell>
        </row>
        <row r="16104">
          <cell r="D16104" t="str">
            <v>Coal forecast  - international</v>
          </cell>
          <cell r="H16104" t="str">
            <v>realcoalton</v>
          </cell>
        </row>
        <row r="16105">
          <cell r="D16105" t="str">
            <v>Natural gas forecast - international</v>
          </cell>
          <cell r="H16105" t="str">
            <v>realngammbtu</v>
          </cell>
        </row>
        <row r="16106">
          <cell r="D16106" t="str">
            <v>Crude Oil forecast - international</v>
          </cell>
          <cell r="H16106" t="str">
            <v>realoilglobal</v>
          </cell>
        </row>
        <row r="16107">
          <cell r="D16107" t="str">
            <v>Coal forecast  - international</v>
          </cell>
          <cell r="H16107" t="str">
            <v>reacoalglobal</v>
          </cell>
        </row>
        <row r="16108">
          <cell r="D16108" t="str">
            <v>Natural gas forecast - international</v>
          </cell>
          <cell r="H16108" t="str">
            <v>realngaglobal</v>
          </cell>
        </row>
        <row r="16109">
          <cell r="D16109" t="str">
            <v>For gasoline mark-up</v>
          </cell>
          <cell r="H16109" t="str">
            <v>forgasolinemarkup</v>
          </cell>
        </row>
        <row r="16110">
          <cell r="D16110" t="str">
            <v>For diesel mark-up</v>
          </cell>
          <cell r="H16110" t="str">
            <v>fordieselmarkup</v>
          </cell>
        </row>
        <row r="16111">
          <cell r="D16111" t="str">
            <v>For LPG mark-up</v>
          </cell>
          <cell r="H16111" t="str">
            <v>forglpgmarkup</v>
          </cell>
        </row>
        <row r="16112">
          <cell r="D16112" t="str">
            <v>For kerosene mark-up</v>
          </cell>
          <cell r="H16112" t="str">
            <v>forkerosenemarkup</v>
          </cell>
        </row>
        <row r="16114">
          <cell r="H16114" t="str">
            <v>irn.mit.mu1.coa.res.1</v>
          </cell>
        </row>
        <row r="16115">
          <cell r="H16115" t="str">
            <v>irn.mit.mu1.coa.ind.1</v>
          </cell>
        </row>
        <row r="16116">
          <cell r="H16116" t="str">
            <v>irn.mit.mu1.nga.pow.1</v>
          </cell>
        </row>
        <row r="16117">
          <cell r="H16117" t="str">
            <v>irn.mit.mu1.nga.res.1</v>
          </cell>
        </row>
        <row r="16118">
          <cell r="H16118" t="str">
            <v>irn.mit.mu1.nga.ind.1</v>
          </cell>
        </row>
        <row r="16119">
          <cell r="H16119" t="str">
            <v>irn.mit.mu1.gso.all.1</v>
          </cell>
        </row>
        <row r="16120">
          <cell r="H16120" t="str">
            <v>irn.mit.mu1.die.all.1</v>
          </cell>
        </row>
        <row r="16121">
          <cell r="H16121" t="str">
            <v>irn.mit.mu1.lpg.all.1</v>
          </cell>
        </row>
        <row r="16122">
          <cell r="H16122" t="str">
            <v>irn.mit.mu1.ker.all.1</v>
          </cell>
        </row>
        <row r="16123">
          <cell r="H16123" t="str">
            <v>irn.mit.mu1.oop.all.1</v>
          </cell>
        </row>
        <row r="16124">
          <cell r="H16124" t="str">
            <v>irn.mit.mu1.bio.all.1</v>
          </cell>
        </row>
        <row r="16125">
          <cell r="H16125" t="str">
            <v>irn.mit.mu2.coa.pow.1</v>
          </cell>
        </row>
        <row r="16126">
          <cell r="D16126" t="str">
            <v>Markup2 (pretax to Retail Price) coa - res</v>
          </cell>
          <cell r="H16126" t="str">
            <v>irn.mit.mu2.coa.res.1</v>
          </cell>
        </row>
        <row r="16127">
          <cell r="D16127" t="str">
            <v>Markup2 (pretax to Retail Price) coa - ind</v>
          </cell>
          <cell r="H16127" t="str">
            <v>irn.mit.mu2.coa.ind.1</v>
          </cell>
        </row>
        <row r="16128">
          <cell r="D16128" t="str">
            <v>Markup2 (pretax to Retail Price) nga - pow</v>
          </cell>
          <cell r="H16128" t="str">
            <v>irn.mit.mu2.nga.pow.1</v>
          </cell>
        </row>
        <row r="16129">
          <cell r="D16129" t="str">
            <v>Markup2 (pretax to Retail Price) nga - res</v>
          </cell>
          <cell r="H16129" t="str">
            <v>irn.mit.mu2.nga.res.1</v>
          </cell>
        </row>
        <row r="16130">
          <cell r="D16130" t="str">
            <v>Markup2 (pretax to Retail Price) nga - ind</v>
          </cell>
          <cell r="H16130" t="str">
            <v>irn.mit.mu2.nga.ind.1</v>
          </cell>
        </row>
        <row r="16131">
          <cell r="D16131" t="str">
            <v>Markup2 (pretax to Retail Price) gso - all</v>
          </cell>
          <cell r="H16131" t="str">
            <v>irn.mit.mu2.gso.all.1</v>
          </cell>
        </row>
        <row r="16132">
          <cell r="D16132" t="str">
            <v>Markup2 (pretax to Retail Price) die - all</v>
          </cell>
          <cell r="H16132" t="str">
            <v>irn.mit.mu2.die.all.1</v>
          </cell>
        </row>
        <row r="16133">
          <cell r="D16133" t="str">
            <v>Markup2 (pretax to Retail Price) lpg - all</v>
          </cell>
          <cell r="H16133" t="str">
            <v>irn.mit.mu2.lpg.all.1</v>
          </cell>
        </row>
        <row r="16134">
          <cell r="D16134" t="str">
            <v>Markup2 (pretax to Retail Price) ker - all</v>
          </cell>
          <cell r="H16134" t="str">
            <v>irn.mit.mu2.ker.all.1</v>
          </cell>
        </row>
        <row r="16135">
          <cell r="D16135" t="str">
            <v>Markup2 (pretax to Retail Price) oop - all</v>
          </cell>
          <cell r="H16135" t="str">
            <v>irn.mit.mu2.oop.all.1</v>
          </cell>
        </row>
        <row r="16136">
          <cell r="D16136" t="str">
            <v>Markup2 (pretax to Retail Price) bio - all</v>
          </cell>
          <cell r="H16136" t="str">
            <v>irn.mit.mu2.bio.all.1</v>
          </cell>
        </row>
        <row r="16137">
          <cell r="D16137" t="str">
            <v>Forecasted Pretax Price - coa - pow</v>
          </cell>
          <cell r="H16137" t="str">
            <v>irn.mit.sp.coa.pow.1</v>
          </cell>
        </row>
        <row r="16138">
          <cell r="D16138" t="str">
            <v>Forecasted Pretax Price - coa - res</v>
          </cell>
          <cell r="H16138" t="str">
            <v>irn.mit.sp.coa.res.1</v>
          </cell>
        </row>
        <row r="16139">
          <cell r="D16139" t="str">
            <v>Forecasted Pretax Price - coa - ind</v>
          </cell>
          <cell r="H16139" t="str">
            <v>irn.mit.sp.coa.ind.1</v>
          </cell>
        </row>
        <row r="16140">
          <cell r="D16140" t="str">
            <v>Forecasted Pretax Price - nga - pow</v>
          </cell>
          <cell r="H16140" t="str">
            <v>irn.mit.sp.nga.pow.1</v>
          </cell>
        </row>
        <row r="16141">
          <cell r="D16141" t="str">
            <v>Forecasted Pretax Price - nga - res</v>
          </cell>
          <cell r="H16141" t="str">
            <v>irn.mit.sp.nga.res.1</v>
          </cell>
        </row>
        <row r="16142">
          <cell r="D16142" t="str">
            <v>Forecasted Pretax Price - nga - ind</v>
          </cell>
          <cell r="H16142" t="str">
            <v>irn.mit.sp.nga.ind.1</v>
          </cell>
        </row>
        <row r="16143">
          <cell r="D16143" t="str">
            <v>Forecasted Pretax Price - gso - all</v>
          </cell>
          <cell r="H16143" t="str">
            <v>irn.mit.sp.gso.all.1</v>
          </cell>
        </row>
        <row r="16144">
          <cell r="D16144" t="str">
            <v>Forecasted Pretax Price - die - all</v>
          </cell>
          <cell r="H16144" t="str">
            <v>irn.mit.sp.die.all.1</v>
          </cell>
        </row>
        <row r="16145">
          <cell r="D16145" t="str">
            <v>Forecasted Pretax Price - lpg - all</v>
          </cell>
          <cell r="H16145" t="str">
            <v>irn.mit.sp.lpg.all.1</v>
          </cell>
        </row>
        <row r="16146">
          <cell r="D16146" t="str">
            <v>Forecasted Pretax Price - ker - all</v>
          </cell>
          <cell r="H16146" t="str">
            <v>irn.mit.sp.ker.all.1</v>
          </cell>
        </row>
        <row r="16147">
          <cell r="D16147" t="str">
            <v>Forecasted Pretax Price - oop - all</v>
          </cell>
          <cell r="H16147" t="str">
            <v>irn.mit.sp.oop.all.1</v>
          </cell>
        </row>
        <row r="16148">
          <cell r="D16148" t="str">
            <v>Retail Price - coa - pow</v>
          </cell>
          <cell r="H16148" t="str">
            <v>irn.mit.rp.pow.coa.a.1</v>
          </cell>
        </row>
        <row r="16149">
          <cell r="D16149" t="str">
            <v>Retail Price - coa - res</v>
          </cell>
          <cell r="H16149" t="str">
            <v>irn.mit.rp.res.coa.a.1</v>
          </cell>
        </row>
        <row r="16150">
          <cell r="D16150" t="str">
            <v>Retail Price - coa - ind</v>
          </cell>
          <cell r="H16150" t="str">
            <v>irn.mit.rp.ind.coa.a.1</v>
          </cell>
        </row>
        <row r="16151">
          <cell r="D16151" t="str">
            <v>Retail Price - nga - pow</v>
          </cell>
          <cell r="H16151" t="str">
            <v>irn.mit.rp.pow.nga.a.1</v>
          </cell>
        </row>
        <row r="16152">
          <cell r="D16152" t="str">
            <v>Retail Price - nga - res</v>
          </cell>
          <cell r="H16152" t="str">
            <v>irn.mit.rp.res.nga.a.1</v>
          </cell>
        </row>
        <row r="16153">
          <cell r="D16153" t="str">
            <v>Retail Price - nga - ind</v>
          </cell>
          <cell r="H16153" t="str">
            <v>irn.mit.rp.ind.nga.a.1</v>
          </cell>
        </row>
        <row r="16154">
          <cell r="D16154" t="str">
            <v>Retail Price - die - all</v>
          </cell>
          <cell r="H16154" t="str">
            <v>irn.mit.rp.all.die.a.1</v>
          </cell>
        </row>
        <row r="16155">
          <cell r="D16155" t="str">
            <v>Retail Price - lpg - all</v>
          </cell>
          <cell r="H16155" t="str">
            <v>irn.mit.rp.all.lpg.a.1</v>
          </cell>
        </row>
        <row r="16156">
          <cell r="D16156" t="str">
            <v>Retail Price - ker - all</v>
          </cell>
          <cell r="H16156" t="str">
            <v>irn.mit.rp.all.ker.a.1</v>
          </cell>
        </row>
        <row r="16157">
          <cell r="D16157" t="str">
            <v>Retail Price - oop - all</v>
          </cell>
          <cell r="H16157" t="str">
            <v>irn.mit.rp.all.oop.a.1</v>
          </cell>
        </row>
        <row r="16214">
          <cell r="H16214" t="str">
            <v>irn.mit.ec.ele.2019.1</v>
          </cell>
        </row>
        <row r="16215">
          <cell r="H16215" t="str">
            <v>irn.mit.ec.coa.2019.1</v>
          </cell>
        </row>
        <row r="16216">
          <cell r="H16216" t="str">
            <v>irn.mit.ec.nga.2019.1</v>
          </cell>
        </row>
        <row r="16217">
          <cell r="H16217" t="str">
            <v>irn.mit.ec.oop.2019.1</v>
          </cell>
        </row>
        <row r="16218">
          <cell r="H16218" t="str">
            <v>irn.mit.ec.gso.2019.1</v>
          </cell>
        </row>
        <row r="16219">
          <cell r="H16219" t="str">
            <v>irn.mit.ec.die.2019.1</v>
          </cell>
        </row>
        <row r="16220">
          <cell r="H16220" t="str">
            <v>irn.mit.ec.ker.2019.1</v>
          </cell>
        </row>
        <row r="16221">
          <cell r="H16221" t="str">
            <v>irn.mit.ec.lpg.2019.1</v>
          </cell>
        </row>
        <row r="16222">
          <cell r="H16222" t="str">
            <v>irn.mit.ec.jfu.2019.1</v>
          </cell>
        </row>
        <row r="16223">
          <cell r="H16223" t="str">
            <v>irn.mit.ec.wnd.2019.1</v>
          </cell>
        </row>
        <row r="16224">
          <cell r="H16224" t="str">
            <v>irn.mit.ec.sol.2019.1</v>
          </cell>
        </row>
        <row r="16225">
          <cell r="H16225" t="str">
            <v>irn.mit.ec.hyd.2019.1</v>
          </cell>
        </row>
        <row r="16226">
          <cell r="H16226" t="str">
            <v>irn.mit.ec.ore.2019.1</v>
          </cell>
        </row>
        <row r="16227">
          <cell r="H16227" t="str">
            <v>irn.mit.ec.nuc.2019.1</v>
          </cell>
        </row>
        <row r="16228">
          <cell r="H16228" t="str">
            <v>irn.mit.ec.bio.2019.1</v>
          </cell>
        </row>
        <row r="16229">
          <cell r="H16229" t="str">
            <v>irn.mit.ec.bgs.2019.1</v>
          </cell>
        </row>
        <row r="16230">
          <cell r="H16230" t="str">
            <v>irn.mit.ec.bdi.2019.1</v>
          </cell>
        </row>
        <row r="16231">
          <cell r="H16231" t="str">
            <v>irn.mit.ec.obf.2019.1</v>
          </cell>
        </row>
        <row r="16232">
          <cell r="H16232" t="str">
            <v>irn.mit.ec.heat.2019.1</v>
          </cell>
        </row>
      </sheetData>
      <sheetData sheetId="5"/>
      <sheetData sheetId="6">
        <row r="4137">
          <cell r="H4137" t="str">
            <v>irn.air.conc.pm2.cpp.1</v>
          </cell>
        </row>
        <row r="4138">
          <cell r="H4138" t="str">
            <v>irn.air.conc.pm2.gpp.1</v>
          </cell>
        </row>
        <row r="4139">
          <cell r="H4139" t="str">
            <v>irn.air.conc.pm2.opp.1</v>
          </cell>
        </row>
        <row r="4140">
          <cell r="H4140" t="str">
            <v>irn.air.conc.pm2.rod.1</v>
          </cell>
        </row>
        <row r="4141">
          <cell r="H4141" t="str">
            <v>irn.air.conc.pm2.gro.1</v>
          </cell>
        </row>
        <row r="4142">
          <cell r="H4142" t="str">
            <v>irn.air.conc.pm2.oth.1</v>
          </cell>
        </row>
        <row r="4143">
          <cell r="H4143" t="str">
            <v>irn.air.conc.pm2.foo.1</v>
          </cell>
        </row>
        <row r="4145">
          <cell r="H4145" t="str">
            <v>irn.air.conc.pm2.tot.1</v>
          </cell>
        </row>
        <row r="4148">
          <cell r="H4148" t="str">
            <v>irn.air.conc.pm2.cpp.2</v>
          </cell>
        </row>
        <row r="4149">
          <cell r="H4149" t="str">
            <v>irn.air.conc.pm2.gpp.2</v>
          </cell>
        </row>
        <row r="4150">
          <cell r="H4150" t="str">
            <v>irn.air.conc.pm2.opp.2</v>
          </cell>
        </row>
        <row r="4151">
          <cell r="H4151" t="str">
            <v>irn.air.conc.pm2.rod.2</v>
          </cell>
        </row>
        <row r="4152">
          <cell r="H4152" t="str">
            <v>irn.air.conc.pm2.gro.2</v>
          </cell>
        </row>
        <row r="4153">
          <cell r="H4153" t="str">
            <v>irn.air.conc.pm2.oth.2</v>
          </cell>
        </row>
        <row r="4154">
          <cell r="H4154" t="str">
            <v>irn.air.conc.pm2.foo.2</v>
          </cell>
        </row>
        <row r="4156">
          <cell r="H4156" t="str">
            <v>irn.air.conc.pm2.tot.2</v>
          </cell>
        </row>
      </sheetData>
      <sheetData sheetId="7">
        <row r="440">
          <cell r="F440" t="str">
            <v>irn.tran.congestionP.1</v>
          </cell>
        </row>
      </sheetData>
      <sheetData sheetId="8"/>
      <sheetData sheetId="9">
        <row r="5">
          <cell r="C5" t="b">
            <v>0</v>
          </cell>
        </row>
        <row r="10">
          <cell r="D10">
            <v>0</v>
          </cell>
        </row>
        <row r="13">
          <cell r="F13" t="str">
            <v xml:space="preserve"> - Carbon tax</v>
          </cell>
        </row>
        <row r="115">
          <cell r="F115">
            <v>2021</v>
          </cell>
        </row>
        <row r="186">
          <cell r="F186">
            <v>2030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9C5-E5E2-4EB3-811C-85537B2BCDF3}">
  <dimension ref="D4:V1340"/>
  <sheetViews>
    <sheetView tabSelected="1" topLeftCell="A149" workbookViewId="0">
      <selection activeCell="E211" sqref="E211"/>
    </sheetView>
  </sheetViews>
  <sheetFormatPr defaultRowHeight="14.25" x14ac:dyDescent="0.45"/>
  <cols>
    <col min="4" max="4" width="78.9296875" bestFit="1" customWidth="1"/>
    <col min="5" max="5" width="23.9296875" bestFit="1" customWidth="1"/>
    <col min="7" max="7" width="34.6640625" bestFit="1" customWidth="1"/>
  </cols>
  <sheetData>
    <row r="4" spans="4:22" ht="36" x14ac:dyDescent="0.45">
      <c r="D4" s="1" t="s">
        <v>336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</row>
    <row r="5" spans="4:22" x14ac:dyDescent="0.45">
      <c r="D5" s="2"/>
      <c r="E5" s="2"/>
      <c r="F5" s="2"/>
      <c r="G5" s="2" t="str">
        <f>IF(D5="","","cty.mit."&amp;IF(I5="","all",I5)&amp;"."&amp;IF(P5="","all",P5)&amp;"."&amp;IF(Q5="","all",Q5)&amp;"."&amp;IF(U5="","all",U5)&amp;"."&amp;IF(V5="","all",V5))</f>
        <v/>
      </c>
      <c r="H5" s="2"/>
      <c r="I5" s="2"/>
      <c r="J5" s="2" t="s">
        <v>18</v>
      </c>
      <c r="K5" s="2"/>
      <c r="L5" s="2"/>
      <c r="M5" s="2"/>
      <c r="N5" s="2"/>
      <c r="O5" s="2"/>
      <c r="P5" s="2" t="str">
        <f>L5&amp;IF(N5="",M5,N5)&amp;O5</f>
        <v/>
      </c>
      <c r="Q5" s="2"/>
      <c r="R5" s="2"/>
      <c r="S5" s="2"/>
      <c r="T5" s="2"/>
      <c r="U5" s="2" t="str">
        <f>R5&amp;T5&amp;S5</f>
        <v/>
      </c>
      <c r="V5" s="3"/>
    </row>
    <row r="6" spans="4:22" x14ac:dyDescent="0.45">
      <c r="D6" s="39" t="s">
        <v>337</v>
      </c>
      <c r="E6" s="4" t="str">
        <f>LOWER(_Country_code)&amp;".mit.co2cov."&amp;ScenarioNum</f>
        <v>irn.mit.co2cov.2</v>
      </c>
      <c r="F6" s="4" t="str">
        <f t="shared" ref="F6:F13" si="0">IF(MTAct,E6&amp;"_"&amp;MSTScenarioID,"N/A")</f>
        <v>N/A</v>
      </c>
      <c r="G6" s="4" t="str">
        <f t="shared" ref="G6:G75" si="1">IF(D6="","",LOWER(_Country_code)&amp;"."&amp;H6&amp;"."&amp;IF(I6="","all",I6)&amp;"_"&amp;J6&amp;"."&amp;IF(R6="","all",R6)&amp;"."&amp;IF(Q6="","all",Q6)&amp;"."&amp;IF(U6="","all",U6)&amp;"."&amp;IF(K6="","all",K6)&amp;"."&amp;IF(V6="","all",V6))</f>
        <v>irn.mit.co2cov_.all.all.all.pc.2</v>
      </c>
      <c r="H6" s="4" t="s">
        <v>19</v>
      </c>
      <c r="I6" s="4" t="s">
        <v>20</v>
      </c>
      <c r="J6" s="4" t="s">
        <v>18</v>
      </c>
      <c r="K6" s="4" t="s">
        <v>21</v>
      </c>
      <c r="L6" s="4"/>
      <c r="M6" s="4"/>
      <c r="N6" s="4"/>
      <c r="O6" s="4"/>
      <c r="P6" s="4" t="str">
        <f t="shared" ref="P6:P75" si="2">L6&amp;IF(N6="",M6,N6)&amp;O6</f>
        <v/>
      </c>
      <c r="Q6" s="4"/>
      <c r="R6" s="4"/>
      <c r="S6" s="4"/>
      <c r="T6" s="4"/>
      <c r="U6" s="4" t="str">
        <f t="shared" ref="U6:U73" si="3">R6&amp;T6&amp;S6</f>
        <v/>
      </c>
      <c r="V6" s="5" t="s">
        <v>22</v>
      </c>
    </row>
    <row r="7" spans="4:22" x14ac:dyDescent="0.45">
      <c r="D7" s="39" t="s">
        <v>338</v>
      </c>
      <c r="E7" s="4" t="str">
        <f>LOWER(_Country_code)&amp;".mit.cptraj."&amp;ScenarioNum</f>
        <v>irn.mit.cptraj.2</v>
      </c>
      <c r="F7" s="4" t="str">
        <f t="shared" si="0"/>
        <v>N/A</v>
      </c>
      <c r="G7" s="4" t="str">
        <f t="shared" si="1"/>
        <v>irn.mit.cptraj_.all.all.all.usdtco2.2</v>
      </c>
      <c r="H7" s="4" t="s">
        <v>19</v>
      </c>
      <c r="I7" s="4" t="s">
        <v>23</v>
      </c>
      <c r="J7" s="4" t="s">
        <v>18</v>
      </c>
      <c r="K7" s="4" t="s">
        <v>24</v>
      </c>
      <c r="L7" s="4"/>
      <c r="M7" s="4"/>
      <c r="N7" s="4"/>
      <c r="O7" s="4"/>
      <c r="P7" s="4" t="str">
        <f t="shared" si="2"/>
        <v/>
      </c>
      <c r="Q7" s="4"/>
      <c r="R7" s="4"/>
      <c r="S7" s="4"/>
      <c r="T7" s="4"/>
      <c r="U7" s="4" t="str">
        <f t="shared" si="3"/>
        <v/>
      </c>
      <c r="V7" s="5" t="s">
        <v>22</v>
      </c>
    </row>
    <row r="8" spans="4:22" x14ac:dyDescent="0.45">
      <c r="D8" s="39" t="s">
        <v>339</v>
      </c>
      <c r="E8" s="4" t="str">
        <f>LOWER(_Country_code)&amp;".mit.eff.cptraj."&amp;ScenarioNum</f>
        <v>irn.mit.eff.cptraj.2</v>
      </c>
      <c r="F8" s="4" t="str">
        <f t="shared" si="0"/>
        <v>N/A</v>
      </c>
      <c r="G8" s="4" t="str">
        <f t="shared" si="1"/>
        <v>irn.mit.effcptraj_.all.all.all.usdtco2.2</v>
      </c>
      <c r="H8" s="4" t="s">
        <v>19</v>
      </c>
      <c r="I8" s="4" t="s">
        <v>25</v>
      </c>
      <c r="J8" s="4" t="s">
        <v>18</v>
      </c>
      <c r="K8" s="4" t="s">
        <v>24</v>
      </c>
      <c r="L8" s="4"/>
      <c r="M8" s="4"/>
      <c r="N8" s="4"/>
      <c r="O8" s="4"/>
      <c r="P8" s="4" t="str">
        <f t="shared" si="2"/>
        <v/>
      </c>
      <c r="Q8" s="4"/>
      <c r="R8" s="4"/>
      <c r="S8" s="4"/>
      <c r="T8" s="4"/>
      <c r="U8" s="4" t="str">
        <f t="shared" si="3"/>
        <v/>
      </c>
      <c r="V8" s="5" t="s">
        <v>22</v>
      </c>
    </row>
    <row r="9" spans="4:22" x14ac:dyDescent="0.45">
      <c r="D9" s="39" t="s">
        <v>340</v>
      </c>
      <c r="E9" s="4" t="str">
        <f>LOWER(_Country_code)&amp;".mit.co2cov.pow.cont."&amp;ScenarioNum</f>
        <v>irn.mit.co2cov.pow.cont.2</v>
      </c>
      <c r="F9" s="4" t="str">
        <f t="shared" si="0"/>
        <v>N/A</v>
      </c>
      <c r="G9" s="4" t="str">
        <f t="shared" si="1"/>
        <v>irn.mit.co2cov_.all.pow.all.pc.2</v>
      </c>
      <c r="H9" s="4" t="s">
        <v>19</v>
      </c>
      <c r="I9" s="4" t="s">
        <v>20</v>
      </c>
      <c r="J9" s="4" t="s">
        <v>18</v>
      </c>
      <c r="K9" s="4" t="s">
        <v>21</v>
      </c>
      <c r="L9" s="4"/>
      <c r="M9" s="4"/>
      <c r="N9" s="4"/>
      <c r="O9" s="4"/>
      <c r="P9" s="4" t="str">
        <f t="shared" si="2"/>
        <v/>
      </c>
      <c r="Q9" s="4" t="s">
        <v>26</v>
      </c>
      <c r="R9" s="4"/>
      <c r="S9" s="4"/>
      <c r="T9" s="4"/>
      <c r="U9" s="4" t="str">
        <f t="shared" si="3"/>
        <v/>
      </c>
      <c r="V9" s="5" t="s">
        <v>22</v>
      </c>
    </row>
    <row r="10" spans="4:22" x14ac:dyDescent="0.45">
      <c r="D10" s="39" t="s">
        <v>341</v>
      </c>
      <c r="E10" s="4" t="str">
        <f>LOWER(_Country_code)&amp;".mit.co2cov.tra.cont."&amp;ScenarioNum</f>
        <v>irn.mit.co2cov.tra.cont.2</v>
      </c>
      <c r="F10" s="4" t="str">
        <f t="shared" si="0"/>
        <v>N/A</v>
      </c>
      <c r="G10" s="4" t="str">
        <f t="shared" si="1"/>
        <v>irn.mit.co2cov_.all.tra.all.pc.2</v>
      </c>
      <c r="H10" s="4" t="s">
        <v>19</v>
      </c>
      <c r="I10" s="4" t="s">
        <v>20</v>
      </c>
      <c r="J10" s="4" t="s">
        <v>18</v>
      </c>
      <c r="K10" s="4" t="s">
        <v>21</v>
      </c>
      <c r="L10" s="4"/>
      <c r="M10" s="4"/>
      <c r="N10" s="4"/>
      <c r="O10" s="4"/>
      <c r="P10" s="4" t="str">
        <f t="shared" si="2"/>
        <v/>
      </c>
      <c r="Q10" s="4" t="s">
        <v>27</v>
      </c>
      <c r="R10" s="4"/>
      <c r="S10" s="4"/>
      <c r="T10" s="4"/>
      <c r="U10" s="4" t="str">
        <f t="shared" si="3"/>
        <v/>
      </c>
      <c r="V10" s="5" t="s">
        <v>22</v>
      </c>
    </row>
    <row r="11" spans="4:22" x14ac:dyDescent="0.45">
      <c r="D11" s="39" t="s">
        <v>342</v>
      </c>
      <c r="E11" s="4" t="str">
        <f>LOWER(_Country_code)&amp;".mit.co2cov.res.cont."&amp;ScenarioNum</f>
        <v>irn.mit.co2cov.res.cont.2</v>
      </c>
      <c r="F11" s="4" t="str">
        <f t="shared" si="0"/>
        <v>N/A</v>
      </c>
      <c r="G11" s="4" t="str">
        <f t="shared" si="1"/>
        <v>irn.mit.co2cov_.all.res.all.pc.2</v>
      </c>
      <c r="H11" s="4" t="s">
        <v>19</v>
      </c>
      <c r="I11" s="4" t="s">
        <v>20</v>
      </c>
      <c r="J11" s="4" t="s">
        <v>18</v>
      </c>
      <c r="K11" s="4" t="s">
        <v>21</v>
      </c>
      <c r="L11" s="4"/>
      <c r="M11" s="4"/>
      <c r="N11" s="4"/>
      <c r="O11" s="4"/>
      <c r="P11" s="4" t="str">
        <f t="shared" si="2"/>
        <v/>
      </c>
      <c r="Q11" s="4" t="s">
        <v>28</v>
      </c>
      <c r="R11" s="4"/>
      <c r="S11" s="4"/>
      <c r="T11" s="4"/>
      <c r="U11" s="4" t="str">
        <f t="shared" si="3"/>
        <v/>
      </c>
      <c r="V11" s="5" t="s">
        <v>22</v>
      </c>
    </row>
    <row r="12" spans="4:22" x14ac:dyDescent="0.45">
      <c r="D12" s="39" t="s">
        <v>343</v>
      </c>
      <c r="E12" s="4" t="str">
        <f>LOWER(_Country_code)&amp;".mit.co2cov.ind.cont."&amp;ScenarioNum</f>
        <v>irn.mit.co2cov.ind.cont.2</v>
      </c>
      <c r="F12" s="4" t="str">
        <f t="shared" si="0"/>
        <v>N/A</v>
      </c>
      <c r="G12" s="4" t="str">
        <f t="shared" si="1"/>
        <v>irn.mit.co2cov_.all.ind.all.pc.2</v>
      </c>
      <c r="H12" s="4" t="s">
        <v>19</v>
      </c>
      <c r="I12" s="4" t="s">
        <v>20</v>
      </c>
      <c r="J12" s="4" t="s">
        <v>18</v>
      </c>
      <c r="K12" s="4" t="s">
        <v>21</v>
      </c>
      <c r="L12" s="4"/>
      <c r="M12" s="4"/>
      <c r="N12" s="4"/>
      <c r="O12" s="4"/>
      <c r="P12" s="4" t="str">
        <f t="shared" si="2"/>
        <v/>
      </c>
      <c r="Q12" s="4" t="s">
        <v>29</v>
      </c>
      <c r="R12" s="4"/>
      <c r="S12" s="4"/>
      <c r="T12" s="4"/>
      <c r="U12" s="4" t="str">
        <f t="shared" si="3"/>
        <v/>
      </c>
      <c r="V12" s="5" t="s">
        <v>22</v>
      </c>
    </row>
    <row r="13" spans="4:22" x14ac:dyDescent="0.45">
      <c r="D13" s="39" t="s">
        <v>344</v>
      </c>
      <c r="E13" s="4" t="str">
        <f>LOWER(_Country_code)&amp;".mit.co2cov.oth.cont."&amp;ScenarioNum</f>
        <v>irn.mit.co2cov.oth.cont.2</v>
      </c>
      <c r="F13" s="4" t="str">
        <f t="shared" si="0"/>
        <v>N/A</v>
      </c>
      <c r="G13" s="4" t="str">
        <f t="shared" si="1"/>
        <v>irn.mit.co2cov_.all.oth.all.pc.2</v>
      </c>
      <c r="H13" s="4" t="s">
        <v>19</v>
      </c>
      <c r="I13" s="4" t="s">
        <v>20</v>
      </c>
      <c r="J13" s="4" t="s">
        <v>18</v>
      </c>
      <c r="K13" s="4" t="s">
        <v>21</v>
      </c>
      <c r="L13" s="4"/>
      <c r="M13" s="4"/>
      <c r="N13" s="4"/>
      <c r="O13" s="4"/>
      <c r="P13" s="4" t="str">
        <f t="shared" si="2"/>
        <v/>
      </c>
      <c r="Q13" s="4" t="s">
        <v>30</v>
      </c>
      <c r="R13" s="4"/>
      <c r="S13" s="4"/>
      <c r="T13" s="4"/>
      <c r="U13" s="4" t="str">
        <f t="shared" si="3"/>
        <v/>
      </c>
      <c r="V13" s="5" t="s">
        <v>22</v>
      </c>
    </row>
    <row r="14" spans="4:22" x14ac:dyDescent="0.45">
      <c r="D14" s="2"/>
      <c r="E14" s="2"/>
      <c r="F14" s="2"/>
      <c r="G14" s="2" t="str">
        <f t="shared" si="1"/>
        <v/>
      </c>
      <c r="H14" s="2" t="s">
        <v>18</v>
      </c>
      <c r="I14" s="2"/>
      <c r="J14" s="2" t="s">
        <v>18</v>
      </c>
      <c r="K14" s="2"/>
      <c r="L14" s="2"/>
      <c r="M14" s="2"/>
      <c r="N14" s="2"/>
      <c r="O14" s="2"/>
      <c r="P14" s="2" t="str">
        <f t="shared" si="2"/>
        <v/>
      </c>
      <c r="Q14" s="2"/>
      <c r="R14" s="2"/>
      <c r="S14" s="2"/>
      <c r="T14" s="2"/>
      <c r="U14" s="2" t="str">
        <f t="shared" si="3"/>
        <v/>
      </c>
      <c r="V14" s="3" t="s">
        <v>18</v>
      </c>
    </row>
    <row r="15" spans="4:22" x14ac:dyDescent="0.45">
      <c r="D15" s="39" t="s">
        <v>345</v>
      </c>
      <c r="E15" s="4" t="str">
        <f>LOWER(_Country_code)&amp;".mit.gdp.pre.pct."&amp;ScenarioNum</f>
        <v>irn.mit.gdp.pre.pct.2</v>
      </c>
      <c r="F15" s="4" t="str">
        <f t="shared" ref="F15:F35" si="4">IF(MTAct,E15&amp;"_"&amp;MSTScenarioID,"N/A")</f>
        <v>N/A</v>
      </c>
      <c r="G15" s="4" t="str">
        <f t="shared" si="1"/>
        <v>irn.mit.gdp_.all.all.pre.pc.2</v>
      </c>
      <c r="H15" s="4" t="s">
        <v>19</v>
      </c>
      <c r="I15" s="4" t="s">
        <v>31</v>
      </c>
      <c r="J15" s="4" t="s">
        <v>18</v>
      </c>
      <c r="K15" s="4" t="s">
        <v>21</v>
      </c>
      <c r="L15" s="4"/>
      <c r="M15" s="4"/>
      <c r="N15" s="4"/>
      <c r="O15" s="4"/>
      <c r="P15" s="4" t="str">
        <f t="shared" si="2"/>
        <v/>
      </c>
      <c r="Q15" s="4"/>
      <c r="R15" s="4"/>
      <c r="S15" s="4"/>
      <c r="T15" s="4" t="s">
        <v>32</v>
      </c>
      <c r="U15" s="4" t="str">
        <f t="shared" si="3"/>
        <v>pre</v>
      </c>
      <c r="V15" s="5" t="s">
        <v>22</v>
      </c>
    </row>
    <row r="16" spans="4:22" x14ac:dyDescent="0.45">
      <c r="D16" s="39" t="str">
        <f>"Effect on GDP: "&amp;ScenarioSelected</f>
        <v>Effect on GDP:  - Carbon tax</v>
      </c>
      <c r="E16" s="4" t="str">
        <f>LOWER(_Country_code)&amp;".mit.gdp.exc.pct."&amp;ScenarioNum</f>
        <v>irn.mit.gdp.exc.pct.2</v>
      </c>
      <c r="F16" s="4" t="str">
        <f t="shared" si="4"/>
        <v>N/A</v>
      </c>
      <c r="G16" s="4" t="str">
        <f t="shared" si="1"/>
        <v>irn.mit.gdp_.all.all.exc.pc.2</v>
      </c>
      <c r="H16" s="4" t="s">
        <v>19</v>
      </c>
      <c r="I16" s="4" t="s">
        <v>31</v>
      </c>
      <c r="J16" s="4" t="s">
        <v>18</v>
      </c>
      <c r="K16" s="4" t="s">
        <v>21</v>
      </c>
      <c r="L16" s="4"/>
      <c r="M16" s="4"/>
      <c r="N16" s="4"/>
      <c r="O16" s="4"/>
      <c r="P16" s="4" t="str">
        <f t="shared" si="2"/>
        <v/>
      </c>
      <c r="Q16" s="4"/>
      <c r="R16" s="4"/>
      <c r="S16" s="4"/>
      <c r="T16" s="4" t="s">
        <v>33</v>
      </c>
      <c r="U16" s="4" t="str">
        <f t="shared" si="3"/>
        <v>exc</v>
      </c>
      <c r="V16" s="5" t="s">
        <v>22</v>
      </c>
    </row>
    <row r="17" spans="4:22" x14ac:dyDescent="0.45">
      <c r="D17" s="39" t="s">
        <v>346</v>
      </c>
      <c r="E17" s="4" t="str">
        <f>LOWER(_Country_code)&amp;".mit.gdp.pit.pct."&amp;ScenarioNum</f>
        <v>irn.mit.gdp.pit.pct.2</v>
      </c>
      <c r="F17" s="4" t="str">
        <f t="shared" si="4"/>
        <v>N/A</v>
      </c>
      <c r="G17" s="4" t="str">
        <f t="shared" si="1"/>
        <v>irn.mit.gdp_.all.all.pit.pc.2</v>
      </c>
      <c r="H17" s="4" t="s">
        <v>19</v>
      </c>
      <c r="I17" s="4" t="s">
        <v>31</v>
      </c>
      <c r="J17" s="4" t="s">
        <v>18</v>
      </c>
      <c r="K17" s="4" t="s">
        <v>21</v>
      </c>
      <c r="L17" s="4"/>
      <c r="M17" s="4"/>
      <c r="N17" s="4"/>
      <c r="O17" s="4"/>
      <c r="P17" s="4" t="str">
        <f t="shared" si="2"/>
        <v/>
      </c>
      <c r="Q17" s="4"/>
      <c r="R17" s="4"/>
      <c r="S17" s="4"/>
      <c r="T17" s="4" t="s">
        <v>34</v>
      </c>
      <c r="U17" s="4" t="str">
        <f t="shared" si="3"/>
        <v>pit</v>
      </c>
      <c r="V17" s="5" t="s">
        <v>22</v>
      </c>
    </row>
    <row r="18" spans="4:22" x14ac:dyDescent="0.45">
      <c r="D18" s="39" t="s">
        <v>347</v>
      </c>
      <c r="E18" s="4" t="str">
        <f>LOWER(_Country_code)&amp;".mit.gdp.inv.pct."&amp;ScenarioNum</f>
        <v>irn.mit.gdp.inv.pct.2</v>
      </c>
      <c r="F18" s="4" t="str">
        <f t="shared" si="4"/>
        <v>N/A</v>
      </c>
      <c r="G18" s="4" t="str">
        <f t="shared" si="1"/>
        <v>irn.mit.gdp_.all.all.inv.pc.2</v>
      </c>
      <c r="H18" s="4" t="s">
        <v>19</v>
      </c>
      <c r="I18" s="4" t="s">
        <v>31</v>
      </c>
      <c r="J18" s="4" t="s">
        <v>18</v>
      </c>
      <c r="K18" s="4" t="s">
        <v>21</v>
      </c>
      <c r="L18" s="4"/>
      <c r="M18" s="4"/>
      <c r="N18" s="4"/>
      <c r="O18" s="4"/>
      <c r="P18" s="4" t="str">
        <f t="shared" si="2"/>
        <v/>
      </c>
      <c r="Q18" s="4"/>
      <c r="R18" s="4"/>
      <c r="S18" s="4"/>
      <c r="T18" s="4" t="s">
        <v>35</v>
      </c>
      <c r="U18" s="4" t="str">
        <f t="shared" si="3"/>
        <v>inv</v>
      </c>
      <c r="V18" s="5" t="s">
        <v>22</v>
      </c>
    </row>
    <row r="19" spans="4:22" x14ac:dyDescent="0.45">
      <c r="D19" s="39" t="s">
        <v>348</v>
      </c>
      <c r="E19" s="4" t="str">
        <f>LOWER(_Country_code)&amp;".mit.gdp.cur.pct."&amp;ScenarioNum</f>
        <v>irn.mit.gdp.cur.pct.2</v>
      </c>
      <c r="F19" s="4" t="str">
        <f t="shared" si="4"/>
        <v>N/A</v>
      </c>
      <c r="G19" s="4" t="str">
        <f t="shared" si="1"/>
        <v>irn.mit.gdp_.all.all.cur.pc.2</v>
      </c>
      <c r="H19" s="4" t="s">
        <v>19</v>
      </c>
      <c r="I19" s="4" t="s">
        <v>31</v>
      </c>
      <c r="J19" s="4" t="s">
        <v>18</v>
      </c>
      <c r="K19" s="4" t="s">
        <v>21</v>
      </c>
      <c r="L19" s="4"/>
      <c r="M19" s="4"/>
      <c r="N19" s="4"/>
      <c r="O19" s="4"/>
      <c r="P19" s="4" t="str">
        <f t="shared" si="2"/>
        <v/>
      </c>
      <c r="Q19" s="4"/>
      <c r="R19" s="4"/>
      <c r="S19" s="4"/>
      <c r="T19" s="4" t="s">
        <v>36</v>
      </c>
      <c r="U19" s="4" t="str">
        <f t="shared" si="3"/>
        <v>cur</v>
      </c>
      <c r="V19" s="5" t="s">
        <v>22</v>
      </c>
    </row>
    <row r="20" spans="4:22" x14ac:dyDescent="0.45">
      <c r="D20" s="39" t="s">
        <v>349</v>
      </c>
      <c r="E20" s="4" t="str">
        <f>LOWER(_Country_code)&amp;".mit.gdp.tra.pct."&amp;ScenarioNum</f>
        <v>irn.mit.gdp.tra.pct.2</v>
      </c>
      <c r="F20" s="4" t="str">
        <f t="shared" si="4"/>
        <v>N/A</v>
      </c>
      <c r="G20" s="4" t="str">
        <f t="shared" si="1"/>
        <v>irn.mit.gdp_.all.all.tra.pc.2</v>
      </c>
      <c r="H20" s="4" t="s">
        <v>19</v>
      </c>
      <c r="I20" s="4" t="s">
        <v>31</v>
      </c>
      <c r="J20" s="4" t="s">
        <v>18</v>
      </c>
      <c r="K20" s="4" t="s">
        <v>21</v>
      </c>
      <c r="L20" s="4"/>
      <c r="M20" s="4"/>
      <c r="N20" s="4"/>
      <c r="O20" s="4"/>
      <c r="P20" s="4" t="str">
        <f t="shared" si="2"/>
        <v/>
      </c>
      <c r="Q20" s="4"/>
      <c r="R20" s="4"/>
      <c r="S20" s="4"/>
      <c r="T20" s="4" t="s">
        <v>27</v>
      </c>
      <c r="U20" s="4" t="str">
        <f t="shared" si="3"/>
        <v>tra</v>
      </c>
      <c r="V20" s="5" t="s">
        <v>22</v>
      </c>
    </row>
    <row r="21" spans="4:22" x14ac:dyDescent="0.45">
      <c r="D21" s="19" t="s">
        <v>350</v>
      </c>
      <c r="E21" s="4" t="str">
        <f>LOWER(_Country_code)&amp;".mit.gdp.tot.pct."&amp;ScenarioNum</f>
        <v>irn.mit.gdp.tot.pct.2</v>
      </c>
      <c r="F21" s="4" t="str">
        <f t="shared" si="4"/>
        <v>N/A</v>
      </c>
      <c r="G21" s="4" t="str">
        <f t="shared" si="1"/>
        <v>irn.mit.gdp_.all.all.tot.pc.2</v>
      </c>
      <c r="H21" s="4" t="s">
        <v>19</v>
      </c>
      <c r="I21" s="4" t="s">
        <v>31</v>
      </c>
      <c r="J21" s="4" t="s">
        <v>18</v>
      </c>
      <c r="K21" s="4" t="s">
        <v>21</v>
      </c>
      <c r="L21" s="4"/>
      <c r="M21" s="4"/>
      <c r="N21" s="4"/>
      <c r="O21" s="4"/>
      <c r="P21" s="4" t="str">
        <f t="shared" si="2"/>
        <v/>
      </c>
      <c r="Q21" s="4"/>
      <c r="R21" s="4"/>
      <c r="S21" s="4"/>
      <c r="T21" s="4" t="s">
        <v>37</v>
      </c>
      <c r="U21" s="4" t="str">
        <f t="shared" si="3"/>
        <v>tot</v>
      </c>
      <c r="V21" s="5" t="s">
        <v>22</v>
      </c>
    </row>
    <row r="22" spans="4:22" x14ac:dyDescent="0.45">
      <c r="D22" s="39" t="str">
        <f>"Total revenues, bn $"&amp;ResultsYear&amp;" (baseline)"</f>
        <v>Total revenues, bn $2021 (baseline)</v>
      </c>
      <c r="E22" s="4" t="str">
        <f>LOWER(_Country_code)&amp;".mit.rev.new.usd.1"</f>
        <v>irn.mit.rev.new.usd.1</v>
      </c>
      <c r="F22" s="4" t="str">
        <f t="shared" si="4"/>
        <v>N/A</v>
      </c>
      <c r="G22" s="4" t="str">
        <f t="shared" si="1"/>
        <v>irn.mit.rev_.all.all.all.usdbn.1</v>
      </c>
      <c r="H22" s="4" t="s">
        <v>19</v>
      </c>
      <c r="I22" s="4" t="s">
        <v>38</v>
      </c>
      <c r="J22" s="4" t="s">
        <v>18</v>
      </c>
      <c r="K22" s="4" t="s">
        <v>39</v>
      </c>
      <c r="L22" s="4"/>
      <c r="M22" s="4"/>
      <c r="N22" s="4"/>
      <c r="O22" s="4"/>
      <c r="P22" s="4" t="str">
        <f t="shared" si="2"/>
        <v/>
      </c>
      <c r="Q22" s="4"/>
      <c r="R22" s="4"/>
      <c r="S22" s="4"/>
      <c r="T22" s="4"/>
      <c r="U22" s="4" t="str">
        <f t="shared" si="3"/>
        <v/>
      </c>
      <c r="V22" s="6" t="s">
        <v>40</v>
      </c>
    </row>
    <row r="23" spans="4:22" x14ac:dyDescent="0.45">
      <c r="D23" s="39" t="str">
        <f>"Total revenues, bn $"&amp;ResultsYear&amp;" (policy)"</f>
        <v>Total revenues, bn $2021 (policy)</v>
      </c>
      <c r="E23" s="4" t="str">
        <f>LOWER(_Country_code)&amp;".mit.rev.new.usd."&amp;ScenarioNum</f>
        <v>irn.mit.rev.new.usd.2</v>
      </c>
      <c r="F23" s="4" t="str">
        <f t="shared" si="4"/>
        <v>N/A</v>
      </c>
      <c r="G23" s="4" t="str">
        <f t="shared" si="1"/>
        <v>irn.mit.rev_.all.all.all.usdbn.2</v>
      </c>
      <c r="H23" s="4" t="s">
        <v>19</v>
      </c>
      <c r="I23" s="4" t="s">
        <v>38</v>
      </c>
      <c r="J23" s="4" t="s">
        <v>18</v>
      </c>
      <c r="K23" s="4" t="s">
        <v>39</v>
      </c>
      <c r="L23" s="4"/>
      <c r="M23" s="4"/>
      <c r="N23" s="4"/>
      <c r="O23" s="4"/>
      <c r="P23" s="4" t="str">
        <f t="shared" si="2"/>
        <v/>
      </c>
      <c r="Q23" s="4"/>
      <c r="R23" s="4"/>
      <c r="S23" s="4"/>
      <c r="T23" s="4"/>
      <c r="U23" s="4" t="str">
        <f t="shared" si="3"/>
        <v/>
      </c>
      <c r="V23" s="6" t="s">
        <v>22</v>
      </c>
    </row>
    <row r="24" spans="4:22" x14ac:dyDescent="0.45">
      <c r="D24" s="19" t="s">
        <v>351</v>
      </c>
      <c r="E24" s="4" t="str">
        <f>LOWER(_Country_code)&amp;".mit.rev.new.pct.1"</f>
        <v>irn.mit.rev.new.pct.1</v>
      </c>
      <c r="F24" s="4" t="str">
        <f t="shared" si="4"/>
        <v>N/A</v>
      </c>
      <c r="G24" s="4" t="str">
        <f t="shared" si="1"/>
        <v>irn.mit.rev_.all.all.all.pc.1</v>
      </c>
      <c r="H24" s="4" t="s">
        <v>19</v>
      </c>
      <c r="I24" s="4" t="s">
        <v>38</v>
      </c>
      <c r="J24" s="4" t="s">
        <v>18</v>
      </c>
      <c r="K24" s="4" t="s">
        <v>21</v>
      </c>
      <c r="L24" s="4"/>
      <c r="M24" s="4"/>
      <c r="N24" s="4"/>
      <c r="O24" s="4"/>
      <c r="P24" s="4" t="str">
        <f t="shared" si="2"/>
        <v/>
      </c>
      <c r="Q24" s="4"/>
      <c r="R24" s="4"/>
      <c r="S24" s="4"/>
      <c r="T24" s="4"/>
      <c r="U24" s="4" t="str">
        <f t="shared" si="3"/>
        <v/>
      </c>
      <c r="V24" s="5" t="s">
        <v>40</v>
      </c>
    </row>
    <row r="25" spans="4:22" x14ac:dyDescent="0.45">
      <c r="D25" s="19" t="s">
        <v>352</v>
      </c>
      <c r="E25" s="4" t="str">
        <f>LOWER(_Country_code)&amp;".mit.rev.new.pct."&amp;ScenarioNum</f>
        <v>irn.mit.rev.new.pct.2</v>
      </c>
      <c r="F25" s="4" t="str">
        <f t="shared" si="4"/>
        <v>N/A</v>
      </c>
      <c r="G25" s="4" t="str">
        <f t="shared" si="1"/>
        <v>irn.mit.rev_.all.all.all.pc.2</v>
      </c>
      <c r="H25" s="4" t="s">
        <v>19</v>
      </c>
      <c r="I25" s="4" t="s">
        <v>38</v>
      </c>
      <c r="J25" s="4" t="s">
        <v>18</v>
      </c>
      <c r="K25" s="4" t="s">
        <v>21</v>
      </c>
      <c r="L25" s="4"/>
      <c r="M25" s="4"/>
      <c r="N25" s="4"/>
      <c r="O25" s="4"/>
      <c r="P25" s="4" t="str">
        <f t="shared" si="2"/>
        <v/>
      </c>
      <c r="Q25" s="4"/>
      <c r="R25" s="4"/>
      <c r="S25" s="4"/>
      <c r="T25" s="4"/>
      <c r="U25" s="4" t="str">
        <f t="shared" si="3"/>
        <v/>
      </c>
      <c r="V25" s="5" t="s">
        <v>22</v>
      </c>
    </row>
    <row r="26" spans="4:22" x14ac:dyDescent="0.45">
      <c r="D26" s="40" t="s">
        <v>353</v>
      </c>
      <c r="E26" s="4" t="str">
        <f>[1]Mitigation!H14478</f>
        <v>irn.mit.ers</v>
      </c>
      <c r="F26" s="4" t="str">
        <f t="shared" ref="F26:F31" si="5">IF(MTAct,E26&amp;"_"&amp;MSTScenarioID,"N/A")</f>
        <v>N/A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 t="s">
        <v>22</v>
      </c>
    </row>
    <row r="27" spans="4:22" x14ac:dyDescent="0.45">
      <c r="D27" s="40" t="s">
        <v>354</v>
      </c>
      <c r="E27" s="4" t="str">
        <f>[1]Mitigation!H14487</f>
        <v>irn.mit.rcp</v>
      </c>
      <c r="F27" s="4" t="str">
        <f t="shared" si="5"/>
        <v>N/A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 t="s">
        <v>22</v>
      </c>
    </row>
    <row r="28" spans="4:22" x14ac:dyDescent="0.45">
      <c r="D28" s="18" t="s">
        <v>355</v>
      </c>
      <c r="E28" s="4" t="str">
        <f>[1]Mitigation!H14488</f>
        <v>irn.mit.rcp.pow</v>
      </c>
      <c r="F28" s="4" t="str">
        <f t="shared" si="5"/>
        <v>N/A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 t="s">
        <v>22</v>
      </c>
    </row>
    <row r="29" spans="4:22" x14ac:dyDescent="0.45">
      <c r="D29" s="18" t="s">
        <v>356</v>
      </c>
      <c r="E29" s="4" t="str">
        <f>[1]Mitigation!H14489</f>
        <v>irn.mit.rcp.trs</v>
      </c>
      <c r="F29" s="4" t="str">
        <f t="shared" si="5"/>
        <v>N/A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 t="s">
        <v>22</v>
      </c>
    </row>
    <row r="30" spans="4:22" x14ac:dyDescent="0.45">
      <c r="D30" s="18" t="s">
        <v>357</v>
      </c>
      <c r="E30" s="4" t="str">
        <f>[1]Mitigation!H14490</f>
        <v>irn.mit.rcp.bld</v>
      </c>
      <c r="F30" s="4" t="str">
        <f t="shared" si="5"/>
        <v>N/A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 t="s">
        <v>22</v>
      </c>
    </row>
    <row r="31" spans="4:22" x14ac:dyDescent="0.45">
      <c r="D31" s="18" t="s">
        <v>358</v>
      </c>
      <c r="E31" s="4" t="str">
        <f>[1]Mitigation!H14491</f>
        <v>irn.mit.rcp.ind</v>
      </c>
      <c r="F31" s="4" t="str">
        <f t="shared" si="5"/>
        <v>N/A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 t="s">
        <v>22</v>
      </c>
    </row>
    <row r="32" spans="4:22" x14ac:dyDescent="0.45">
      <c r="D32" s="19" t="s">
        <v>359</v>
      </c>
      <c r="E32" s="4" t="str">
        <f>LOWER(_Country_code)&amp;".mit.ln.gdppc"</f>
        <v>irn.mit.ln.gdppc</v>
      </c>
      <c r="F32" s="4" t="str">
        <f t="shared" si="4"/>
        <v>N/A</v>
      </c>
      <c r="G32" s="4" t="str">
        <f t="shared" si="1"/>
        <v>irn.mit.lngdppc_.all.all.all.unitless.1</v>
      </c>
      <c r="H32" s="4" t="s">
        <v>19</v>
      </c>
      <c r="I32" s="4" t="s">
        <v>41</v>
      </c>
      <c r="J32" s="4" t="s">
        <v>18</v>
      </c>
      <c r="K32" s="4" t="s">
        <v>42</v>
      </c>
      <c r="L32" s="4"/>
      <c r="M32" s="4"/>
      <c r="N32" s="4"/>
      <c r="O32" s="4"/>
      <c r="P32" s="4" t="str">
        <f t="shared" si="2"/>
        <v/>
      </c>
      <c r="Q32" s="4"/>
      <c r="R32" s="4"/>
      <c r="S32" s="4"/>
      <c r="T32" s="4"/>
      <c r="U32" s="4" t="str">
        <f t="shared" si="3"/>
        <v/>
      </c>
      <c r="V32" s="6" t="s">
        <v>40</v>
      </c>
    </row>
    <row r="33" spans="4:22" x14ac:dyDescent="0.45">
      <c r="D33" s="41" t="s">
        <v>360</v>
      </c>
      <c r="E33" s="4" t="str">
        <f>LOWER(_Country_code)&amp;".mit.gdp.pre.lvl.1"</f>
        <v>irn.mit.gdp.pre.lvl.1</v>
      </c>
      <c r="F33" s="4" t="str">
        <f t="shared" si="4"/>
        <v>N/A</v>
      </c>
      <c r="G33" s="4" t="str">
        <f t="shared" si="1"/>
        <v>irn.mit.gdp_.all.all.all.usdbn.1</v>
      </c>
      <c r="H33" s="4" t="s">
        <v>19</v>
      </c>
      <c r="I33" s="4" t="s">
        <v>31</v>
      </c>
      <c r="J33" s="4" t="s">
        <v>18</v>
      </c>
      <c r="K33" s="4" t="s">
        <v>39</v>
      </c>
      <c r="L33" s="4"/>
      <c r="M33" s="4"/>
      <c r="N33" s="4"/>
      <c r="O33" s="4"/>
      <c r="P33" s="4" t="str">
        <f t="shared" si="2"/>
        <v/>
      </c>
      <c r="Q33" s="4"/>
      <c r="R33" s="4"/>
      <c r="S33" s="4"/>
      <c r="T33" s="4"/>
      <c r="U33" s="4" t="str">
        <f t="shared" si="3"/>
        <v/>
      </c>
      <c r="V33" s="7" t="s">
        <v>40</v>
      </c>
    </row>
    <row r="34" spans="4:22" x14ac:dyDescent="0.45">
      <c r="D34" s="41" t="s">
        <v>361</v>
      </c>
      <c r="E34" s="4" t="str">
        <f>LOWER(_Country_code)&amp;".mit.gdp.pst.lvl.2"</f>
        <v>irn.mit.gdp.pst.lvl.2</v>
      </c>
      <c r="F34" s="4" t="str">
        <f t="shared" si="4"/>
        <v>N/A</v>
      </c>
      <c r="G34" s="4" t="str">
        <f t="shared" si="1"/>
        <v>irn.mit.gdp_.all.all.all.usdbn.2</v>
      </c>
      <c r="H34" s="4" t="s">
        <v>19</v>
      </c>
      <c r="I34" s="4" t="s">
        <v>31</v>
      </c>
      <c r="J34" s="4" t="s">
        <v>18</v>
      </c>
      <c r="K34" s="4" t="s">
        <v>39</v>
      </c>
      <c r="L34" s="4"/>
      <c r="M34" s="4"/>
      <c r="N34" s="4"/>
      <c r="O34" s="4"/>
      <c r="P34" s="4" t="str">
        <f t="shared" si="2"/>
        <v/>
      </c>
      <c r="Q34" s="4"/>
      <c r="R34" s="4"/>
      <c r="S34" s="4"/>
      <c r="T34" s="4"/>
      <c r="U34" s="4" t="str">
        <f t="shared" si="3"/>
        <v/>
      </c>
      <c r="V34" s="7" t="s">
        <v>22</v>
      </c>
    </row>
    <row r="35" spans="4:22" x14ac:dyDescent="0.45">
      <c r="D35" s="41" t="s">
        <v>362</v>
      </c>
      <c r="E35" s="4" t="str">
        <f>LOWER(_Country_code)&amp;".mit.pop.mn"</f>
        <v>irn.mit.pop.mn</v>
      </c>
      <c r="F35" s="4" t="str">
        <f t="shared" si="4"/>
        <v>N/A</v>
      </c>
      <c r="G35" s="4" t="str">
        <f t="shared" si="1"/>
        <v>irn.mit.pop_.all.all.all.mn.1</v>
      </c>
      <c r="H35" s="4" t="s">
        <v>19</v>
      </c>
      <c r="I35" s="4" t="s">
        <v>43</v>
      </c>
      <c r="J35" s="4" t="s">
        <v>18</v>
      </c>
      <c r="K35" s="4" t="s">
        <v>44</v>
      </c>
      <c r="L35" s="4"/>
      <c r="M35" s="4"/>
      <c r="N35" s="4"/>
      <c r="O35" s="4"/>
      <c r="P35" s="4" t="str">
        <f t="shared" si="2"/>
        <v/>
      </c>
      <c r="Q35" s="4"/>
      <c r="R35" s="4"/>
      <c r="S35" s="4"/>
      <c r="T35" s="4"/>
      <c r="U35" s="4" t="str">
        <f t="shared" si="3"/>
        <v/>
      </c>
      <c r="V35" s="7">
        <v>1</v>
      </c>
    </row>
    <row r="36" spans="4:22" x14ac:dyDescent="0.45">
      <c r="D36" s="2"/>
      <c r="E36" s="2"/>
      <c r="F36" s="2"/>
      <c r="G36" s="2" t="str">
        <f t="shared" si="1"/>
        <v/>
      </c>
      <c r="H36" s="2" t="s">
        <v>18</v>
      </c>
      <c r="I36" s="2"/>
      <c r="J36" s="2" t="s">
        <v>18</v>
      </c>
      <c r="K36" s="2"/>
      <c r="L36" s="2"/>
      <c r="M36" s="2"/>
      <c r="N36" s="2"/>
      <c r="O36" s="2"/>
      <c r="P36" s="2" t="str">
        <f t="shared" si="2"/>
        <v/>
      </c>
      <c r="Q36" s="2"/>
      <c r="R36" s="2"/>
      <c r="S36" s="2"/>
      <c r="T36" s="2"/>
      <c r="U36" s="2" t="str">
        <f t="shared" si="3"/>
        <v/>
      </c>
      <c r="V36" s="3" t="s">
        <v>18</v>
      </c>
    </row>
    <row r="37" spans="4:22" x14ac:dyDescent="0.45">
      <c r="D37" s="42" t="s">
        <v>363</v>
      </c>
      <c r="E37" s="4" t="str">
        <f>LOWER(_Country_code)&amp;".mit.ghg.tot.exc.1"</f>
        <v>irn.mit.ghg.tot.exc.1</v>
      </c>
      <c r="F37" s="4" t="str">
        <f t="shared" ref="F37:F66" si="6">IF(MTAct,E37&amp;"_"&amp;MSTScenarioID,"N/A")</f>
        <v>N/A</v>
      </c>
      <c r="G37" s="4" t="str">
        <f t="shared" si="1"/>
        <v>irn.mit.emis_all.all.all.ghg.mtco2e.1</v>
      </c>
      <c r="H37" s="4" t="s">
        <v>19</v>
      </c>
      <c r="I37" s="4" t="s">
        <v>45</v>
      </c>
      <c r="J37" s="4" t="s">
        <v>46</v>
      </c>
      <c r="K37" s="4" t="s">
        <v>47</v>
      </c>
      <c r="L37" s="4" t="s">
        <v>48</v>
      </c>
      <c r="M37" s="4"/>
      <c r="N37" s="4"/>
      <c r="O37" s="4"/>
      <c r="P37" s="4" t="str">
        <f t="shared" si="2"/>
        <v>totexc</v>
      </c>
      <c r="Q37" s="4"/>
      <c r="R37" s="4"/>
      <c r="S37" s="4" t="s">
        <v>49</v>
      </c>
      <c r="T37" s="4"/>
      <c r="U37" s="4" t="str">
        <f t="shared" si="3"/>
        <v>ghg</v>
      </c>
      <c r="V37" s="7" t="s">
        <v>40</v>
      </c>
    </row>
    <row r="38" spans="4:22" x14ac:dyDescent="0.45">
      <c r="D38" s="42" t="s">
        <v>364</v>
      </c>
      <c r="E38" s="4" t="str">
        <f>LOWER(_Country_code)&amp;".mit.ghg.tot.inc.1"</f>
        <v>irn.mit.ghg.tot.inc.1</v>
      </c>
      <c r="F38" s="4" t="str">
        <f t="shared" si="6"/>
        <v>N/A</v>
      </c>
      <c r="G38" s="4" t="str">
        <f t="shared" si="1"/>
        <v>irn.mit.emis_all.all.all.ghg.mtco2e.1</v>
      </c>
      <c r="H38" s="4" t="s">
        <v>19</v>
      </c>
      <c r="I38" s="4" t="s">
        <v>45</v>
      </c>
      <c r="J38" s="4" t="s">
        <v>46</v>
      </c>
      <c r="K38" s="4" t="s">
        <v>47</v>
      </c>
      <c r="L38" s="4" t="s">
        <v>50</v>
      </c>
      <c r="M38" s="4"/>
      <c r="N38" s="4"/>
      <c r="O38" s="4"/>
      <c r="P38" s="4" t="str">
        <f t="shared" si="2"/>
        <v>totinc</v>
      </c>
      <c r="Q38" s="4"/>
      <c r="R38" s="4"/>
      <c r="S38" s="4" t="s">
        <v>49</v>
      </c>
      <c r="T38" s="4"/>
      <c r="U38" s="4" t="str">
        <f t="shared" si="3"/>
        <v>ghg</v>
      </c>
      <c r="V38" s="7" t="s">
        <v>40</v>
      </c>
    </row>
    <row r="39" spans="4:22" x14ac:dyDescent="0.45">
      <c r="D39" s="18" t="s">
        <v>365</v>
      </c>
      <c r="E39" s="4" t="str">
        <f>LOWER(_Country_code)&amp;".mit.ghg.enr.tot.1"</f>
        <v>irn.mit.ghg.enr.tot.1</v>
      </c>
      <c r="F39" s="4" t="str">
        <f t="shared" si="6"/>
        <v>N/A</v>
      </c>
      <c r="G39" s="4" t="str">
        <f t="shared" si="1"/>
        <v>irn.mit.emis_u.all.all.ghg.mtco2e.1</v>
      </c>
      <c r="H39" s="4" t="s">
        <v>19</v>
      </c>
      <c r="I39" s="4" t="s">
        <v>45</v>
      </c>
      <c r="J39" s="4" t="s">
        <v>51</v>
      </c>
      <c r="K39" s="4" t="s">
        <v>47</v>
      </c>
      <c r="L39" s="4" t="s">
        <v>52</v>
      </c>
      <c r="M39" s="4"/>
      <c r="N39" s="4"/>
      <c r="O39" s="4"/>
      <c r="P39" s="4" t="str">
        <f t="shared" si="2"/>
        <v>enrtot</v>
      </c>
      <c r="Q39" s="4"/>
      <c r="R39" s="4"/>
      <c r="S39" s="4" t="s">
        <v>49</v>
      </c>
      <c r="T39" s="4"/>
      <c r="U39" s="4" t="str">
        <f t="shared" si="3"/>
        <v>ghg</v>
      </c>
      <c r="V39" s="7" t="s">
        <v>40</v>
      </c>
    </row>
    <row r="40" spans="4:22" x14ac:dyDescent="0.45">
      <c r="D40" s="18" t="s">
        <v>366</v>
      </c>
      <c r="E40" s="4" t="str">
        <f>LOWER(_Country_code)&amp;".mit.ghg.ipr.tot.1"</f>
        <v>irn.mit.ghg.ipr.tot.1</v>
      </c>
      <c r="F40" s="4" t="str">
        <f t="shared" si="6"/>
        <v>N/A</v>
      </c>
      <c r="G40" s="4" t="str">
        <f t="shared" si="1"/>
        <v>irn.mit.emis_u.all.all.ghg.mtco2e.1</v>
      </c>
      <c r="H40" s="4" t="s">
        <v>19</v>
      </c>
      <c r="I40" s="4" t="s">
        <v>45</v>
      </c>
      <c r="J40" s="4" t="s">
        <v>51</v>
      </c>
      <c r="K40" s="4" t="s">
        <v>47</v>
      </c>
      <c r="L40" s="4" t="s">
        <v>53</v>
      </c>
      <c r="M40" s="4"/>
      <c r="N40" s="4"/>
      <c r="O40" s="4"/>
      <c r="P40" s="4" t="str">
        <f t="shared" si="2"/>
        <v>iprtot</v>
      </c>
      <c r="Q40" s="4"/>
      <c r="R40" s="4"/>
      <c r="S40" s="4" t="s">
        <v>49</v>
      </c>
      <c r="T40" s="4"/>
      <c r="U40" s="4" t="str">
        <f t="shared" si="3"/>
        <v>ghg</v>
      </c>
      <c r="V40" s="7" t="s">
        <v>40</v>
      </c>
    </row>
    <row r="41" spans="4:22" x14ac:dyDescent="0.45">
      <c r="D41" s="18" t="s">
        <v>367</v>
      </c>
      <c r="E41" s="4" t="str">
        <f>LOWER(_Country_code)&amp;".mit.ghg.agr.tot.1"</f>
        <v>irn.mit.ghg.agr.tot.1</v>
      </c>
      <c r="F41" s="4" t="str">
        <f t="shared" si="6"/>
        <v>N/A</v>
      </c>
      <c r="G41" s="4" t="str">
        <f t="shared" si="1"/>
        <v>irn.mit.emis_u.all.all.ghg.mtco2e.1</v>
      </c>
      <c r="H41" s="4" t="s">
        <v>19</v>
      </c>
      <c r="I41" s="4" t="s">
        <v>45</v>
      </c>
      <c r="J41" s="4" t="s">
        <v>51</v>
      </c>
      <c r="K41" s="4" t="s">
        <v>47</v>
      </c>
      <c r="L41" s="4" t="s">
        <v>54</v>
      </c>
      <c r="M41" s="4"/>
      <c r="N41" s="4"/>
      <c r="O41" s="4"/>
      <c r="P41" s="4" t="str">
        <f t="shared" si="2"/>
        <v>agrtot</v>
      </c>
      <c r="Q41" s="4"/>
      <c r="R41" s="4"/>
      <c r="S41" s="4" t="s">
        <v>49</v>
      </c>
      <c r="T41" s="4"/>
      <c r="U41" s="4" t="str">
        <f t="shared" si="3"/>
        <v>ghg</v>
      </c>
      <c r="V41" s="7" t="s">
        <v>40</v>
      </c>
    </row>
    <row r="42" spans="4:22" x14ac:dyDescent="0.45">
      <c r="D42" s="18" t="s">
        <v>368</v>
      </c>
      <c r="E42" s="4" t="str">
        <f>LOWER(_Country_code)&amp;".mit.ghg.wst.tot.1"</f>
        <v>irn.mit.ghg.wst.tot.1</v>
      </c>
      <c r="F42" s="4" t="str">
        <f t="shared" si="6"/>
        <v>N/A</v>
      </c>
      <c r="G42" s="4" t="str">
        <f t="shared" si="1"/>
        <v>irn.mit.emis_u.all.all.ghg.mtco2e.1</v>
      </c>
      <c r="H42" s="4" t="s">
        <v>19</v>
      </c>
      <c r="I42" s="4" t="s">
        <v>45</v>
      </c>
      <c r="J42" s="4" t="s">
        <v>51</v>
      </c>
      <c r="K42" s="4" t="s">
        <v>47</v>
      </c>
      <c r="L42" s="4" t="s">
        <v>55</v>
      </c>
      <c r="M42" s="4"/>
      <c r="N42" s="4"/>
      <c r="O42" s="4"/>
      <c r="P42" s="4" t="str">
        <f t="shared" si="2"/>
        <v>wsttot</v>
      </c>
      <c r="Q42" s="4"/>
      <c r="R42" s="4"/>
      <c r="S42" s="4" t="s">
        <v>49</v>
      </c>
      <c r="T42" s="4"/>
      <c r="U42" s="4" t="str">
        <f t="shared" si="3"/>
        <v>ghg</v>
      </c>
      <c r="V42" s="7" t="s">
        <v>40</v>
      </c>
    </row>
    <row r="43" spans="4:22" x14ac:dyDescent="0.45">
      <c r="D43" s="18" t="s">
        <v>369</v>
      </c>
      <c r="E43" s="4" t="str">
        <f>LOWER(_Country_code)&amp;".mit.ghg.lucf.tot.1"</f>
        <v>irn.mit.ghg.lucf.tot.1</v>
      </c>
      <c r="F43" s="4" t="str">
        <f t="shared" si="6"/>
        <v>N/A</v>
      </c>
      <c r="G43" s="4" t="str">
        <f t="shared" si="1"/>
        <v>irn.mit.emis_u.all.all.ghg.mtco2e.1</v>
      </c>
      <c r="H43" s="4" t="s">
        <v>19</v>
      </c>
      <c r="I43" s="4" t="s">
        <v>45</v>
      </c>
      <c r="J43" s="4" t="s">
        <v>51</v>
      </c>
      <c r="K43" s="4" t="s">
        <v>47</v>
      </c>
      <c r="L43" s="4" t="s">
        <v>56</v>
      </c>
      <c r="M43" s="4"/>
      <c r="N43" s="4"/>
      <c r="O43" s="4"/>
      <c r="P43" s="4" t="str">
        <f t="shared" si="2"/>
        <v>lucftot</v>
      </c>
      <c r="Q43" s="4"/>
      <c r="R43" s="4"/>
      <c r="S43" s="4" t="s">
        <v>49</v>
      </c>
      <c r="T43" s="4"/>
      <c r="U43" s="4" t="str">
        <f t="shared" si="3"/>
        <v>ghg</v>
      </c>
      <c r="V43" s="7" t="s">
        <v>40</v>
      </c>
    </row>
    <row r="44" spans="4:22" x14ac:dyDescent="0.45">
      <c r="D44" s="40" t="s">
        <v>370</v>
      </c>
      <c r="E44" s="4" t="str">
        <f>LOWER(_Country_code)&amp;".mit.co2.tot.1"</f>
        <v>irn.mit.co2.tot.1</v>
      </c>
      <c r="F44" s="4" t="str">
        <f t="shared" si="6"/>
        <v>N/A</v>
      </c>
      <c r="G44" s="4" t="str">
        <f t="shared" si="1"/>
        <v>irn.mit.emis_all.all.all.co2.mtco2.1</v>
      </c>
      <c r="H44" s="4" t="s">
        <v>19</v>
      </c>
      <c r="I44" s="4" t="s">
        <v>45</v>
      </c>
      <c r="J44" s="4" t="s">
        <v>46</v>
      </c>
      <c r="K44" s="4" t="s">
        <v>57</v>
      </c>
      <c r="L44" s="4" t="s">
        <v>37</v>
      </c>
      <c r="M44" s="4"/>
      <c r="N44" s="4"/>
      <c r="O44" s="4"/>
      <c r="P44" s="4" t="str">
        <f t="shared" si="2"/>
        <v>tot</v>
      </c>
      <c r="Q44" s="4"/>
      <c r="R44" s="4"/>
      <c r="S44" s="4" t="s">
        <v>58</v>
      </c>
      <c r="T44" s="4"/>
      <c r="U44" s="4" t="str">
        <f t="shared" si="3"/>
        <v>co2</v>
      </c>
      <c r="V44" s="7" t="s">
        <v>40</v>
      </c>
    </row>
    <row r="45" spans="4:22" x14ac:dyDescent="0.45">
      <c r="D45" s="18" t="s">
        <v>371</v>
      </c>
      <c r="E45" s="4" t="str">
        <f>LOWER(_Country_code)&amp;".mit.co2.enr.tot.1"</f>
        <v>irn.mit.co2.enr.tot.1</v>
      </c>
      <c r="F45" s="4" t="str">
        <f t="shared" si="6"/>
        <v>N/A</v>
      </c>
      <c r="G45" s="4" t="str">
        <f t="shared" si="1"/>
        <v>irn.mit.emis_u.all.all.co2.mtco2.1</v>
      </c>
      <c r="H45" s="4" t="s">
        <v>19</v>
      </c>
      <c r="I45" s="4" t="s">
        <v>45</v>
      </c>
      <c r="J45" s="4" t="s">
        <v>51</v>
      </c>
      <c r="K45" s="4" t="s">
        <v>57</v>
      </c>
      <c r="L45" s="4" t="s">
        <v>52</v>
      </c>
      <c r="M45" s="4"/>
      <c r="N45" s="4"/>
      <c r="O45" s="4"/>
      <c r="P45" s="4" t="str">
        <f t="shared" si="2"/>
        <v>enrtot</v>
      </c>
      <c r="Q45" s="4"/>
      <c r="R45" s="4"/>
      <c r="S45" s="4" t="s">
        <v>58</v>
      </c>
      <c r="T45" s="4"/>
      <c r="U45" s="4" t="str">
        <f t="shared" si="3"/>
        <v>co2</v>
      </c>
      <c r="V45" s="7" t="s">
        <v>40</v>
      </c>
    </row>
    <row r="46" spans="4:22" x14ac:dyDescent="0.45">
      <c r="D46" s="43" t="s">
        <v>372</v>
      </c>
      <c r="E46" s="4" t="str">
        <f>LOWER(_Country_code)&amp;".mit.co2.coa."&amp;1</f>
        <v>irn.mit.co2.coa.1</v>
      </c>
      <c r="F46" s="4" t="str">
        <f t="shared" si="6"/>
        <v>N/A</v>
      </c>
      <c r="G46" s="4" t="str">
        <f t="shared" si="1"/>
        <v>irn.mit.emis_f.all.coa.co2.mtco2.1</v>
      </c>
      <c r="H46" s="4" t="s">
        <v>19</v>
      </c>
      <c r="I46" s="4" t="s">
        <v>45</v>
      </c>
      <c r="J46" s="4" t="s">
        <v>59</v>
      </c>
      <c r="K46" s="4" t="s">
        <v>57</v>
      </c>
      <c r="L46" s="4"/>
      <c r="M46" s="4"/>
      <c r="N46" s="4"/>
      <c r="O46" s="4"/>
      <c r="P46" s="4" t="str">
        <f t="shared" si="2"/>
        <v/>
      </c>
      <c r="Q46" s="4" t="s">
        <v>60</v>
      </c>
      <c r="R46" s="4"/>
      <c r="S46" s="4" t="s">
        <v>58</v>
      </c>
      <c r="T46" s="4"/>
      <c r="U46" s="4" t="str">
        <f t="shared" si="3"/>
        <v>co2</v>
      </c>
      <c r="V46" s="7" t="s">
        <v>40</v>
      </c>
    </row>
    <row r="47" spans="4:22" x14ac:dyDescent="0.45">
      <c r="D47" s="43" t="s">
        <v>373</v>
      </c>
      <c r="E47" s="4" t="str">
        <f>LOWER(_Country_code)&amp;".mit.co2.nga."&amp;1</f>
        <v>irn.mit.co2.nga.1</v>
      </c>
      <c r="F47" s="4" t="str">
        <f t="shared" si="6"/>
        <v>N/A</v>
      </c>
      <c r="G47" s="4" t="str">
        <f t="shared" si="1"/>
        <v>irn.mit.emis_f.all.nga.co2.mtco2.1</v>
      </c>
      <c r="H47" s="4" t="s">
        <v>19</v>
      </c>
      <c r="I47" s="4" t="s">
        <v>45</v>
      </c>
      <c r="J47" s="4" t="s">
        <v>59</v>
      </c>
      <c r="K47" s="4" t="s">
        <v>57</v>
      </c>
      <c r="L47" s="4"/>
      <c r="M47" s="4"/>
      <c r="N47" s="4"/>
      <c r="O47" s="4"/>
      <c r="P47" s="4" t="str">
        <f t="shared" si="2"/>
        <v/>
      </c>
      <c r="Q47" s="4" t="s">
        <v>61</v>
      </c>
      <c r="R47" s="4"/>
      <c r="S47" s="4" t="s">
        <v>58</v>
      </c>
      <c r="T47" s="4"/>
      <c r="U47" s="4" t="str">
        <f t="shared" si="3"/>
        <v>co2</v>
      </c>
      <c r="V47" s="7" t="s">
        <v>40</v>
      </c>
    </row>
    <row r="48" spans="4:22" x14ac:dyDescent="0.45">
      <c r="D48" s="43" t="s">
        <v>374</v>
      </c>
      <c r="E48" s="4" t="str">
        <f>LOWER(_Country_code)&amp;".mit.co2.oil."&amp;1</f>
        <v>irn.mit.co2.oil.1</v>
      </c>
      <c r="F48" s="4" t="str">
        <f t="shared" si="6"/>
        <v>N/A</v>
      </c>
      <c r="G48" s="4" t="str">
        <f t="shared" si="1"/>
        <v>irn.mit.emis_f.all.oil.co2.mtco2.1</v>
      </c>
      <c r="H48" s="4" t="s">
        <v>19</v>
      </c>
      <c r="I48" s="4" t="s">
        <v>45</v>
      </c>
      <c r="J48" s="4" t="s">
        <v>59</v>
      </c>
      <c r="K48" s="4" t="s">
        <v>57</v>
      </c>
      <c r="L48" s="4"/>
      <c r="M48" s="4"/>
      <c r="N48" s="4"/>
      <c r="O48" s="4"/>
      <c r="P48" s="4" t="str">
        <f t="shared" si="2"/>
        <v/>
      </c>
      <c r="Q48" s="4" t="s">
        <v>62</v>
      </c>
      <c r="R48" s="4"/>
      <c r="S48" s="4" t="s">
        <v>58</v>
      </c>
      <c r="T48" s="4"/>
      <c r="U48" s="4" t="str">
        <f t="shared" si="3"/>
        <v>co2</v>
      </c>
      <c r="V48" s="7" t="s">
        <v>40</v>
      </c>
    </row>
    <row r="49" spans="4:22" x14ac:dyDescent="0.45">
      <c r="D49" s="43" t="s">
        <v>375</v>
      </c>
      <c r="E49" s="4" t="str">
        <f>LOWER(_Country_code)&amp;".mit.co2.gso."&amp;1</f>
        <v>irn.mit.co2.gso.1</v>
      </c>
      <c r="F49" s="4" t="str">
        <f t="shared" si="6"/>
        <v>N/A</v>
      </c>
      <c r="G49" s="4" t="str">
        <f t="shared" si="1"/>
        <v>irn.mit.emis_f.all.gso.co2.mtco2.1</v>
      </c>
      <c r="H49" s="4" t="s">
        <v>19</v>
      </c>
      <c r="I49" s="4" t="s">
        <v>45</v>
      </c>
      <c r="J49" s="4" t="s">
        <v>59</v>
      </c>
      <c r="K49" s="4" t="s">
        <v>57</v>
      </c>
      <c r="L49" s="4"/>
      <c r="M49" s="4"/>
      <c r="N49" s="4"/>
      <c r="O49" s="4"/>
      <c r="P49" s="4" t="str">
        <f t="shared" si="2"/>
        <v/>
      </c>
      <c r="Q49" s="4" t="s">
        <v>63</v>
      </c>
      <c r="R49" s="4"/>
      <c r="S49" s="4" t="s">
        <v>58</v>
      </c>
      <c r="T49" s="4"/>
      <c r="U49" s="4" t="str">
        <f t="shared" si="3"/>
        <v>co2</v>
      </c>
      <c r="V49" s="7" t="s">
        <v>40</v>
      </c>
    </row>
    <row r="50" spans="4:22" x14ac:dyDescent="0.45">
      <c r="D50" s="43" t="s">
        <v>376</v>
      </c>
      <c r="E50" s="4" t="str">
        <f>LOWER(_Country_code)&amp;".mit.co2.die."&amp;1</f>
        <v>irn.mit.co2.die.1</v>
      </c>
      <c r="F50" s="4" t="str">
        <f t="shared" si="6"/>
        <v>N/A</v>
      </c>
      <c r="G50" s="4" t="str">
        <f t="shared" si="1"/>
        <v>irn.mit.emis_f.all.die.co2.mtco2.1</v>
      </c>
      <c r="H50" s="4" t="s">
        <v>19</v>
      </c>
      <c r="I50" s="4" t="s">
        <v>45</v>
      </c>
      <c r="J50" s="4" t="s">
        <v>59</v>
      </c>
      <c r="K50" s="4" t="s">
        <v>57</v>
      </c>
      <c r="L50" s="4"/>
      <c r="M50" s="4"/>
      <c r="N50" s="4"/>
      <c r="O50" s="4"/>
      <c r="P50" s="4" t="str">
        <f t="shared" si="2"/>
        <v/>
      </c>
      <c r="Q50" s="4" t="s">
        <v>64</v>
      </c>
      <c r="R50" s="4"/>
      <c r="S50" s="4" t="s">
        <v>58</v>
      </c>
      <c r="T50" s="4"/>
      <c r="U50" s="4" t="str">
        <f t="shared" si="3"/>
        <v>co2</v>
      </c>
      <c r="V50" s="7" t="s">
        <v>40</v>
      </c>
    </row>
    <row r="51" spans="4:22" x14ac:dyDescent="0.45">
      <c r="D51" s="43" t="s">
        <v>377</v>
      </c>
      <c r="E51" s="4" t="str">
        <f>LOWER(_Country_code)&amp;".mit.co2.lpg."&amp;1</f>
        <v>irn.mit.co2.lpg.1</v>
      </c>
      <c r="F51" s="4" t="str">
        <f t="shared" si="6"/>
        <v>N/A</v>
      </c>
      <c r="G51" s="4" t="str">
        <f t="shared" si="1"/>
        <v>irn.mit.emis_f.all.lpg.co2.mtco2.1</v>
      </c>
      <c r="H51" s="4" t="s">
        <v>19</v>
      </c>
      <c r="I51" s="4" t="s">
        <v>45</v>
      </c>
      <c r="J51" s="4" t="s">
        <v>59</v>
      </c>
      <c r="K51" s="4" t="s">
        <v>57</v>
      </c>
      <c r="L51" s="4"/>
      <c r="M51" s="4"/>
      <c r="N51" s="4"/>
      <c r="O51" s="4"/>
      <c r="P51" s="4" t="str">
        <f t="shared" si="2"/>
        <v/>
      </c>
      <c r="Q51" s="4" t="s">
        <v>65</v>
      </c>
      <c r="R51" s="4"/>
      <c r="S51" s="4" t="s">
        <v>58</v>
      </c>
      <c r="T51" s="4"/>
      <c r="U51" s="4" t="str">
        <f t="shared" si="3"/>
        <v>co2</v>
      </c>
      <c r="V51" s="7" t="s">
        <v>40</v>
      </c>
    </row>
    <row r="52" spans="4:22" x14ac:dyDescent="0.45">
      <c r="D52" s="43" t="s">
        <v>378</v>
      </c>
      <c r="E52" s="4" t="str">
        <f>LOWER(_Country_code)&amp;".mit.co2.ker."&amp;1</f>
        <v>irn.mit.co2.ker.1</v>
      </c>
      <c r="F52" s="4" t="str">
        <f t="shared" si="6"/>
        <v>N/A</v>
      </c>
      <c r="G52" s="4" t="str">
        <f t="shared" si="1"/>
        <v>irn.mit.emis_f.all.ker.co2.mtco2.1</v>
      </c>
      <c r="H52" s="4" t="s">
        <v>19</v>
      </c>
      <c r="I52" s="4" t="s">
        <v>45</v>
      </c>
      <c r="J52" s="4" t="s">
        <v>59</v>
      </c>
      <c r="K52" s="4" t="s">
        <v>57</v>
      </c>
      <c r="L52" s="4"/>
      <c r="M52" s="4"/>
      <c r="N52" s="4"/>
      <c r="O52" s="4"/>
      <c r="P52" s="4" t="str">
        <f t="shared" si="2"/>
        <v/>
      </c>
      <c r="Q52" s="4" t="s">
        <v>66</v>
      </c>
      <c r="R52" s="4"/>
      <c r="S52" s="4" t="s">
        <v>58</v>
      </c>
      <c r="T52" s="4"/>
      <c r="U52" s="4" t="str">
        <f t="shared" si="3"/>
        <v>co2</v>
      </c>
      <c r="V52" s="7" t="s">
        <v>40</v>
      </c>
    </row>
    <row r="53" spans="4:22" x14ac:dyDescent="0.45">
      <c r="D53" s="18" t="s">
        <v>379</v>
      </c>
      <c r="E53" s="4" t="str">
        <f>LOWER(_Country_code)&amp;".mit.co2.pow."&amp;1</f>
        <v>irn.mit.co2.pow.1</v>
      </c>
      <c r="F53" s="4" t="str">
        <f t="shared" si="6"/>
        <v>N/A</v>
      </c>
      <c r="G53" s="4" t="str">
        <f t="shared" si="1"/>
        <v>irn.mit.emis_s.all.all.co2.mtco2.1</v>
      </c>
      <c r="H53" s="4" t="s">
        <v>19</v>
      </c>
      <c r="I53" s="4" t="s">
        <v>45</v>
      </c>
      <c r="J53" s="4" t="s">
        <v>67</v>
      </c>
      <c r="K53" s="4" t="s">
        <v>57</v>
      </c>
      <c r="L53" s="4"/>
      <c r="M53" s="4" t="s">
        <v>26</v>
      </c>
      <c r="N53" s="4"/>
      <c r="O53" s="4"/>
      <c r="P53" s="4" t="str">
        <f t="shared" si="2"/>
        <v>pow</v>
      </c>
      <c r="Q53" s="4"/>
      <c r="R53" s="4"/>
      <c r="S53" s="4" t="s">
        <v>58</v>
      </c>
      <c r="T53" s="4"/>
      <c r="U53" s="4" t="str">
        <f t="shared" si="3"/>
        <v>co2</v>
      </c>
      <c r="V53" s="7" t="s">
        <v>40</v>
      </c>
    </row>
    <row r="54" spans="4:22" x14ac:dyDescent="0.45">
      <c r="D54" s="18" t="s">
        <v>380</v>
      </c>
      <c r="E54" s="4" t="str">
        <f>LOWER(_Country_code)&amp;".mit.co2.tra."&amp;1</f>
        <v>irn.mit.co2.tra.1</v>
      </c>
      <c r="F54" s="4" t="str">
        <f t="shared" si="6"/>
        <v>N/A</v>
      </c>
      <c r="G54" s="4" t="str">
        <f t="shared" si="1"/>
        <v>irn.mit.emis_s.all.all.co2.mtco2.1</v>
      </c>
      <c r="H54" s="4" t="s">
        <v>19</v>
      </c>
      <c r="I54" s="4" t="s">
        <v>45</v>
      </c>
      <c r="J54" s="4" t="s">
        <v>67</v>
      </c>
      <c r="K54" s="4" t="s">
        <v>57</v>
      </c>
      <c r="L54" s="4"/>
      <c r="M54" s="4" t="s">
        <v>27</v>
      </c>
      <c r="N54" s="4"/>
      <c r="O54" s="4"/>
      <c r="P54" s="4" t="str">
        <f t="shared" si="2"/>
        <v>tra</v>
      </c>
      <c r="Q54" s="4"/>
      <c r="R54" s="4"/>
      <c r="S54" s="4" t="s">
        <v>58</v>
      </c>
      <c r="T54" s="4"/>
      <c r="U54" s="4" t="str">
        <f t="shared" si="3"/>
        <v>co2</v>
      </c>
      <c r="V54" s="7" t="s">
        <v>40</v>
      </c>
    </row>
    <row r="55" spans="4:22" x14ac:dyDescent="0.45">
      <c r="D55" s="18" t="s">
        <v>381</v>
      </c>
      <c r="E55" s="4" t="str">
        <f>LOWER(_Country_code)&amp;".mit.co2.res."&amp;1</f>
        <v>irn.mit.co2.res.1</v>
      </c>
      <c r="F55" s="4" t="str">
        <f t="shared" si="6"/>
        <v>N/A</v>
      </c>
      <c r="G55" s="4" t="str">
        <f t="shared" si="1"/>
        <v>irn.mit.emis_s.all.all.co2.mtco2.1</v>
      </c>
      <c r="H55" s="4" t="s">
        <v>19</v>
      </c>
      <c r="I55" s="4" t="s">
        <v>45</v>
      </c>
      <c r="J55" s="4" t="s">
        <v>67</v>
      </c>
      <c r="K55" s="4" t="s">
        <v>57</v>
      </c>
      <c r="L55" s="4"/>
      <c r="M55" s="4" t="s">
        <v>28</v>
      </c>
      <c r="N55" s="4"/>
      <c r="O55" s="4"/>
      <c r="P55" s="4" t="str">
        <f t="shared" si="2"/>
        <v>res</v>
      </c>
      <c r="Q55" s="4"/>
      <c r="R55" s="4"/>
      <c r="S55" s="4" t="s">
        <v>58</v>
      </c>
      <c r="T55" s="4"/>
      <c r="U55" s="4" t="str">
        <f t="shared" si="3"/>
        <v>co2</v>
      </c>
      <c r="V55" s="7" t="s">
        <v>40</v>
      </c>
    </row>
    <row r="56" spans="4:22" x14ac:dyDescent="0.45">
      <c r="D56" s="18" t="s">
        <v>382</v>
      </c>
      <c r="E56" s="4" t="str">
        <f>LOWER(_Country_code)&amp;".mit.co2.ind."&amp;1</f>
        <v>irn.mit.co2.ind.1</v>
      </c>
      <c r="F56" s="4" t="str">
        <f t="shared" si="6"/>
        <v>N/A</v>
      </c>
      <c r="G56" s="4" t="str">
        <f t="shared" si="1"/>
        <v>irn.mit.emis_s.all.all.co2.mtco2.1</v>
      </c>
      <c r="H56" s="4" t="s">
        <v>19</v>
      </c>
      <c r="I56" s="4" t="s">
        <v>45</v>
      </c>
      <c r="J56" s="4" t="s">
        <v>67</v>
      </c>
      <c r="K56" s="4" t="s">
        <v>57</v>
      </c>
      <c r="L56" s="4"/>
      <c r="M56" s="4" t="s">
        <v>29</v>
      </c>
      <c r="N56" s="4"/>
      <c r="O56" s="4"/>
      <c r="P56" s="4" t="str">
        <f t="shared" si="2"/>
        <v>ind</v>
      </c>
      <c r="Q56" s="4"/>
      <c r="R56" s="4"/>
      <c r="S56" s="4" t="s">
        <v>58</v>
      </c>
      <c r="T56" s="4"/>
      <c r="U56" s="4" t="str">
        <f t="shared" si="3"/>
        <v>co2</v>
      </c>
      <c r="V56" s="7" t="s">
        <v>40</v>
      </c>
    </row>
    <row r="57" spans="4:22" x14ac:dyDescent="0.45">
      <c r="D57" s="18" t="s">
        <v>383</v>
      </c>
      <c r="E57" s="4" t="str">
        <f>LOWER(_Country_code)&amp;".mit.co2.oth."&amp;1</f>
        <v>irn.mit.co2.oth.1</v>
      </c>
      <c r="F57" s="4" t="str">
        <f t="shared" si="6"/>
        <v>N/A</v>
      </c>
      <c r="G57" s="4" t="str">
        <f t="shared" si="1"/>
        <v>irn.mit.emis_s.all.all.co2.mtco2.1</v>
      </c>
      <c r="H57" s="4" t="s">
        <v>19</v>
      </c>
      <c r="I57" s="4" t="s">
        <v>45</v>
      </c>
      <c r="J57" s="4" t="s">
        <v>67</v>
      </c>
      <c r="K57" s="4" t="s">
        <v>57</v>
      </c>
      <c r="L57" s="4"/>
      <c r="M57" s="4" t="s">
        <v>30</v>
      </c>
      <c r="N57" s="4"/>
      <c r="O57" s="4"/>
      <c r="P57" s="4" t="str">
        <f t="shared" si="2"/>
        <v>oth</v>
      </c>
      <c r="Q57" s="4"/>
      <c r="R57" s="4"/>
      <c r="S57" s="4" t="s">
        <v>58</v>
      </c>
      <c r="T57" s="4"/>
      <c r="U57" s="4" t="str">
        <f t="shared" si="3"/>
        <v>co2</v>
      </c>
      <c r="V57" s="7" t="s">
        <v>40</v>
      </c>
    </row>
    <row r="58" spans="4:22" x14ac:dyDescent="0.45">
      <c r="D58" s="42" t="s">
        <v>384</v>
      </c>
      <c r="E58" s="4" t="str">
        <f>LOWER(_Country_code)&amp;".mit.ghg.tot.exc."&amp;ScenarioNum</f>
        <v>irn.mit.ghg.tot.exc.2</v>
      </c>
      <c r="F58" s="4" t="str">
        <f t="shared" si="6"/>
        <v>N/A</v>
      </c>
      <c r="G58" s="4" t="str">
        <f t="shared" si="1"/>
        <v>irn.mit.emis_all.all.all.ghg.mtco2e.2</v>
      </c>
      <c r="H58" s="4" t="s">
        <v>19</v>
      </c>
      <c r="I58" s="4" t="s">
        <v>45</v>
      </c>
      <c r="J58" s="4" t="s">
        <v>46</v>
      </c>
      <c r="K58" s="4" t="s">
        <v>47</v>
      </c>
      <c r="L58" s="4" t="s">
        <v>48</v>
      </c>
      <c r="M58" s="4"/>
      <c r="N58" s="4"/>
      <c r="O58" s="4"/>
      <c r="P58" s="4" t="str">
        <f t="shared" si="2"/>
        <v>totexc</v>
      </c>
      <c r="Q58" s="4"/>
      <c r="R58" s="4"/>
      <c r="S58" s="4" t="s">
        <v>49</v>
      </c>
      <c r="T58" s="4"/>
      <c r="U58" s="4" t="str">
        <f t="shared" si="3"/>
        <v>ghg</v>
      </c>
      <c r="V58" s="7" t="s">
        <v>22</v>
      </c>
    </row>
    <row r="59" spans="4:22" x14ac:dyDescent="0.45">
      <c r="D59" s="42" t="s">
        <v>385</v>
      </c>
      <c r="E59" s="4" t="str">
        <f>LOWER(_Country_code)&amp;".mit.ghg.tot.inc."&amp;ScenarioNum</f>
        <v>irn.mit.ghg.tot.inc.2</v>
      </c>
      <c r="F59" s="4" t="str">
        <f t="shared" si="6"/>
        <v>N/A</v>
      </c>
      <c r="G59" s="4" t="str">
        <f t="shared" si="1"/>
        <v>irn.mit.emis_all.all.all.ghg.mtco2e.2</v>
      </c>
      <c r="H59" s="4" t="s">
        <v>19</v>
      </c>
      <c r="I59" s="4" t="s">
        <v>45</v>
      </c>
      <c r="J59" s="4" t="s">
        <v>46</v>
      </c>
      <c r="K59" s="4" t="s">
        <v>47</v>
      </c>
      <c r="L59" s="4" t="s">
        <v>50</v>
      </c>
      <c r="M59" s="4"/>
      <c r="N59" s="4"/>
      <c r="O59" s="4"/>
      <c r="P59" s="4" t="str">
        <f t="shared" si="2"/>
        <v>totinc</v>
      </c>
      <c r="Q59" s="4"/>
      <c r="R59" s="4"/>
      <c r="S59" s="4" t="s">
        <v>49</v>
      </c>
      <c r="T59" s="4"/>
      <c r="U59" s="4" t="str">
        <f t="shared" si="3"/>
        <v>ghg</v>
      </c>
      <c r="V59" s="7" t="s">
        <v>22</v>
      </c>
    </row>
    <row r="60" spans="4:22" x14ac:dyDescent="0.45">
      <c r="D60" s="18" t="s">
        <v>386</v>
      </c>
      <c r="E60" s="4" t="str">
        <f>LOWER(_Country_code)&amp;".mit.ghg.enr.tot."&amp;ScenarioNum</f>
        <v>irn.mit.ghg.enr.tot.2</v>
      </c>
      <c r="F60" s="4" t="str">
        <f t="shared" si="6"/>
        <v>N/A</v>
      </c>
      <c r="G60" s="4" t="str">
        <f t="shared" si="1"/>
        <v>irn.mit.emis_u.all.all.ghg.mtco2e.2</v>
      </c>
      <c r="H60" s="4" t="s">
        <v>19</v>
      </c>
      <c r="I60" s="4" t="s">
        <v>45</v>
      </c>
      <c r="J60" s="4" t="s">
        <v>51</v>
      </c>
      <c r="K60" s="4" t="s">
        <v>47</v>
      </c>
      <c r="L60" s="4" t="s">
        <v>52</v>
      </c>
      <c r="M60" s="4"/>
      <c r="N60" s="4"/>
      <c r="O60" s="4"/>
      <c r="P60" s="4" t="str">
        <f t="shared" si="2"/>
        <v>enrtot</v>
      </c>
      <c r="Q60" s="4"/>
      <c r="R60" s="4"/>
      <c r="S60" s="4" t="s">
        <v>49</v>
      </c>
      <c r="T60" s="4"/>
      <c r="U60" s="4" t="str">
        <f t="shared" si="3"/>
        <v>ghg</v>
      </c>
      <c r="V60" s="7" t="s">
        <v>22</v>
      </c>
    </row>
    <row r="61" spans="4:22" x14ac:dyDescent="0.45">
      <c r="D61" s="18" t="s">
        <v>387</v>
      </c>
      <c r="E61" s="4" t="str">
        <f>LOWER(_Country_code)&amp;".mit.ghg.ipr.tot."&amp;ScenarioNum</f>
        <v>irn.mit.ghg.ipr.tot.2</v>
      </c>
      <c r="F61" s="4" t="str">
        <f t="shared" si="6"/>
        <v>N/A</v>
      </c>
      <c r="G61" s="4" t="str">
        <f t="shared" si="1"/>
        <v>irn.mit.emis_u.all.all.ghg.mtco2e.2</v>
      </c>
      <c r="H61" s="4" t="s">
        <v>19</v>
      </c>
      <c r="I61" s="4" t="s">
        <v>45</v>
      </c>
      <c r="J61" s="4" t="s">
        <v>51</v>
      </c>
      <c r="K61" s="4" t="s">
        <v>47</v>
      </c>
      <c r="L61" s="4" t="s">
        <v>53</v>
      </c>
      <c r="M61" s="4"/>
      <c r="N61" s="4"/>
      <c r="O61" s="4"/>
      <c r="P61" s="4" t="str">
        <f t="shared" si="2"/>
        <v>iprtot</v>
      </c>
      <c r="Q61" s="4"/>
      <c r="R61" s="4"/>
      <c r="S61" s="4" t="s">
        <v>49</v>
      </c>
      <c r="T61" s="4"/>
      <c r="U61" s="4" t="str">
        <f t="shared" si="3"/>
        <v>ghg</v>
      </c>
      <c r="V61" s="7" t="s">
        <v>22</v>
      </c>
    </row>
    <row r="62" spans="4:22" x14ac:dyDescent="0.45">
      <c r="D62" s="18" t="s">
        <v>388</v>
      </c>
      <c r="E62" s="4" t="str">
        <f>LOWER(_Country_code)&amp;".mit.ghg.agr.tot."&amp;ScenarioNum</f>
        <v>irn.mit.ghg.agr.tot.2</v>
      </c>
      <c r="F62" s="4" t="str">
        <f t="shared" si="6"/>
        <v>N/A</v>
      </c>
      <c r="G62" s="4" t="str">
        <f t="shared" si="1"/>
        <v>irn.mit.emis_u.all.all.ghg.mtco2e.2</v>
      </c>
      <c r="H62" s="4" t="s">
        <v>19</v>
      </c>
      <c r="I62" s="4" t="s">
        <v>45</v>
      </c>
      <c r="J62" s="4" t="s">
        <v>51</v>
      </c>
      <c r="K62" s="4" t="s">
        <v>47</v>
      </c>
      <c r="L62" s="4" t="s">
        <v>54</v>
      </c>
      <c r="M62" s="4"/>
      <c r="N62" s="4"/>
      <c r="O62" s="4"/>
      <c r="P62" s="4" t="str">
        <f t="shared" si="2"/>
        <v>agrtot</v>
      </c>
      <c r="Q62" s="4"/>
      <c r="R62" s="4"/>
      <c r="S62" s="4" t="s">
        <v>49</v>
      </c>
      <c r="T62" s="4"/>
      <c r="U62" s="4" t="str">
        <f t="shared" si="3"/>
        <v>ghg</v>
      </c>
      <c r="V62" s="7" t="s">
        <v>22</v>
      </c>
    </row>
    <row r="63" spans="4:22" x14ac:dyDescent="0.45">
      <c r="D63" s="18" t="s">
        <v>389</v>
      </c>
      <c r="E63" s="4" t="str">
        <f>LOWER(_Country_code)&amp;".mit.ghg.lucf.tot."&amp;ScenarioNum</f>
        <v>irn.mit.ghg.lucf.tot.2</v>
      </c>
      <c r="F63" s="4" t="str">
        <f t="shared" si="6"/>
        <v>N/A</v>
      </c>
      <c r="G63" s="4" t="str">
        <f t="shared" si="1"/>
        <v>irn.mit.emis_u.all.all.ghg.mtco2e.2</v>
      </c>
      <c r="H63" s="4" t="s">
        <v>19</v>
      </c>
      <c r="I63" s="4" t="s">
        <v>45</v>
      </c>
      <c r="J63" s="4" t="s">
        <v>51</v>
      </c>
      <c r="K63" s="4" t="s">
        <v>47</v>
      </c>
      <c r="L63" s="4" t="s">
        <v>56</v>
      </c>
      <c r="M63" s="4"/>
      <c r="N63" s="4"/>
      <c r="O63" s="4"/>
      <c r="P63" s="4" t="str">
        <f t="shared" si="2"/>
        <v>lucftot</v>
      </c>
      <c r="Q63" s="4"/>
      <c r="R63" s="4"/>
      <c r="S63" s="4" t="s">
        <v>49</v>
      </c>
      <c r="T63" s="4"/>
      <c r="U63" s="4" t="str">
        <f t="shared" si="3"/>
        <v>ghg</v>
      </c>
      <c r="V63" s="7" t="s">
        <v>22</v>
      </c>
    </row>
    <row r="64" spans="4:22" x14ac:dyDescent="0.45">
      <c r="D64" s="18" t="s">
        <v>390</v>
      </c>
      <c r="E64" s="4" t="str">
        <f>LOWER(_Country_code)&amp;".mit.ghg.wst.tot."&amp;ScenarioNum</f>
        <v>irn.mit.ghg.wst.tot.2</v>
      </c>
      <c r="F64" s="4" t="str">
        <f t="shared" si="6"/>
        <v>N/A</v>
      </c>
      <c r="G64" s="4" t="str">
        <f t="shared" si="1"/>
        <v>irn.mit.emis_u.all.all.ghg.mtco2e.2</v>
      </c>
      <c r="H64" s="4" t="s">
        <v>19</v>
      </c>
      <c r="I64" s="4" t="s">
        <v>45</v>
      </c>
      <c r="J64" s="4" t="s">
        <v>51</v>
      </c>
      <c r="K64" s="4" t="s">
        <v>47</v>
      </c>
      <c r="L64" s="4" t="s">
        <v>55</v>
      </c>
      <c r="M64" s="4"/>
      <c r="N64" s="4"/>
      <c r="O64" s="4"/>
      <c r="P64" s="4" t="str">
        <f t="shared" si="2"/>
        <v>wsttot</v>
      </c>
      <c r="Q64" s="4"/>
      <c r="R64" s="4"/>
      <c r="S64" s="4" t="s">
        <v>49</v>
      </c>
      <c r="T64" s="4"/>
      <c r="U64" s="4" t="str">
        <f t="shared" si="3"/>
        <v>ghg</v>
      </c>
      <c r="V64" s="7" t="s">
        <v>22</v>
      </c>
    </row>
    <row r="65" spans="4:22" x14ac:dyDescent="0.45">
      <c r="D65" s="40" t="s">
        <v>391</v>
      </c>
      <c r="E65" s="4" t="str">
        <f>LOWER(_Country_code)&amp;".mit.co2.tot."&amp;ScenarioNum</f>
        <v>irn.mit.co2.tot.2</v>
      </c>
      <c r="F65" s="4" t="str">
        <f t="shared" si="6"/>
        <v>N/A</v>
      </c>
      <c r="G65" s="4" t="str">
        <f t="shared" si="1"/>
        <v>irn.mit.emis_all.all.all.co2.mtco2.2</v>
      </c>
      <c r="H65" s="4" t="s">
        <v>19</v>
      </c>
      <c r="I65" s="4" t="s">
        <v>45</v>
      </c>
      <c r="J65" s="4" t="s">
        <v>46</v>
      </c>
      <c r="K65" s="4" t="s">
        <v>57</v>
      </c>
      <c r="L65" s="4" t="s">
        <v>37</v>
      </c>
      <c r="M65" s="4"/>
      <c r="N65" s="4"/>
      <c r="O65" s="4"/>
      <c r="P65" s="4" t="str">
        <f t="shared" si="2"/>
        <v>tot</v>
      </c>
      <c r="Q65" s="4"/>
      <c r="R65" s="4"/>
      <c r="S65" s="4" t="s">
        <v>58</v>
      </c>
      <c r="T65" s="4"/>
      <c r="U65" s="4" t="str">
        <f t="shared" si="3"/>
        <v>co2</v>
      </c>
      <c r="V65" s="7" t="s">
        <v>22</v>
      </c>
    </row>
    <row r="66" spans="4:22" x14ac:dyDescent="0.45">
      <c r="D66" s="18" t="s">
        <v>392</v>
      </c>
      <c r="E66" s="4" t="str">
        <f>LOWER(_Country_code)&amp;".mit.co2.enr.tot."&amp;ScenarioNum</f>
        <v>irn.mit.co2.enr.tot.2</v>
      </c>
      <c r="F66" s="4" t="str">
        <f t="shared" si="6"/>
        <v>N/A</v>
      </c>
      <c r="G66" s="4" t="str">
        <f t="shared" si="1"/>
        <v>irn.mit.emis_u.all.all.co2.mtco2.2</v>
      </c>
      <c r="H66" s="4" t="s">
        <v>19</v>
      </c>
      <c r="I66" s="4" t="s">
        <v>45</v>
      </c>
      <c r="J66" s="4" t="s">
        <v>51</v>
      </c>
      <c r="K66" s="4" t="s">
        <v>57</v>
      </c>
      <c r="L66" s="4" t="s">
        <v>52</v>
      </c>
      <c r="M66" s="4"/>
      <c r="N66" s="4"/>
      <c r="O66" s="4"/>
      <c r="P66" s="4" t="str">
        <f t="shared" si="2"/>
        <v>enrtot</v>
      </c>
      <c r="Q66" s="4"/>
      <c r="R66" s="4"/>
      <c r="S66" s="4" t="s">
        <v>58</v>
      </c>
      <c r="T66" s="4"/>
      <c r="U66" s="4" t="str">
        <f t="shared" si="3"/>
        <v>co2</v>
      </c>
      <c r="V66" s="7" t="s">
        <v>22</v>
      </c>
    </row>
    <row r="67" spans="4:22" x14ac:dyDescent="0.45">
      <c r="D67" s="43" t="s">
        <v>393</v>
      </c>
      <c r="E67" s="4" t="str">
        <f>LOWER(_Country_code)&amp;".mit.co2.coa."&amp;ScenarioNum</f>
        <v>irn.mit.co2.coa.2</v>
      </c>
      <c r="F67" s="4" t="str">
        <f t="shared" ref="F67:F98" si="7">IF(MTAct,E67&amp;"_"&amp;MSTScenarioID,"N/A")</f>
        <v>N/A</v>
      </c>
      <c r="G67" s="4" t="str">
        <f t="shared" si="1"/>
        <v>irn.mit.emis_f.all.coa.co2.mtco2.2</v>
      </c>
      <c r="H67" s="4" t="s">
        <v>19</v>
      </c>
      <c r="I67" s="4" t="s">
        <v>45</v>
      </c>
      <c r="J67" s="4" t="s">
        <v>59</v>
      </c>
      <c r="K67" s="4" t="s">
        <v>57</v>
      </c>
      <c r="L67" s="4"/>
      <c r="M67" s="4"/>
      <c r="N67" s="4"/>
      <c r="O67" s="4"/>
      <c r="P67" s="4" t="str">
        <f t="shared" si="2"/>
        <v/>
      </c>
      <c r="Q67" s="4" t="s">
        <v>60</v>
      </c>
      <c r="R67" s="4"/>
      <c r="S67" s="4" t="s">
        <v>58</v>
      </c>
      <c r="T67" s="4"/>
      <c r="U67" s="4" t="str">
        <f t="shared" si="3"/>
        <v>co2</v>
      </c>
      <c r="V67" s="7" t="s">
        <v>22</v>
      </c>
    </row>
    <row r="68" spans="4:22" x14ac:dyDescent="0.45">
      <c r="D68" s="43" t="s">
        <v>394</v>
      </c>
      <c r="E68" s="4" t="str">
        <f>LOWER(_Country_code)&amp;".mit.co2.nga."&amp;ScenarioNum</f>
        <v>irn.mit.co2.nga.2</v>
      </c>
      <c r="F68" s="4" t="str">
        <f t="shared" si="7"/>
        <v>N/A</v>
      </c>
      <c r="G68" s="4" t="str">
        <f t="shared" si="1"/>
        <v>irn.mit.emis_f.all.nga.co2.mtco2.2</v>
      </c>
      <c r="H68" s="4" t="s">
        <v>19</v>
      </c>
      <c r="I68" s="4" t="s">
        <v>45</v>
      </c>
      <c r="J68" s="4" t="s">
        <v>59</v>
      </c>
      <c r="K68" s="4" t="s">
        <v>57</v>
      </c>
      <c r="L68" s="4"/>
      <c r="M68" s="4"/>
      <c r="N68" s="4"/>
      <c r="O68" s="4"/>
      <c r="P68" s="4" t="str">
        <f t="shared" si="2"/>
        <v/>
      </c>
      <c r="Q68" s="4" t="s">
        <v>61</v>
      </c>
      <c r="R68" s="4"/>
      <c r="S68" s="4" t="s">
        <v>58</v>
      </c>
      <c r="T68" s="4"/>
      <c r="U68" s="4" t="str">
        <f t="shared" si="3"/>
        <v>co2</v>
      </c>
      <c r="V68" s="7" t="s">
        <v>22</v>
      </c>
    </row>
    <row r="69" spans="4:22" x14ac:dyDescent="0.45">
      <c r="D69" s="43" t="s">
        <v>395</v>
      </c>
      <c r="E69" s="4" t="str">
        <f>LOWER(_Country_code)&amp;".mit.co2.oil."&amp;ScenarioNum</f>
        <v>irn.mit.co2.oil.2</v>
      </c>
      <c r="F69" s="4" t="str">
        <f t="shared" si="7"/>
        <v>N/A</v>
      </c>
      <c r="G69" s="4" t="str">
        <f t="shared" si="1"/>
        <v>irn.mit.emis_f.all.oil.co2.mtco2.2</v>
      </c>
      <c r="H69" s="4" t="s">
        <v>19</v>
      </c>
      <c r="I69" s="4" t="s">
        <v>45</v>
      </c>
      <c r="J69" s="4" t="s">
        <v>59</v>
      </c>
      <c r="K69" s="4" t="s">
        <v>57</v>
      </c>
      <c r="L69" s="4"/>
      <c r="M69" s="4"/>
      <c r="N69" s="4"/>
      <c r="O69" s="4"/>
      <c r="P69" s="4" t="str">
        <f t="shared" si="2"/>
        <v/>
      </c>
      <c r="Q69" s="4" t="s">
        <v>62</v>
      </c>
      <c r="R69" s="4"/>
      <c r="S69" s="4" t="s">
        <v>58</v>
      </c>
      <c r="T69" s="4"/>
      <c r="U69" s="4" t="str">
        <f t="shared" si="3"/>
        <v>co2</v>
      </c>
      <c r="V69" s="7" t="s">
        <v>22</v>
      </c>
    </row>
    <row r="70" spans="4:22" x14ac:dyDescent="0.45">
      <c r="D70" s="43" t="s">
        <v>396</v>
      </c>
      <c r="E70" s="4" t="str">
        <f>LOWER(_Country_code)&amp;".mit.co2.gso."&amp;ScenarioNum</f>
        <v>irn.mit.co2.gso.2</v>
      </c>
      <c r="F70" s="4" t="str">
        <f t="shared" si="7"/>
        <v>N/A</v>
      </c>
      <c r="G70" s="4" t="str">
        <f t="shared" si="1"/>
        <v>irn.mit.emis_f.all.gso.co2.mtco2.2</v>
      </c>
      <c r="H70" s="4" t="s">
        <v>19</v>
      </c>
      <c r="I70" s="4" t="s">
        <v>45</v>
      </c>
      <c r="J70" s="4" t="s">
        <v>59</v>
      </c>
      <c r="K70" s="4" t="s">
        <v>57</v>
      </c>
      <c r="L70" s="4"/>
      <c r="M70" s="4"/>
      <c r="N70" s="4"/>
      <c r="O70" s="4"/>
      <c r="P70" s="4" t="str">
        <f t="shared" si="2"/>
        <v/>
      </c>
      <c r="Q70" s="4" t="s">
        <v>63</v>
      </c>
      <c r="R70" s="4"/>
      <c r="S70" s="4" t="s">
        <v>58</v>
      </c>
      <c r="T70" s="4"/>
      <c r="U70" s="4" t="str">
        <f t="shared" si="3"/>
        <v>co2</v>
      </c>
      <c r="V70" s="7" t="s">
        <v>22</v>
      </c>
    </row>
    <row r="71" spans="4:22" x14ac:dyDescent="0.45">
      <c r="D71" s="43" t="s">
        <v>397</v>
      </c>
      <c r="E71" s="4" t="str">
        <f>LOWER(_Country_code)&amp;".mit.co2.die."&amp;ScenarioNum</f>
        <v>irn.mit.co2.die.2</v>
      </c>
      <c r="F71" s="4" t="str">
        <f t="shared" si="7"/>
        <v>N/A</v>
      </c>
      <c r="G71" s="4" t="str">
        <f t="shared" si="1"/>
        <v>irn.mit.emis_f.all.die.co2.mtco2.2</v>
      </c>
      <c r="H71" s="4" t="s">
        <v>19</v>
      </c>
      <c r="I71" s="4" t="s">
        <v>45</v>
      </c>
      <c r="J71" s="4" t="s">
        <v>59</v>
      </c>
      <c r="K71" s="4" t="s">
        <v>57</v>
      </c>
      <c r="L71" s="4"/>
      <c r="M71" s="4"/>
      <c r="N71" s="4"/>
      <c r="O71" s="4"/>
      <c r="P71" s="4" t="str">
        <f t="shared" si="2"/>
        <v/>
      </c>
      <c r="Q71" s="4" t="s">
        <v>64</v>
      </c>
      <c r="R71" s="4"/>
      <c r="S71" s="4" t="s">
        <v>58</v>
      </c>
      <c r="T71" s="4"/>
      <c r="U71" s="4" t="str">
        <f t="shared" si="3"/>
        <v>co2</v>
      </c>
      <c r="V71" s="7" t="s">
        <v>22</v>
      </c>
    </row>
    <row r="72" spans="4:22" x14ac:dyDescent="0.45">
      <c r="D72" s="43" t="s">
        <v>398</v>
      </c>
      <c r="E72" s="4" t="str">
        <f>LOWER(_Country_code)&amp;".mit.co2.lpg."&amp;ScenarioNum</f>
        <v>irn.mit.co2.lpg.2</v>
      </c>
      <c r="F72" s="4" t="str">
        <f t="shared" si="7"/>
        <v>N/A</v>
      </c>
      <c r="G72" s="4" t="str">
        <f t="shared" si="1"/>
        <v>irn.mit.emis_f.all.lpg.co2.mtco2.2</v>
      </c>
      <c r="H72" s="4" t="s">
        <v>19</v>
      </c>
      <c r="I72" s="4" t="s">
        <v>45</v>
      </c>
      <c r="J72" s="4" t="s">
        <v>59</v>
      </c>
      <c r="K72" s="4" t="s">
        <v>57</v>
      </c>
      <c r="L72" s="4"/>
      <c r="M72" s="4"/>
      <c r="N72" s="4"/>
      <c r="O72" s="4"/>
      <c r="P72" s="4" t="str">
        <f t="shared" si="2"/>
        <v/>
      </c>
      <c r="Q72" s="4" t="s">
        <v>65</v>
      </c>
      <c r="R72" s="4"/>
      <c r="S72" s="4" t="s">
        <v>58</v>
      </c>
      <c r="T72" s="4"/>
      <c r="U72" s="4" t="str">
        <f t="shared" si="3"/>
        <v>co2</v>
      </c>
      <c r="V72" s="7" t="s">
        <v>22</v>
      </c>
    </row>
    <row r="73" spans="4:22" x14ac:dyDescent="0.45">
      <c r="D73" s="43" t="s">
        <v>399</v>
      </c>
      <c r="E73" s="4" t="str">
        <f>LOWER(_Country_code)&amp;".mit.co2.ker."&amp;ScenarioNum</f>
        <v>irn.mit.co2.ker.2</v>
      </c>
      <c r="F73" s="4" t="str">
        <f t="shared" si="7"/>
        <v>N/A</v>
      </c>
      <c r="G73" s="4" t="str">
        <f t="shared" si="1"/>
        <v>irn.mit.emis_f.all.ker.co2.mtco2.2</v>
      </c>
      <c r="H73" s="4" t="s">
        <v>19</v>
      </c>
      <c r="I73" s="4" t="s">
        <v>45</v>
      </c>
      <c r="J73" s="4" t="s">
        <v>59</v>
      </c>
      <c r="K73" s="4" t="s">
        <v>57</v>
      </c>
      <c r="L73" s="4"/>
      <c r="M73" s="4"/>
      <c r="N73" s="4"/>
      <c r="O73" s="4"/>
      <c r="P73" s="4" t="str">
        <f t="shared" si="2"/>
        <v/>
      </c>
      <c r="Q73" s="4" t="s">
        <v>66</v>
      </c>
      <c r="R73" s="4"/>
      <c r="S73" s="4" t="s">
        <v>58</v>
      </c>
      <c r="T73" s="4"/>
      <c r="U73" s="4" t="str">
        <f t="shared" si="3"/>
        <v>co2</v>
      </c>
      <c r="V73" s="7" t="s">
        <v>22</v>
      </c>
    </row>
    <row r="74" spans="4:22" x14ac:dyDescent="0.45">
      <c r="D74" s="18" t="s">
        <v>400</v>
      </c>
      <c r="E74" s="4" t="str">
        <f>LOWER(_Country_code)&amp;".mit.co2.pow."&amp;ScenarioNum</f>
        <v>irn.mit.co2.pow.2</v>
      </c>
      <c r="F74" s="4" t="str">
        <f t="shared" si="7"/>
        <v>N/A</v>
      </c>
      <c r="G74" s="4" t="str">
        <f t="shared" si="1"/>
        <v>irn.mit.emis_s.all.all.co2.mtco2.2</v>
      </c>
      <c r="H74" s="4" t="s">
        <v>19</v>
      </c>
      <c r="I74" s="4" t="s">
        <v>45</v>
      </c>
      <c r="J74" s="4" t="s">
        <v>67</v>
      </c>
      <c r="K74" s="4" t="s">
        <v>57</v>
      </c>
      <c r="L74" s="4"/>
      <c r="M74" s="4" t="s">
        <v>26</v>
      </c>
      <c r="N74" s="4"/>
      <c r="O74" s="4"/>
      <c r="P74" s="4" t="str">
        <f t="shared" si="2"/>
        <v>pow</v>
      </c>
      <c r="Q74" s="4"/>
      <c r="R74" s="4"/>
      <c r="S74" s="4" t="s">
        <v>58</v>
      </c>
      <c r="T74" s="4"/>
      <c r="U74" s="4" t="str">
        <f t="shared" ref="U74:U158" si="8">R74&amp;T74&amp;S74</f>
        <v>co2</v>
      </c>
      <c r="V74" s="7" t="s">
        <v>22</v>
      </c>
    </row>
    <row r="75" spans="4:22" x14ac:dyDescent="0.45">
      <c r="D75" s="18" t="s">
        <v>401</v>
      </c>
      <c r="E75" s="4" t="str">
        <f>LOWER(_Country_code)&amp;".mit.co2.tra."&amp;ScenarioNum</f>
        <v>irn.mit.co2.tra.2</v>
      </c>
      <c r="F75" s="4" t="str">
        <f t="shared" si="7"/>
        <v>N/A</v>
      </c>
      <c r="G75" s="4" t="str">
        <f t="shared" si="1"/>
        <v>irn.mit.emis_s.all.all.co2.mtco2.2</v>
      </c>
      <c r="H75" s="4" t="s">
        <v>19</v>
      </c>
      <c r="I75" s="4" t="s">
        <v>45</v>
      </c>
      <c r="J75" s="4" t="s">
        <v>67</v>
      </c>
      <c r="K75" s="4" t="s">
        <v>57</v>
      </c>
      <c r="L75" s="4"/>
      <c r="M75" s="4" t="s">
        <v>27</v>
      </c>
      <c r="N75" s="4"/>
      <c r="O75" s="4"/>
      <c r="P75" s="4" t="str">
        <f t="shared" si="2"/>
        <v>tra</v>
      </c>
      <c r="Q75" s="4"/>
      <c r="R75" s="4"/>
      <c r="S75" s="4" t="s">
        <v>58</v>
      </c>
      <c r="T75" s="4"/>
      <c r="U75" s="4" t="str">
        <f t="shared" si="8"/>
        <v>co2</v>
      </c>
      <c r="V75" s="7" t="s">
        <v>22</v>
      </c>
    </row>
    <row r="76" spans="4:22" x14ac:dyDescent="0.45">
      <c r="D76" s="18" t="s">
        <v>402</v>
      </c>
      <c r="E76" s="4" t="str">
        <f>LOWER(_Country_code)&amp;".mit.co2.res."&amp;ScenarioNum</f>
        <v>irn.mit.co2.res.2</v>
      </c>
      <c r="F76" s="4" t="str">
        <f t="shared" si="7"/>
        <v>N/A</v>
      </c>
      <c r="G76" s="4" t="str">
        <f t="shared" ref="G76:G160" si="9">IF(D76="","",LOWER(_Country_code)&amp;"."&amp;H76&amp;"."&amp;IF(I76="","all",I76)&amp;"_"&amp;J76&amp;"."&amp;IF(R76="","all",R76)&amp;"."&amp;IF(Q76="","all",Q76)&amp;"."&amp;IF(U76="","all",U76)&amp;"."&amp;IF(K76="","all",K76)&amp;"."&amp;IF(V76="","all",V76))</f>
        <v>irn.mit.emis_s.all.all.co2.mtco2.2</v>
      </c>
      <c r="H76" s="4" t="s">
        <v>19</v>
      </c>
      <c r="I76" s="4" t="s">
        <v>45</v>
      </c>
      <c r="J76" s="4" t="s">
        <v>67</v>
      </c>
      <c r="K76" s="4" t="s">
        <v>57</v>
      </c>
      <c r="L76" s="4"/>
      <c r="M76" s="4" t="s">
        <v>28</v>
      </c>
      <c r="N76" s="4"/>
      <c r="O76" s="4"/>
      <c r="P76" s="4" t="str">
        <f t="shared" ref="P76:P160" si="10">L76&amp;IF(N76="",M76,N76)&amp;O76</f>
        <v>res</v>
      </c>
      <c r="Q76" s="4"/>
      <c r="R76" s="4"/>
      <c r="S76" s="4" t="s">
        <v>58</v>
      </c>
      <c r="T76" s="4"/>
      <c r="U76" s="4" t="str">
        <f t="shared" si="8"/>
        <v>co2</v>
      </c>
      <c r="V76" s="7" t="s">
        <v>22</v>
      </c>
    </row>
    <row r="77" spans="4:22" x14ac:dyDescent="0.45">
      <c r="D77" s="18" t="s">
        <v>403</v>
      </c>
      <c r="E77" s="4" t="str">
        <f>LOWER(_Country_code)&amp;".mit.co2.ind."&amp;ScenarioNum</f>
        <v>irn.mit.co2.ind.2</v>
      </c>
      <c r="F77" s="4" t="str">
        <f t="shared" si="7"/>
        <v>N/A</v>
      </c>
      <c r="G77" s="4" t="str">
        <f t="shared" si="9"/>
        <v>irn.mit.emis_s.all.all.co2.mtco2.2</v>
      </c>
      <c r="H77" s="4" t="s">
        <v>19</v>
      </c>
      <c r="I77" s="4" t="s">
        <v>45</v>
      </c>
      <c r="J77" s="4" t="s">
        <v>67</v>
      </c>
      <c r="K77" s="4" t="s">
        <v>57</v>
      </c>
      <c r="L77" s="4"/>
      <c r="M77" s="4" t="s">
        <v>29</v>
      </c>
      <c r="N77" s="4"/>
      <c r="O77" s="4"/>
      <c r="P77" s="4" t="str">
        <f t="shared" si="10"/>
        <v>ind</v>
      </c>
      <c r="Q77" s="4"/>
      <c r="R77" s="4"/>
      <c r="S77" s="4" t="s">
        <v>58</v>
      </c>
      <c r="T77" s="4"/>
      <c r="U77" s="4" t="str">
        <f t="shared" si="8"/>
        <v>co2</v>
      </c>
      <c r="V77" s="7" t="s">
        <v>22</v>
      </c>
    </row>
    <row r="78" spans="4:22" x14ac:dyDescent="0.45">
      <c r="D78" s="18" t="s">
        <v>404</v>
      </c>
      <c r="E78" s="4" t="str">
        <f>LOWER(_Country_code)&amp;".mit.co2.oth."&amp;ScenarioNum</f>
        <v>irn.mit.co2.oth.2</v>
      </c>
      <c r="F78" s="4" t="str">
        <f t="shared" si="7"/>
        <v>N/A</v>
      </c>
      <c r="G78" s="4" t="str">
        <f t="shared" si="9"/>
        <v>irn.mit.emis_s.all.all.co2.mtco2.2</v>
      </c>
      <c r="H78" s="4" t="s">
        <v>19</v>
      </c>
      <c r="I78" s="4" t="s">
        <v>45</v>
      </c>
      <c r="J78" s="4" t="s">
        <v>67</v>
      </c>
      <c r="K78" s="4" t="s">
        <v>57</v>
      </c>
      <c r="L78" s="4"/>
      <c r="M78" s="4" t="s">
        <v>30</v>
      </c>
      <c r="N78" s="4"/>
      <c r="O78" s="4"/>
      <c r="P78" s="4" t="str">
        <f t="shared" si="10"/>
        <v>oth</v>
      </c>
      <c r="Q78" s="4"/>
      <c r="R78" s="4"/>
      <c r="S78" s="4" t="s">
        <v>58</v>
      </c>
      <c r="T78" s="4"/>
      <c r="U78" s="4" t="str">
        <f t="shared" si="8"/>
        <v>co2</v>
      </c>
      <c r="V78" s="7" t="s">
        <v>22</v>
      </c>
    </row>
    <row r="79" spans="4:22" x14ac:dyDescent="0.45">
      <c r="D79" s="19" t="s">
        <v>405</v>
      </c>
      <c r="E79" s="4" t="str">
        <f>LOWER(_Country_code)&amp;".mit.co2.tot.red.pct"</f>
        <v>irn.mit.co2.tot.red.pct</v>
      </c>
      <c r="F79" s="4" t="str">
        <f t="shared" si="7"/>
        <v>N/A</v>
      </c>
      <c r="G79" s="4" t="str">
        <f t="shared" si="9"/>
        <v>irn.mit.co2red_all.all.all.co2.mtco2.t</v>
      </c>
      <c r="H79" s="4" t="s">
        <v>19</v>
      </c>
      <c r="I79" s="4" t="s">
        <v>68</v>
      </c>
      <c r="J79" s="4" t="s">
        <v>46</v>
      </c>
      <c r="K79" s="4" t="s">
        <v>57</v>
      </c>
      <c r="L79" s="4"/>
      <c r="M79" s="4"/>
      <c r="N79" s="4"/>
      <c r="O79" s="4"/>
      <c r="P79" s="4" t="str">
        <f t="shared" si="10"/>
        <v/>
      </c>
      <c r="Q79" s="4"/>
      <c r="R79" s="4"/>
      <c r="S79" s="4" t="s">
        <v>58</v>
      </c>
      <c r="T79" s="4"/>
      <c r="U79" s="4" t="str">
        <f t="shared" si="8"/>
        <v>co2</v>
      </c>
      <c r="V79" s="7" t="s">
        <v>69</v>
      </c>
    </row>
    <row r="80" spans="4:22" x14ac:dyDescent="0.45">
      <c r="D80" s="40" t="s">
        <v>406</v>
      </c>
      <c r="E80" s="4" t="str">
        <f>LOWER(_Country_code)&amp;".mit.ghg.tot.exc.fuel.1"</f>
        <v>irn.mit.ghg.tot.exc.fuel.1</v>
      </c>
      <c r="F80" s="4" t="str">
        <f t="shared" si="7"/>
        <v>N/A</v>
      </c>
      <c r="G80" s="4" t="str">
        <f t="shared" si="9"/>
        <v>irn.mit.emis_all.all.all.ghg.mtco2e.1</v>
      </c>
      <c r="H80" s="4" t="s">
        <v>19</v>
      </c>
      <c r="I80" s="4" t="s">
        <v>45</v>
      </c>
      <c r="J80" s="4" t="s">
        <v>46</v>
      </c>
      <c r="K80" s="4" t="s">
        <v>47</v>
      </c>
      <c r="L80" s="4" t="s">
        <v>48</v>
      </c>
      <c r="M80" s="4"/>
      <c r="N80" s="4"/>
      <c r="O80" s="4"/>
      <c r="P80" s="4" t="str">
        <f t="shared" si="10"/>
        <v>totexc</v>
      </c>
      <c r="Q80" s="4"/>
      <c r="R80" s="4"/>
      <c r="S80" s="4" t="s">
        <v>49</v>
      </c>
      <c r="T80" s="4"/>
      <c r="U80" s="4" t="str">
        <f t="shared" si="8"/>
        <v>ghg</v>
      </c>
      <c r="V80" s="7" t="s">
        <v>40</v>
      </c>
    </row>
    <row r="81" spans="4:22" x14ac:dyDescent="0.45">
      <c r="D81" s="18" t="s">
        <v>407</v>
      </c>
      <c r="E81" s="4" t="str">
        <f>[1]Mitigation!G15361</f>
        <v>irn.mit.co2.tot.1</v>
      </c>
      <c r="F81" s="4" t="str">
        <f t="shared" si="7"/>
        <v>N/A</v>
      </c>
      <c r="G81" s="4" t="str">
        <f t="shared" si="9"/>
        <v>irn.mit.emis_all.all.all.co2.mtco2.1</v>
      </c>
      <c r="H81" s="4" t="s">
        <v>19</v>
      </c>
      <c r="I81" s="4" t="s">
        <v>45</v>
      </c>
      <c r="J81" s="4" t="s">
        <v>46</v>
      </c>
      <c r="K81" s="4" t="s">
        <v>57</v>
      </c>
      <c r="L81" s="4" t="s">
        <v>48</v>
      </c>
      <c r="M81" s="4"/>
      <c r="N81" s="4"/>
      <c r="O81" s="4"/>
      <c r="P81" s="4" t="str">
        <f t="shared" si="10"/>
        <v>totexc</v>
      </c>
      <c r="Q81" s="4"/>
      <c r="R81" s="4"/>
      <c r="S81" s="4" t="s">
        <v>58</v>
      </c>
      <c r="T81" s="4"/>
      <c r="U81" s="4" t="str">
        <f t="shared" si="8"/>
        <v>co2</v>
      </c>
      <c r="V81" s="7" t="s">
        <v>40</v>
      </c>
    </row>
    <row r="82" spans="4:22" x14ac:dyDescent="0.45">
      <c r="D82" s="18" t="s">
        <v>408</v>
      </c>
      <c r="E82" s="4" t="str">
        <f>[1]Mitigation!G15362</f>
        <v>irn.mit.ch4.tot.1</v>
      </c>
      <c r="F82" s="4" t="str">
        <f t="shared" si="7"/>
        <v>N/A</v>
      </c>
      <c r="G82" s="4" t="str">
        <f t="shared" si="9"/>
        <v>irn.mit.emis_all.all.all.ch4.mtco2e.1</v>
      </c>
      <c r="H82" s="4" t="s">
        <v>19</v>
      </c>
      <c r="I82" s="4" t="s">
        <v>45</v>
      </c>
      <c r="J82" s="4" t="s">
        <v>46</v>
      </c>
      <c r="K82" s="4" t="s">
        <v>47</v>
      </c>
      <c r="L82" s="4" t="s">
        <v>48</v>
      </c>
      <c r="M82" s="4"/>
      <c r="N82" s="4"/>
      <c r="O82" s="4"/>
      <c r="P82" s="4" t="str">
        <f t="shared" si="10"/>
        <v>totexc</v>
      </c>
      <c r="Q82" s="4"/>
      <c r="R82" s="4"/>
      <c r="S82" s="4" t="s">
        <v>70</v>
      </c>
      <c r="T82" s="4"/>
      <c r="U82" s="4" t="str">
        <f t="shared" si="8"/>
        <v>ch4</v>
      </c>
      <c r="V82" s="7" t="s">
        <v>40</v>
      </c>
    </row>
    <row r="83" spans="4:22" x14ac:dyDescent="0.45">
      <c r="D83" s="18" t="s">
        <v>409</v>
      </c>
      <c r="E83" s="4" t="str">
        <f>[1]Mitigation!G15363</f>
        <v>irn.mit.nox.tot.1</v>
      </c>
      <c r="F83" s="4" t="str">
        <f t="shared" si="7"/>
        <v>N/A</v>
      </c>
      <c r="G83" s="4" t="str">
        <f t="shared" si="9"/>
        <v>irn.mit.emis_all.all.all.nox.mtco2e.1</v>
      </c>
      <c r="H83" s="4" t="s">
        <v>19</v>
      </c>
      <c r="I83" s="4" t="s">
        <v>45</v>
      </c>
      <c r="J83" s="4" t="s">
        <v>46</v>
      </c>
      <c r="K83" s="4" t="s">
        <v>47</v>
      </c>
      <c r="L83" s="4" t="s">
        <v>48</v>
      </c>
      <c r="M83" s="4"/>
      <c r="N83" s="4"/>
      <c r="O83" s="4"/>
      <c r="P83" s="4" t="str">
        <f t="shared" si="10"/>
        <v>totexc</v>
      </c>
      <c r="Q83" s="4"/>
      <c r="R83" s="4"/>
      <c r="S83" s="4" t="s">
        <v>71</v>
      </c>
      <c r="T83" s="4"/>
      <c r="U83" s="4" t="str">
        <f t="shared" si="8"/>
        <v>nox</v>
      </c>
      <c r="V83" s="7" t="s">
        <v>40</v>
      </c>
    </row>
    <row r="84" spans="4:22" x14ac:dyDescent="0.45">
      <c r="D84" s="18" t="s">
        <v>410</v>
      </c>
      <c r="E84" s="4" t="str">
        <f>[1]Mitigation!G15364</f>
        <v>irn.mit.fga.tot.1</v>
      </c>
      <c r="F84" s="4" t="str">
        <f t="shared" si="7"/>
        <v>N/A</v>
      </c>
      <c r="G84" s="4" t="str">
        <f t="shared" si="9"/>
        <v>irn.mit.emis_all.all.all.fga.mtco2e.1</v>
      </c>
      <c r="H84" s="4" t="s">
        <v>19</v>
      </c>
      <c r="I84" s="4" t="s">
        <v>45</v>
      </c>
      <c r="J84" s="4" t="s">
        <v>46</v>
      </c>
      <c r="K84" s="4" t="s">
        <v>47</v>
      </c>
      <c r="L84" s="4" t="s">
        <v>48</v>
      </c>
      <c r="M84" s="4"/>
      <c r="N84" s="4"/>
      <c r="O84" s="4"/>
      <c r="P84" s="4" t="str">
        <f t="shared" si="10"/>
        <v>totexc</v>
      </c>
      <c r="Q84" s="4"/>
      <c r="R84" s="4"/>
      <c r="S84" s="4" t="s">
        <v>72</v>
      </c>
      <c r="T84" s="4"/>
      <c r="U84" s="4" t="str">
        <f t="shared" si="8"/>
        <v>fga</v>
      </c>
      <c r="V84" s="7" t="s">
        <v>40</v>
      </c>
    </row>
    <row r="85" spans="4:22" x14ac:dyDescent="0.45">
      <c r="D85" s="40" t="s">
        <v>411</v>
      </c>
      <c r="E85" s="4" t="str">
        <f>LOWER(_Country_code)&amp;".mit.ghg.tot.exc.fuel."&amp;ScenarioNum</f>
        <v>irn.mit.ghg.tot.exc.fuel.2</v>
      </c>
      <c r="F85" s="4" t="str">
        <f t="shared" si="7"/>
        <v>N/A</v>
      </c>
      <c r="G85" s="4" t="str">
        <f t="shared" si="9"/>
        <v>irn.mit.emis_all.all.all.ghg.mtco2e.2</v>
      </c>
      <c r="H85" s="4" t="s">
        <v>19</v>
      </c>
      <c r="I85" s="4" t="s">
        <v>45</v>
      </c>
      <c r="J85" s="4" t="s">
        <v>46</v>
      </c>
      <c r="K85" s="4" t="s">
        <v>47</v>
      </c>
      <c r="L85" s="4" t="s">
        <v>48</v>
      </c>
      <c r="M85" s="4"/>
      <c r="N85" s="4"/>
      <c r="O85" s="4"/>
      <c r="P85" s="4" t="str">
        <f t="shared" si="10"/>
        <v>totexc</v>
      </c>
      <c r="Q85" s="4"/>
      <c r="R85" s="4"/>
      <c r="S85" s="4" t="s">
        <v>49</v>
      </c>
      <c r="T85" s="4"/>
      <c r="U85" s="4" t="str">
        <f t="shared" si="8"/>
        <v>ghg</v>
      </c>
      <c r="V85" s="7" t="s">
        <v>22</v>
      </c>
    </row>
    <row r="86" spans="4:22" x14ac:dyDescent="0.45">
      <c r="D86" s="18" t="s">
        <v>412</v>
      </c>
      <c r="E86" s="4" t="str">
        <f>[1]Mitigation!G15366</f>
        <v>irn.mit.co2.tot.2</v>
      </c>
      <c r="F86" s="4" t="str">
        <f t="shared" si="7"/>
        <v>N/A</v>
      </c>
      <c r="G86" s="4" t="str">
        <f t="shared" si="9"/>
        <v>irn.mit.emis_all.all.all.co2.mtco2.2</v>
      </c>
      <c r="H86" s="4" t="s">
        <v>19</v>
      </c>
      <c r="I86" s="4" t="s">
        <v>45</v>
      </c>
      <c r="J86" s="4" t="s">
        <v>46</v>
      </c>
      <c r="K86" s="4" t="s">
        <v>57</v>
      </c>
      <c r="L86" s="4" t="s">
        <v>48</v>
      </c>
      <c r="M86" s="4"/>
      <c r="N86" s="4"/>
      <c r="O86" s="4"/>
      <c r="P86" s="4" t="str">
        <f t="shared" si="10"/>
        <v>totexc</v>
      </c>
      <c r="Q86" s="4"/>
      <c r="R86" s="4"/>
      <c r="S86" s="4" t="s">
        <v>58</v>
      </c>
      <c r="T86" s="4"/>
      <c r="U86" s="4" t="str">
        <f t="shared" si="8"/>
        <v>co2</v>
      </c>
      <c r="V86" s="7" t="s">
        <v>22</v>
      </c>
    </row>
    <row r="87" spans="4:22" x14ac:dyDescent="0.45">
      <c r="D87" s="18" t="s">
        <v>413</v>
      </c>
      <c r="E87" s="4" t="str">
        <f>[1]Mitigation!G15367</f>
        <v>irn.mit.ch4.tot.2</v>
      </c>
      <c r="F87" s="4" t="str">
        <f t="shared" si="7"/>
        <v>N/A</v>
      </c>
      <c r="G87" s="4" t="str">
        <f t="shared" si="9"/>
        <v>irn.mit.emis_all.all.all.ch4.mtco2e.2</v>
      </c>
      <c r="H87" s="4" t="s">
        <v>19</v>
      </c>
      <c r="I87" s="4" t="s">
        <v>45</v>
      </c>
      <c r="J87" s="4" t="s">
        <v>46</v>
      </c>
      <c r="K87" s="4" t="s">
        <v>47</v>
      </c>
      <c r="L87" s="4" t="s">
        <v>48</v>
      </c>
      <c r="M87" s="4"/>
      <c r="N87" s="4"/>
      <c r="O87" s="4"/>
      <c r="P87" s="4" t="str">
        <f t="shared" si="10"/>
        <v>totexc</v>
      </c>
      <c r="Q87" s="4"/>
      <c r="R87" s="4"/>
      <c r="S87" s="4" t="s">
        <v>70</v>
      </c>
      <c r="T87" s="4"/>
      <c r="U87" s="4" t="str">
        <f t="shared" si="8"/>
        <v>ch4</v>
      </c>
      <c r="V87" s="7" t="s">
        <v>22</v>
      </c>
    </row>
    <row r="88" spans="4:22" x14ac:dyDescent="0.45">
      <c r="D88" s="18" t="s">
        <v>414</v>
      </c>
      <c r="E88" s="4" t="str">
        <f>[1]Mitigation!G15368</f>
        <v>irn.mit.nox.tot.2</v>
      </c>
      <c r="F88" s="4" t="str">
        <f t="shared" si="7"/>
        <v>N/A</v>
      </c>
      <c r="G88" s="4" t="str">
        <f t="shared" si="9"/>
        <v>irn.mit.emis_all.all.all.nox.mtco2e.2</v>
      </c>
      <c r="H88" s="4" t="s">
        <v>19</v>
      </c>
      <c r="I88" s="4" t="s">
        <v>45</v>
      </c>
      <c r="J88" s="4" t="s">
        <v>46</v>
      </c>
      <c r="K88" s="4" t="s">
        <v>47</v>
      </c>
      <c r="L88" s="4" t="s">
        <v>48</v>
      </c>
      <c r="M88" s="4"/>
      <c r="N88" s="4"/>
      <c r="O88" s="4"/>
      <c r="P88" s="4" t="str">
        <f t="shared" si="10"/>
        <v>totexc</v>
      </c>
      <c r="Q88" s="4"/>
      <c r="R88" s="4"/>
      <c r="S88" s="4" t="s">
        <v>71</v>
      </c>
      <c r="T88" s="4"/>
      <c r="U88" s="4" t="str">
        <f t="shared" si="8"/>
        <v>nox</v>
      </c>
      <c r="V88" s="7" t="s">
        <v>22</v>
      </c>
    </row>
    <row r="89" spans="4:22" x14ac:dyDescent="0.45">
      <c r="D89" s="18" t="s">
        <v>415</v>
      </c>
      <c r="E89" s="4" t="str">
        <f>[1]Mitigation!G15369</f>
        <v>irn.mit.fga.tot.2</v>
      </c>
      <c r="F89" s="4" t="str">
        <f t="shared" si="7"/>
        <v>N/A</v>
      </c>
      <c r="G89" s="4" t="str">
        <f t="shared" si="9"/>
        <v>irn.mit.emis_all.all.all.fga.mtco2e.2</v>
      </c>
      <c r="H89" s="4" t="s">
        <v>19</v>
      </c>
      <c r="I89" s="4" t="s">
        <v>45</v>
      </c>
      <c r="J89" s="4" t="s">
        <v>46</v>
      </c>
      <c r="K89" s="4" t="s">
        <v>47</v>
      </c>
      <c r="L89" s="4" t="s">
        <v>48</v>
      </c>
      <c r="M89" s="4"/>
      <c r="N89" s="4"/>
      <c r="O89" s="4"/>
      <c r="P89" s="4" t="str">
        <f t="shared" si="10"/>
        <v>totexc</v>
      </c>
      <c r="Q89" s="4"/>
      <c r="R89" s="4"/>
      <c r="S89" s="4" t="s">
        <v>72</v>
      </c>
      <c r="T89" s="4"/>
      <c r="U89" s="4" t="str">
        <f t="shared" si="8"/>
        <v>fga</v>
      </c>
      <c r="V89" s="7" t="s">
        <v>22</v>
      </c>
    </row>
    <row r="90" spans="4:22" x14ac:dyDescent="0.45">
      <c r="D90" s="40" t="str">
        <f>[1]Mitigation!D15379</f>
        <v>Total methane, incl. LULUCF (baseline)</v>
      </c>
      <c r="E90" s="4" t="str">
        <f>[1]Mitigation!G15379</f>
        <v>irn.mit.ghg.tot.inc.ch4.1</v>
      </c>
      <c r="F90" s="4" t="str">
        <f t="shared" si="7"/>
        <v>N/A</v>
      </c>
      <c r="G90" s="4" t="str">
        <f t="shared" si="9"/>
        <v>irn.mit.emis_all.all.all.ch4.mtco2e.1</v>
      </c>
      <c r="H90" s="4" t="s">
        <v>19</v>
      </c>
      <c r="I90" s="4" t="s">
        <v>45</v>
      </c>
      <c r="J90" s="4" t="s">
        <v>46</v>
      </c>
      <c r="K90" s="4" t="s">
        <v>47</v>
      </c>
      <c r="L90" s="4" t="s">
        <v>50</v>
      </c>
      <c r="M90" s="4"/>
      <c r="N90" s="4"/>
      <c r="O90" s="4"/>
      <c r="P90" s="4" t="str">
        <f t="shared" si="10"/>
        <v>totinc</v>
      </c>
      <c r="Q90" s="4"/>
      <c r="R90" s="4"/>
      <c r="S90" s="4" t="s">
        <v>70</v>
      </c>
      <c r="T90" s="4"/>
      <c r="U90" s="4" t="str">
        <f t="shared" si="8"/>
        <v>ch4</v>
      </c>
      <c r="V90" s="7" t="s">
        <v>40</v>
      </c>
    </row>
    <row r="91" spans="4:22" x14ac:dyDescent="0.45">
      <c r="D91" s="40" t="str">
        <f>[1]Mitigation!D15380</f>
        <v>Total methane, excl. LULUCF (baseline)</v>
      </c>
      <c r="E91" s="4" t="str">
        <f>[1]Mitigation!G15380</f>
        <v>irn.mit.ghg.tot.exc.ch4.1</v>
      </c>
      <c r="F91" s="4" t="str">
        <f t="shared" si="7"/>
        <v>N/A</v>
      </c>
      <c r="G91" s="4" t="str">
        <f t="shared" si="9"/>
        <v>irn.mit.emis_all.all.all.ch4.mtco2e.1</v>
      </c>
      <c r="H91" s="4" t="s">
        <v>19</v>
      </c>
      <c r="I91" s="4" t="s">
        <v>45</v>
      </c>
      <c r="J91" s="4" t="s">
        <v>46</v>
      </c>
      <c r="K91" s="4" t="s">
        <v>47</v>
      </c>
      <c r="L91" s="4" t="s">
        <v>48</v>
      </c>
      <c r="M91" s="4"/>
      <c r="N91" s="4"/>
      <c r="O91" s="4"/>
      <c r="P91" s="4" t="str">
        <f t="shared" si="10"/>
        <v>totexc</v>
      </c>
      <c r="Q91" s="4"/>
      <c r="R91" s="4"/>
      <c r="S91" s="4" t="s">
        <v>70</v>
      </c>
      <c r="T91" s="4"/>
      <c r="U91" s="4" t="str">
        <f t="shared" si="8"/>
        <v>ch4</v>
      </c>
      <c r="V91" s="7" t="s">
        <v>40</v>
      </c>
    </row>
    <row r="92" spans="4:22" x14ac:dyDescent="0.45">
      <c r="D92" s="18" t="str">
        <f>[1]Mitigation!D15373</f>
        <v>Methane: energy (baseline)</v>
      </c>
      <c r="E92" s="4" t="str">
        <f>[1]Mitigation!G15373</f>
        <v>irn.mit.ghg.enr.ch4.1</v>
      </c>
      <c r="F92" s="4" t="str">
        <f t="shared" si="7"/>
        <v>N/A</v>
      </c>
      <c r="G92" s="4" t="str">
        <f t="shared" si="9"/>
        <v>irn.mit.emis_u.all.all.ch4.mtco2e.1</v>
      </c>
      <c r="H92" s="4" t="s">
        <v>19</v>
      </c>
      <c r="I92" s="4" t="s">
        <v>45</v>
      </c>
      <c r="J92" s="4" t="s">
        <v>51</v>
      </c>
      <c r="K92" s="4" t="s">
        <v>47</v>
      </c>
      <c r="L92" s="4" t="s">
        <v>73</v>
      </c>
      <c r="M92" s="4"/>
      <c r="N92" s="4"/>
      <c r="O92" s="4"/>
      <c r="P92" s="4" t="str">
        <f t="shared" si="10"/>
        <v>enr</v>
      </c>
      <c r="Q92" s="4"/>
      <c r="R92" s="4"/>
      <c r="S92" s="4" t="s">
        <v>70</v>
      </c>
      <c r="T92" s="4"/>
      <c r="U92" s="4" t="str">
        <f t="shared" si="8"/>
        <v>ch4</v>
      </c>
      <c r="V92" s="7" t="s">
        <v>40</v>
      </c>
    </row>
    <row r="93" spans="4:22" x14ac:dyDescent="0.45">
      <c r="D93" s="18" t="str">
        <f>[1]Mitigation!D15374</f>
        <v>Methane: industrial processes (baseline)</v>
      </c>
      <c r="E93" s="4" t="str">
        <f>[1]Mitigation!G15374</f>
        <v>irn.mit.ghg.ipr.ch4.1</v>
      </c>
      <c r="F93" s="4" t="str">
        <f t="shared" si="7"/>
        <v>N/A</v>
      </c>
      <c r="G93" s="4" t="str">
        <f t="shared" si="9"/>
        <v>irn.mit.emis_u.all.all.ch4.mtco2e.1</v>
      </c>
      <c r="H93" s="4" t="s">
        <v>19</v>
      </c>
      <c r="I93" s="4" t="s">
        <v>45</v>
      </c>
      <c r="J93" s="4" t="s">
        <v>51</v>
      </c>
      <c r="K93" s="4" t="s">
        <v>47</v>
      </c>
      <c r="L93" s="4" t="s">
        <v>74</v>
      </c>
      <c r="M93" s="4"/>
      <c r="N93" s="4"/>
      <c r="O93" s="4"/>
      <c r="P93" s="4" t="str">
        <f t="shared" si="10"/>
        <v>ipr</v>
      </c>
      <c r="Q93" s="4"/>
      <c r="R93" s="4"/>
      <c r="S93" s="4" t="s">
        <v>70</v>
      </c>
      <c r="T93" s="4"/>
      <c r="U93" s="4" t="str">
        <f t="shared" si="8"/>
        <v>ch4</v>
      </c>
      <c r="V93" s="7" t="s">
        <v>40</v>
      </c>
    </row>
    <row r="94" spans="4:22" x14ac:dyDescent="0.45">
      <c r="D94" s="18" t="str">
        <f>[1]Mitigation!D15375</f>
        <v>Methane: agriculture</v>
      </c>
      <c r="E94" s="4" t="str">
        <f>[1]Mitigation!G15375</f>
        <v>irn.mit.ghg.agr.ch4.1</v>
      </c>
      <c r="F94" s="4" t="str">
        <f t="shared" si="7"/>
        <v>N/A</v>
      </c>
      <c r="G94" s="4" t="str">
        <f t="shared" si="9"/>
        <v>irn.mit.emis_u.all.all.ch4.mtco2e.1</v>
      </c>
      <c r="H94" s="4" t="s">
        <v>19</v>
      </c>
      <c r="I94" s="4" t="s">
        <v>45</v>
      </c>
      <c r="J94" s="4" t="s">
        <v>51</v>
      </c>
      <c r="K94" s="4" t="s">
        <v>47</v>
      </c>
      <c r="L94" s="4" t="s">
        <v>75</v>
      </c>
      <c r="M94" s="4"/>
      <c r="N94" s="4"/>
      <c r="O94" s="4"/>
      <c r="P94" s="4" t="str">
        <f t="shared" si="10"/>
        <v>agr</v>
      </c>
      <c r="Q94" s="4"/>
      <c r="R94" s="4"/>
      <c r="S94" s="4" t="s">
        <v>70</v>
      </c>
      <c r="T94" s="4"/>
      <c r="U94" s="4" t="str">
        <f t="shared" si="8"/>
        <v>ch4</v>
      </c>
      <c r="V94" s="7" t="s">
        <v>40</v>
      </c>
    </row>
    <row r="95" spans="4:22" x14ac:dyDescent="0.45">
      <c r="D95" s="18" t="str">
        <f>[1]Mitigation!D15376</f>
        <v>Methane: LULUCF (baseline)</v>
      </c>
      <c r="E95" s="4" t="str">
        <f>[1]Mitigation!G15376</f>
        <v>irn.mit.ghg.lucf.ch4.1</v>
      </c>
      <c r="F95" s="4" t="str">
        <f t="shared" si="7"/>
        <v>N/A</v>
      </c>
      <c r="G95" s="4" t="str">
        <f t="shared" si="9"/>
        <v>irn.mit.emis_u.all.all.ch4.mtco2e.1</v>
      </c>
      <c r="H95" s="4" t="s">
        <v>19</v>
      </c>
      <c r="I95" s="4" t="s">
        <v>45</v>
      </c>
      <c r="J95" s="4" t="s">
        <v>51</v>
      </c>
      <c r="K95" s="4" t="s">
        <v>47</v>
      </c>
      <c r="L95" s="4" t="s">
        <v>76</v>
      </c>
      <c r="M95" s="4"/>
      <c r="N95" s="4"/>
      <c r="O95" s="4"/>
      <c r="P95" s="4" t="str">
        <f t="shared" si="10"/>
        <v>lucf</v>
      </c>
      <c r="Q95" s="4"/>
      <c r="R95" s="4"/>
      <c r="S95" s="4" t="s">
        <v>70</v>
      </c>
      <c r="T95" s="4"/>
      <c r="U95" s="4" t="str">
        <f t="shared" si="8"/>
        <v>ch4</v>
      </c>
      <c r="V95" s="7" t="s">
        <v>40</v>
      </c>
    </row>
    <row r="96" spans="4:22" x14ac:dyDescent="0.45">
      <c r="D96" s="18" t="str">
        <f>[1]Mitigation!D15377</f>
        <v>Methane: waste (baseline)</v>
      </c>
      <c r="E96" s="4" t="str">
        <f>[1]Mitigation!G15377</f>
        <v>irn.mit.ghg.wst.ch4.1</v>
      </c>
      <c r="F96" s="4" t="str">
        <f t="shared" si="7"/>
        <v>N/A</v>
      </c>
      <c r="G96" s="4" t="str">
        <f t="shared" si="9"/>
        <v>irn.mit.emis_u.all.all.ch4.mtco2e.1</v>
      </c>
      <c r="H96" s="4" t="s">
        <v>19</v>
      </c>
      <c r="I96" s="4" t="s">
        <v>45</v>
      </c>
      <c r="J96" s="4" t="s">
        <v>51</v>
      </c>
      <c r="K96" s="4" t="s">
        <v>47</v>
      </c>
      <c r="L96" s="4" t="s">
        <v>77</v>
      </c>
      <c r="M96" s="4"/>
      <c r="N96" s="4"/>
      <c r="O96" s="4"/>
      <c r="P96" s="4" t="str">
        <f t="shared" si="10"/>
        <v>wst</v>
      </c>
      <c r="Q96" s="4"/>
      <c r="R96" s="4"/>
      <c r="S96" s="4" t="s">
        <v>70</v>
      </c>
      <c r="T96" s="4"/>
      <c r="U96" s="4" t="str">
        <f t="shared" si="8"/>
        <v>ch4</v>
      </c>
      <c r="V96" s="7" t="s">
        <v>40</v>
      </c>
    </row>
    <row r="97" spans="4:22" x14ac:dyDescent="0.45">
      <c r="D97" s="18" t="str">
        <f>[1]Mitigation!D15378</f>
        <v>Methane: other (baseline)</v>
      </c>
      <c r="E97" s="4" t="str">
        <f>[1]Mitigation!G15378</f>
        <v>irn.mit.ghg.oth.ch4.1</v>
      </c>
      <c r="F97" s="4" t="str">
        <f t="shared" si="7"/>
        <v>N/A</v>
      </c>
      <c r="G97" s="4" t="str">
        <f t="shared" si="9"/>
        <v>irn.mit.emis_u.all.all.ch4.mtco2e.1</v>
      </c>
      <c r="H97" s="4" t="s">
        <v>19</v>
      </c>
      <c r="I97" s="4" t="s">
        <v>45</v>
      </c>
      <c r="J97" s="4" t="s">
        <v>51</v>
      </c>
      <c r="K97" s="4" t="s">
        <v>47</v>
      </c>
      <c r="L97" s="4" t="s">
        <v>30</v>
      </c>
      <c r="M97" s="4"/>
      <c r="N97" s="4"/>
      <c r="O97" s="4"/>
      <c r="P97" s="4" t="str">
        <f t="shared" si="10"/>
        <v>oth</v>
      </c>
      <c r="Q97" s="4"/>
      <c r="R97" s="4"/>
      <c r="S97" s="4" t="s">
        <v>70</v>
      </c>
      <c r="T97" s="4"/>
      <c r="U97" s="4" t="str">
        <f t="shared" si="8"/>
        <v>ch4</v>
      </c>
      <c r="V97" s="7" t="s">
        <v>40</v>
      </c>
    </row>
    <row r="98" spans="4:22" x14ac:dyDescent="0.45">
      <c r="D98" s="18" t="str">
        <f>[1]Mitigation!D15381</f>
        <v>Methane: memo energy distribution (baseline)</v>
      </c>
      <c r="E98" s="4" t="str">
        <f>[1]Mitigation!G15381</f>
        <v>irn.mit.ghg.fug.ch4.1</v>
      </c>
      <c r="F98" s="4" t="str">
        <f t="shared" si="7"/>
        <v>N/A</v>
      </c>
      <c r="G98" s="4" t="str">
        <f t="shared" si="9"/>
        <v>irn.mit.emis_u.all.all.ch4.mtco2e.1</v>
      </c>
      <c r="H98" s="4" t="s">
        <v>19</v>
      </c>
      <c r="I98" s="4" t="s">
        <v>45</v>
      </c>
      <c r="J98" s="4" t="s">
        <v>51</v>
      </c>
      <c r="K98" s="4" t="s">
        <v>47</v>
      </c>
      <c r="L98" s="4" t="s">
        <v>78</v>
      </c>
      <c r="M98" s="4"/>
      <c r="N98" s="4"/>
      <c r="O98" s="4"/>
      <c r="P98" s="4" t="str">
        <f t="shared" si="10"/>
        <v>fug</v>
      </c>
      <c r="Q98" s="4"/>
      <c r="R98" s="4"/>
      <c r="S98" s="4" t="s">
        <v>70</v>
      </c>
      <c r="T98" s="4"/>
      <c r="U98" s="4" t="str">
        <f t="shared" si="8"/>
        <v>ch4</v>
      </c>
      <c r="V98" s="7" t="s">
        <v>40</v>
      </c>
    </row>
    <row r="99" spans="4:22" x14ac:dyDescent="0.45">
      <c r="D99" s="40" t="str">
        <f>[1]Mitigation!D15388</f>
        <v>Total methane, incl. LULUCF (policy)</v>
      </c>
      <c r="E99" s="4" t="str">
        <f>[1]Mitigation!G15388</f>
        <v>irn.mit.ghg.tot.inc.ch4.2</v>
      </c>
      <c r="F99" s="4" t="str">
        <f t="shared" ref="F99:F141" si="11">IF(MTAct,E99&amp;"_"&amp;MSTScenarioID,"N/A")</f>
        <v>N/A</v>
      </c>
      <c r="G99" s="4" t="str">
        <f t="shared" si="9"/>
        <v>irn.mit.emis_all.all.all.ch4.mtco2e.2</v>
      </c>
      <c r="H99" s="4" t="s">
        <v>19</v>
      </c>
      <c r="I99" s="4" t="s">
        <v>45</v>
      </c>
      <c r="J99" s="4" t="s">
        <v>46</v>
      </c>
      <c r="K99" s="4" t="s">
        <v>47</v>
      </c>
      <c r="L99" s="4" t="s">
        <v>50</v>
      </c>
      <c r="M99" s="4"/>
      <c r="N99" s="4"/>
      <c r="O99" s="4"/>
      <c r="P99" s="4" t="str">
        <f t="shared" si="10"/>
        <v>totinc</v>
      </c>
      <c r="Q99" s="4"/>
      <c r="R99" s="4"/>
      <c r="S99" s="4" t="s">
        <v>70</v>
      </c>
      <c r="T99" s="4"/>
      <c r="U99" s="4" t="str">
        <f t="shared" si="8"/>
        <v>ch4</v>
      </c>
      <c r="V99" s="7" t="s">
        <v>22</v>
      </c>
    </row>
    <row r="100" spans="4:22" x14ac:dyDescent="0.45">
      <c r="D100" s="40" t="str">
        <f>[1]Mitigation!D15389</f>
        <v>Total methane, excl. LULUCF (policy)</v>
      </c>
      <c r="E100" s="4" t="str">
        <f>[1]Mitigation!G15389</f>
        <v>irn.mit.ghg.tot.exc.ch4.2</v>
      </c>
      <c r="F100" s="4" t="str">
        <f t="shared" si="11"/>
        <v>N/A</v>
      </c>
      <c r="G100" s="4" t="str">
        <f t="shared" si="9"/>
        <v>irn.mit.emis_all.all.all.ch4.mtco2e.2</v>
      </c>
      <c r="H100" s="4" t="s">
        <v>19</v>
      </c>
      <c r="I100" s="4" t="s">
        <v>45</v>
      </c>
      <c r="J100" s="4" t="s">
        <v>46</v>
      </c>
      <c r="K100" s="4" t="s">
        <v>47</v>
      </c>
      <c r="L100" s="4" t="s">
        <v>48</v>
      </c>
      <c r="M100" s="4"/>
      <c r="N100" s="4"/>
      <c r="O100" s="4"/>
      <c r="P100" s="4" t="str">
        <f t="shared" si="10"/>
        <v>totexc</v>
      </c>
      <c r="Q100" s="4"/>
      <c r="R100" s="4"/>
      <c r="S100" s="4" t="s">
        <v>70</v>
      </c>
      <c r="T100" s="4"/>
      <c r="U100" s="4" t="str">
        <f t="shared" si="8"/>
        <v>ch4</v>
      </c>
      <c r="V100" s="7" t="s">
        <v>22</v>
      </c>
    </row>
    <row r="101" spans="4:22" x14ac:dyDescent="0.45">
      <c r="D101" s="18" t="str">
        <f>[1]Mitigation!D15382</f>
        <v>Methane: energy (policy)</v>
      </c>
      <c r="E101" s="4" t="str">
        <f>[1]Mitigation!G15382</f>
        <v>irn.mit.ghg.enr.ch4.2</v>
      </c>
      <c r="F101" s="4" t="str">
        <f t="shared" si="11"/>
        <v>N/A</v>
      </c>
      <c r="G101" s="4" t="str">
        <f t="shared" si="9"/>
        <v>irn.mit.emis_u.all.all.ch4.mtco2e.2</v>
      </c>
      <c r="H101" s="4" t="s">
        <v>19</v>
      </c>
      <c r="I101" s="4" t="s">
        <v>45</v>
      </c>
      <c r="J101" s="4" t="s">
        <v>51</v>
      </c>
      <c r="K101" s="4" t="s">
        <v>47</v>
      </c>
      <c r="L101" s="4" t="s">
        <v>73</v>
      </c>
      <c r="M101" s="4"/>
      <c r="N101" s="4"/>
      <c r="O101" s="4"/>
      <c r="P101" s="4" t="str">
        <f t="shared" si="10"/>
        <v>enr</v>
      </c>
      <c r="Q101" s="4"/>
      <c r="R101" s="4"/>
      <c r="S101" s="4" t="s">
        <v>70</v>
      </c>
      <c r="T101" s="4"/>
      <c r="U101" s="4" t="str">
        <f t="shared" si="8"/>
        <v>ch4</v>
      </c>
      <c r="V101" s="7" t="s">
        <v>22</v>
      </c>
    </row>
    <row r="102" spans="4:22" x14ac:dyDescent="0.45">
      <c r="D102" s="18" t="str">
        <f>[1]Mitigation!D15383</f>
        <v>Methane: industrial processes (policy)</v>
      </c>
      <c r="E102" s="4" t="str">
        <f>[1]Mitigation!G15383</f>
        <v>irn.mit.ghg.ipr.ch4.2</v>
      </c>
      <c r="F102" s="4" t="str">
        <f t="shared" si="11"/>
        <v>N/A</v>
      </c>
      <c r="G102" s="4" t="str">
        <f t="shared" si="9"/>
        <v>irn.mit.emis_u.all.all.ch4.mtco2e.2</v>
      </c>
      <c r="H102" s="4" t="s">
        <v>19</v>
      </c>
      <c r="I102" s="4" t="s">
        <v>45</v>
      </c>
      <c r="J102" s="4" t="s">
        <v>51</v>
      </c>
      <c r="K102" s="4" t="s">
        <v>47</v>
      </c>
      <c r="L102" s="4" t="s">
        <v>74</v>
      </c>
      <c r="M102" s="4"/>
      <c r="N102" s="4"/>
      <c r="O102" s="4"/>
      <c r="P102" s="4" t="str">
        <f t="shared" si="10"/>
        <v>ipr</v>
      </c>
      <c r="Q102" s="4"/>
      <c r="R102" s="4"/>
      <c r="S102" s="4" t="s">
        <v>70</v>
      </c>
      <c r="T102" s="4"/>
      <c r="U102" s="4" t="str">
        <f t="shared" si="8"/>
        <v>ch4</v>
      </c>
      <c r="V102" s="7" t="s">
        <v>22</v>
      </c>
    </row>
    <row r="103" spans="4:22" x14ac:dyDescent="0.45">
      <c r="D103" s="18" t="str">
        <f>[1]Mitigation!D15384</f>
        <v>Methane: agriculture</v>
      </c>
      <c r="E103" s="4" t="str">
        <f>[1]Mitigation!G15384</f>
        <v>irn.mit.ghg.agr.ch4.2</v>
      </c>
      <c r="F103" s="4" t="str">
        <f t="shared" si="11"/>
        <v>N/A</v>
      </c>
      <c r="G103" s="4" t="str">
        <f t="shared" si="9"/>
        <v>irn.mit.emis_u.all.all.ch4.mtco2e.2</v>
      </c>
      <c r="H103" s="4" t="s">
        <v>19</v>
      </c>
      <c r="I103" s="4" t="s">
        <v>45</v>
      </c>
      <c r="J103" s="4" t="s">
        <v>51</v>
      </c>
      <c r="K103" s="4" t="s">
        <v>47</v>
      </c>
      <c r="L103" s="4" t="s">
        <v>75</v>
      </c>
      <c r="M103" s="4"/>
      <c r="N103" s="4"/>
      <c r="O103" s="4"/>
      <c r="P103" s="4" t="str">
        <f t="shared" si="10"/>
        <v>agr</v>
      </c>
      <c r="Q103" s="4"/>
      <c r="R103" s="4"/>
      <c r="S103" s="4" t="s">
        <v>70</v>
      </c>
      <c r="T103" s="4"/>
      <c r="U103" s="4" t="str">
        <f t="shared" si="8"/>
        <v>ch4</v>
      </c>
      <c r="V103" s="7" t="s">
        <v>22</v>
      </c>
    </row>
    <row r="104" spans="4:22" x14ac:dyDescent="0.45">
      <c r="D104" s="18" t="str">
        <f>[1]Mitigation!D15385</f>
        <v>Methane: LULUCF (policy)</v>
      </c>
      <c r="E104" s="4" t="str">
        <f>[1]Mitigation!G15385</f>
        <v>irn.mit.ghg.lucf.ch4.2</v>
      </c>
      <c r="F104" s="4" t="str">
        <f t="shared" si="11"/>
        <v>N/A</v>
      </c>
      <c r="G104" s="4" t="str">
        <f t="shared" si="9"/>
        <v>irn.mit.emis_u.all.all.ch4.mtco2e.2</v>
      </c>
      <c r="H104" s="4" t="s">
        <v>19</v>
      </c>
      <c r="I104" s="4" t="s">
        <v>45</v>
      </c>
      <c r="J104" s="4" t="s">
        <v>51</v>
      </c>
      <c r="K104" s="4" t="s">
        <v>47</v>
      </c>
      <c r="L104" s="4" t="s">
        <v>76</v>
      </c>
      <c r="M104" s="4"/>
      <c r="N104" s="4"/>
      <c r="O104" s="4"/>
      <c r="P104" s="4" t="str">
        <f t="shared" si="10"/>
        <v>lucf</v>
      </c>
      <c r="Q104" s="4"/>
      <c r="R104" s="4"/>
      <c r="S104" s="4" t="s">
        <v>70</v>
      </c>
      <c r="T104" s="4"/>
      <c r="U104" s="4" t="str">
        <f t="shared" si="8"/>
        <v>ch4</v>
      </c>
      <c r="V104" s="7" t="s">
        <v>22</v>
      </c>
    </row>
    <row r="105" spans="4:22" x14ac:dyDescent="0.45">
      <c r="D105" s="18" t="str">
        <f>[1]Mitigation!D15386</f>
        <v>Methane: waste (policy)</v>
      </c>
      <c r="E105" s="4" t="str">
        <f>[1]Mitigation!G15386</f>
        <v>irn.mit.ghg.wst.ch4.2</v>
      </c>
      <c r="F105" s="4" t="str">
        <f t="shared" si="11"/>
        <v>N/A</v>
      </c>
      <c r="G105" s="4" t="str">
        <f t="shared" si="9"/>
        <v>irn.mit.emis_u.all.all.ch4.mtco2e.2</v>
      </c>
      <c r="H105" s="4" t="s">
        <v>19</v>
      </c>
      <c r="I105" s="4" t="s">
        <v>45</v>
      </c>
      <c r="J105" s="4" t="s">
        <v>51</v>
      </c>
      <c r="K105" s="4" t="s">
        <v>47</v>
      </c>
      <c r="L105" s="4" t="s">
        <v>77</v>
      </c>
      <c r="M105" s="4"/>
      <c r="N105" s="4"/>
      <c r="O105" s="4"/>
      <c r="P105" s="4" t="str">
        <f t="shared" si="10"/>
        <v>wst</v>
      </c>
      <c r="Q105" s="4"/>
      <c r="R105" s="4"/>
      <c r="S105" s="4" t="s">
        <v>70</v>
      </c>
      <c r="T105" s="4"/>
      <c r="U105" s="4" t="str">
        <f t="shared" si="8"/>
        <v>ch4</v>
      </c>
      <c r="V105" s="7" t="s">
        <v>22</v>
      </c>
    </row>
    <row r="106" spans="4:22" x14ac:dyDescent="0.45">
      <c r="D106" s="18" t="str">
        <f>[1]Mitigation!D15387</f>
        <v>Methane: other (policy)</v>
      </c>
      <c r="E106" s="4" t="str">
        <f>[1]Mitigation!G15387</f>
        <v>irn.mit.ghg.oth.ch4.2</v>
      </c>
      <c r="F106" s="4" t="str">
        <f t="shared" si="11"/>
        <v>N/A</v>
      </c>
      <c r="G106" s="4" t="str">
        <f t="shared" si="9"/>
        <v>irn.mit.emis_u.all.all.ch4.mtco2e.2</v>
      </c>
      <c r="H106" s="4" t="s">
        <v>19</v>
      </c>
      <c r="I106" s="4" t="s">
        <v>45</v>
      </c>
      <c r="J106" s="4" t="s">
        <v>51</v>
      </c>
      <c r="K106" s="4" t="s">
        <v>47</v>
      </c>
      <c r="L106" s="4" t="s">
        <v>30</v>
      </c>
      <c r="M106" s="4"/>
      <c r="N106" s="4"/>
      <c r="O106" s="4"/>
      <c r="P106" s="4" t="str">
        <f t="shared" si="10"/>
        <v>oth</v>
      </c>
      <c r="Q106" s="4"/>
      <c r="R106" s="4"/>
      <c r="S106" s="4" t="s">
        <v>70</v>
      </c>
      <c r="T106" s="4"/>
      <c r="U106" s="4" t="str">
        <f t="shared" si="8"/>
        <v>ch4</v>
      </c>
      <c r="V106" s="7" t="s">
        <v>22</v>
      </c>
    </row>
    <row r="107" spans="4:22" x14ac:dyDescent="0.45">
      <c r="D107" s="18" t="str">
        <f>[1]Mitigation!D15390</f>
        <v>Methane: memo energy distribution (policy)</v>
      </c>
      <c r="E107" s="4" t="str">
        <f>[1]Mitigation!G15390</f>
        <v>irn.mit.ghg.fug.ch4.2</v>
      </c>
      <c r="F107" s="4" t="str">
        <f t="shared" si="11"/>
        <v>N/A</v>
      </c>
      <c r="G107" s="4" t="str">
        <f t="shared" si="9"/>
        <v>irn.mit.emis_u.all.all.ch4.mtco2e.2</v>
      </c>
      <c r="H107" s="4" t="s">
        <v>19</v>
      </c>
      <c r="I107" s="4" t="s">
        <v>45</v>
      </c>
      <c r="J107" s="4" t="s">
        <v>51</v>
      </c>
      <c r="K107" s="4" t="s">
        <v>47</v>
      </c>
      <c r="L107" s="4" t="s">
        <v>78</v>
      </c>
      <c r="M107" s="4"/>
      <c r="N107" s="4"/>
      <c r="O107" s="4"/>
      <c r="P107" s="4" t="str">
        <f t="shared" si="10"/>
        <v>fug</v>
      </c>
      <c r="Q107" s="4"/>
      <c r="R107" s="4"/>
      <c r="S107" s="4" t="s">
        <v>70</v>
      </c>
      <c r="T107" s="4"/>
      <c r="U107" s="4" t="str">
        <f t="shared" si="8"/>
        <v>ch4</v>
      </c>
      <c r="V107" s="7" t="s">
        <v>22</v>
      </c>
    </row>
    <row r="108" spans="4:22" x14ac:dyDescent="0.45">
      <c r="D108" s="39" t="s">
        <v>416</v>
      </c>
      <c r="E108" s="4" t="str">
        <f>LOWER(_Country_code)&amp;".mit.ghg.index.1"</f>
        <v>irn.mit.ghg.index.1</v>
      </c>
      <c r="F108" s="4" t="str">
        <f t="shared" si="11"/>
        <v>N/A</v>
      </c>
      <c r="G108" s="4" t="str">
        <f t="shared" si="9"/>
        <v>irn.mit.emis_all.all.all.all.index.1</v>
      </c>
      <c r="H108" s="4" t="s">
        <v>19</v>
      </c>
      <c r="I108" s="4" t="s">
        <v>45</v>
      </c>
      <c r="J108" s="4" t="s">
        <v>46</v>
      </c>
      <c r="K108" s="4" t="s">
        <v>79</v>
      </c>
      <c r="L108" s="4" t="s">
        <v>80</v>
      </c>
      <c r="M108" s="4"/>
      <c r="N108" s="4"/>
      <c r="O108" s="4"/>
      <c r="P108" s="4" t="str">
        <f t="shared" si="10"/>
        <v>ghgind</v>
      </c>
      <c r="Q108" s="4"/>
      <c r="R108" s="4"/>
      <c r="S108" s="4"/>
      <c r="T108" s="4"/>
      <c r="U108" s="4" t="str">
        <f t="shared" si="8"/>
        <v/>
      </c>
      <c r="V108" s="7" t="s">
        <v>40</v>
      </c>
    </row>
    <row r="109" spans="4:22" x14ac:dyDescent="0.45">
      <c r="D109" s="39" t="str">
        <f>"GHG emissions, policy (2018=100)"</f>
        <v>GHG emissions, policy (2018=100)</v>
      </c>
      <c r="E109" s="4" t="str">
        <f>LOWER(_Country_code)&amp;".mit.ghg.index."&amp;ScenarioNum</f>
        <v>irn.mit.ghg.index.2</v>
      </c>
      <c r="F109" s="4" t="str">
        <f t="shared" si="11"/>
        <v>N/A</v>
      </c>
      <c r="G109" s="4" t="str">
        <f t="shared" si="9"/>
        <v>irn.mit.emis_all.all.all.all.index.2</v>
      </c>
      <c r="H109" s="4" t="s">
        <v>19</v>
      </c>
      <c r="I109" s="4" t="s">
        <v>45</v>
      </c>
      <c r="J109" s="4" t="s">
        <v>46</v>
      </c>
      <c r="K109" s="4" t="s">
        <v>79</v>
      </c>
      <c r="L109" s="4" t="s">
        <v>80</v>
      </c>
      <c r="M109" s="4"/>
      <c r="N109" s="4"/>
      <c r="O109" s="4"/>
      <c r="P109" s="4" t="str">
        <f t="shared" si="10"/>
        <v>ghgind</v>
      </c>
      <c r="Q109" s="4"/>
      <c r="R109" s="4"/>
      <c r="S109" s="4"/>
      <c r="T109" s="4"/>
      <c r="U109" s="4" t="str">
        <f t="shared" si="8"/>
        <v/>
      </c>
      <c r="V109" s="7" t="s">
        <v>22</v>
      </c>
    </row>
    <row r="110" spans="4:22" x14ac:dyDescent="0.45">
      <c r="D110" s="40" t="s">
        <v>417</v>
      </c>
      <c r="E110" s="4" t="str">
        <f>LOWER(_Country_code)&amp;".mit.ghg.tot.inc.red.pct"</f>
        <v>irn.mit.ghg.tot.inc.red.pct</v>
      </c>
      <c r="F110" s="4" t="str">
        <f t="shared" si="11"/>
        <v>N/A</v>
      </c>
      <c r="G110" s="4" t="str">
        <f t="shared" si="9"/>
        <v>irn.mit.ghgchange_.all.all.ghg.pc.2</v>
      </c>
      <c r="H110" s="4" t="s">
        <v>19</v>
      </c>
      <c r="I110" s="4" t="s">
        <v>81</v>
      </c>
      <c r="J110" s="4" t="s">
        <v>18</v>
      </c>
      <c r="K110" s="4" t="s">
        <v>21</v>
      </c>
      <c r="L110" s="4" t="s">
        <v>50</v>
      </c>
      <c r="M110" s="4"/>
      <c r="N110" s="4"/>
      <c r="O110" s="4"/>
      <c r="P110" s="4" t="str">
        <f t="shared" si="10"/>
        <v>totinc</v>
      </c>
      <c r="Q110" s="4"/>
      <c r="R110" s="4"/>
      <c r="S110" s="4" t="s">
        <v>49</v>
      </c>
      <c r="T110" s="4"/>
      <c r="U110" s="4" t="str">
        <f t="shared" si="8"/>
        <v>ghg</v>
      </c>
      <c r="V110" s="7">
        <v>2</v>
      </c>
    </row>
    <row r="111" spans="4:22" x14ac:dyDescent="0.45">
      <c r="D111" s="19" t="s">
        <v>418</v>
      </c>
      <c r="E111" s="4" t="str">
        <f>LOWER(_Country_code)&amp;".mit.ndc.option"</f>
        <v>irn.mit.ndc.option</v>
      </c>
      <c r="F111" s="4" t="str">
        <f t="shared" si="11"/>
        <v>N/A</v>
      </c>
      <c r="G111" s="4" t="str">
        <f t="shared" si="9"/>
        <v>irn.mit.ndcoption_.all._.all.text.1</v>
      </c>
      <c r="H111" s="4" t="s">
        <v>19</v>
      </c>
      <c r="I111" s="4" t="s">
        <v>82</v>
      </c>
      <c r="J111" s="4" t="s">
        <v>18</v>
      </c>
      <c r="K111" s="4" t="s">
        <v>83</v>
      </c>
      <c r="L111" s="4" t="s">
        <v>84</v>
      </c>
      <c r="M111" s="4"/>
      <c r="N111" s="4"/>
      <c r="O111" s="4"/>
      <c r="P111" s="4" t="str">
        <f t="shared" si="10"/>
        <v>option</v>
      </c>
      <c r="Q111" s="4" t="s">
        <v>85</v>
      </c>
      <c r="R111" s="4"/>
      <c r="S111" s="4"/>
      <c r="T111" s="4"/>
      <c r="U111" s="4" t="str">
        <f t="shared" si="8"/>
        <v/>
      </c>
      <c r="V111" s="8">
        <v>1</v>
      </c>
    </row>
    <row r="112" spans="4:22" x14ac:dyDescent="0.45">
      <c r="D112" s="19" t="s">
        <v>419</v>
      </c>
      <c r="E112" s="4" t="str">
        <f>[1]Mitigation!H15616</f>
        <v>irn.mit.ndc.desc.lng</v>
      </c>
      <c r="F112" s="4" t="str">
        <f t="shared" si="11"/>
        <v>N/A</v>
      </c>
      <c r="G112" s="4" t="str">
        <f t="shared" si="9"/>
        <v>irn.mit.ndcdesclong_.all.all.all.text.1</v>
      </c>
      <c r="H112" s="4" t="s">
        <v>19</v>
      </c>
      <c r="I112" s="4" t="s">
        <v>86</v>
      </c>
      <c r="J112" s="4" t="s">
        <v>18</v>
      </c>
      <c r="K112" s="4" t="s">
        <v>83</v>
      </c>
      <c r="L112" s="4" t="s">
        <v>87</v>
      </c>
      <c r="M112" s="4"/>
      <c r="N112" s="4"/>
      <c r="O112" s="4"/>
      <c r="P112" s="4" t="str">
        <f t="shared" si="10"/>
        <v>desc</v>
      </c>
      <c r="Q112" s="4"/>
      <c r="R112" s="4"/>
      <c r="S112" s="4"/>
      <c r="T112" s="4"/>
      <c r="U112" s="4" t="str">
        <f t="shared" si="8"/>
        <v/>
      </c>
      <c r="V112" s="8">
        <v>1</v>
      </c>
    </row>
    <row r="113" spans="4:22" x14ac:dyDescent="0.45">
      <c r="D113" s="19" t="s">
        <v>420</v>
      </c>
      <c r="E113" s="4" t="str">
        <f>[1]Mitigation!H15617</f>
        <v>irn.mit.ndc.desc.sht</v>
      </c>
      <c r="F113" s="4" t="str">
        <f t="shared" si="11"/>
        <v>N/A</v>
      </c>
      <c r="G113" s="4" t="str">
        <f t="shared" si="9"/>
        <v>irn.mit.ndcdescshort_.all.all.all.text.1</v>
      </c>
      <c r="H113" s="4" t="s">
        <v>19</v>
      </c>
      <c r="I113" s="4" t="s">
        <v>88</v>
      </c>
      <c r="J113" s="4" t="s">
        <v>18</v>
      </c>
      <c r="K113" s="4" t="s">
        <v>83</v>
      </c>
      <c r="L113" s="4" t="s">
        <v>87</v>
      </c>
      <c r="M113" s="4"/>
      <c r="N113" s="4"/>
      <c r="O113" s="4"/>
      <c r="P113" s="4" t="str">
        <f t="shared" si="10"/>
        <v>desc</v>
      </c>
      <c r="Q113" s="4"/>
      <c r="R113" s="4"/>
      <c r="S113" s="4"/>
      <c r="T113" s="4"/>
      <c r="U113" s="4" t="str">
        <f t="shared" si="8"/>
        <v/>
      </c>
      <c r="V113" s="8">
        <v>1</v>
      </c>
    </row>
    <row r="114" spans="4:22" x14ac:dyDescent="0.45">
      <c r="D114" s="39" t="s">
        <v>421</v>
      </c>
      <c r="E114" s="4" t="str">
        <f>LOWER(_Country_code)&amp;".mit.undc.index"</f>
        <v>irn.mit.undc.index</v>
      </c>
      <c r="F114" s="4" t="str">
        <f t="shared" si="11"/>
        <v>N/A</v>
      </c>
      <c r="G114" s="4" t="str">
        <f t="shared" si="9"/>
        <v>irn.mit.ndcunct_.all.all.all.index.1</v>
      </c>
      <c r="H114" s="4" t="s">
        <v>19</v>
      </c>
      <c r="I114" s="4" t="s">
        <v>89</v>
      </c>
      <c r="J114" s="4" t="s">
        <v>18</v>
      </c>
      <c r="K114" s="4" t="s">
        <v>79</v>
      </c>
      <c r="L114" s="4" t="s">
        <v>79</v>
      </c>
      <c r="M114" s="4"/>
      <c r="N114" s="4"/>
      <c r="O114" s="4"/>
      <c r="P114" s="4" t="str">
        <f t="shared" si="10"/>
        <v>index</v>
      </c>
      <c r="Q114" s="4"/>
      <c r="R114" s="4"/>
      <c r="S114" s="4"/>
      <c r="T114" s="4"/>
      <c r="U114" s="4" t="str">
        <f t="shared" si="8"/>
        <v/>
      </c>
      <c r="V114" s="7">
        <v>1</v>
      </c>
    </row>
    <row r="115" spans="4:22" x14ac:dyDescent="0.45">
      <c r="D115" s="39" t="s">
        <v>422</v>
      </c>
      <c r="E115" s="4" t="str">
        <f>LOWER(_Country_code)&amp;".mit.cndc.index"</f>
        <v>irn.mit.cndc.index</v>
      </c>
      <c r="F115" s="4" t="str">
        <f t="shared" si="11"/>
        <v>N/A</v>
      </c>
      <c r="G115" s="4" t="str">
        <f t="shared" si="9"/>
        <v>irn.mit.ndccont_.all.all.all.index.1</v>
      </c>
      <c r="H115" s="4" t="s">
        <v>19</v>
      </c>
      <c r="I115" s="4" t="s">
        <v>90</v>
      </c>
      <c r="J115" s="4" t="s">
        <v>18</v>
      </c>
      <c r="K115" s="4" t="s">
        <v>79</v>
      </c>
      <c r="L115" s="4" t="s">
        <v>79</v>
      </c>
      <c r="M115" s="4"/>
      <c r="N115" s="4"/>
      <c r="O115" s="4"/>
      <c r="P115" s="4" t="str">
        <f t="shared" si="10"/>
        <v>index</v>
      </c>
      <c r="Q115" s="4"/>
      <c r="R115" s="4"/>
      <c r="S115" s="4"/>
      <c r="T115" s="4"/>
      <c r="U115" s="4" t="str">
        <f t="shared" si="8"/>
        <v/>
      </c>
      <c r="V115" s="7">
        <v>1</v>
      </c>
    </row>
    <row r="116" spans="4:22" x14ac:dyDescent="0.45">
      <c r="D116" s="19" t="s">
        <v>423</v>
      </c>
      <c r="E116" s="4" t="str">
        <f>LOWER(_Country_code)&amp;".mit.undc.trg.ton"</f>
        <v>irn.mit.undc.trg.ton</v>
      </c>
      <c r="F116" s="4" t="str">
        <f t="shared" si="11"/>
        <v>N/A</v>
      </c>
      <c r="G116" s="4" t="str">
        <f t="shared" si="9"/>
        <v>irn.mit.ndcunclevel_.all.all.all.ton.1</v>
      </c>
      <c r="H116" s="4" t="s">
        <v>19</v>
      </c>
      <c r="I116" s="4" t="s">
        <v>91</v>
      </c>
      <c r="J116" s="4" t="s">
        <v>18</v>
      </c>
      <c r="K116" s="4" t="s">
        <v>92</v>
      </c>
      <c r="L116" s="4" t="s">
        <v>93</v>
      </c>
      <c r="M116" s="4"/>
      <c r="N116" s="4"/>
      <c r="O116" s="4"/>
      <c r="P116" s="4" t="str">
        <f t="shared" si="10"/>
        <v>trg</v>
      </c>
      <c r="Q116" s="4"/>
      <c r="R116" s="4"/>
      <c r="S116" s="4"/>
      <c r="T116" s="4"/>
      <c r="U116" s="4" t="str">
        <f t="shared" si="8"/>
        <v/>
      </c>
      <c r="V116" s="7">
        <v>1</v>
      </c>
    </row>
    <row r="117" spans="4:22" x14ac:dyDescent="0.45">
      <c r="D117" s="19" t="s">
        <v>424</v>
      </c>
      <c r="E117" s="4" t="str">
        <f>LOWER(_Country_code)&amp;".mit.cndc.trg.ton"</f>
        <v>irn.mit.cndc.trg.ton</v>
      </c>
      <c r="F117" s="4" t="str">
        <f t="shared" si="11"/>
        <v>N/A</v>
      </c>
      <c r="G117" s="4" t="str">
        <f t="shared" si="9"/>
        <v>irn.mit.ndcconlevel_.all.all.all.ton.1</v>
      </c>
      <c r="H117" s="4" t="s">
        <v>19</v>
      </c>
      <c r="I117" s="4" t="s">
        <v>94</v>
      </c>
      <c r="J117" s="4" t="s">
        <v>18</v>
      </c>
      <c r="K117" s="4" t="s">
        <v>92</v>
      </c>
      <c r="L117" s="4" t="s">
        <v>93</v>
      </c>
      <c r="M117" s="4"/>
      <c r="N117" s="4"/>
      <c r="O117" s="4"/>
      <c r="P117" s="4" t="str">
        <f t="shared" si="10"/>
        <v>trg</v>
      </c>
      <c r="Q117" s="4"/>
      <c r="R117" s="4"/>
      <c r="S117" s="4"/>
      <c r="T117" s="4"/>
      <c r="U117" s="4" t="str">
        <f t="shared" si="8"/>
        <v/>
      </c>
      <c r="V117" s="7">
        <v>1</v>
      </c>
    </row>
    <row r="118" spans="4:22" x14ac:dyDescent="0.45">
      <c r="D118" s="19" t="s">
        <v>425</v>
      </c>
      <c r="E118" s="4" t="str">
        <f>LOWER(_Country_code)&amp;".mit.undc.2030.pct"</f>
        <v>irn.mit.undc.2030.pct</v>
      </c>
      <c r="F118" s="4" t="str">
        <f t="shared" si="11"/>
        <v>N/A</v>
      </c>
      <c r="G118" s="4" t="str">
        <f t="shared" si="9"/>
        <v>irn.mit.undc_.all.all.2030.pct.1</v>
      </c>
      <c r="H118" s="4" t="s">
        <v>19</v>
      </c>
      <c r="I118" s="4" t="s">
        <v>95</v>
      </c>
      <c r="J118" s="4" t="s">
        <v>18</v>
      </c>
      <c r="K118" s="4" t="s">
        <v>96</v>
      </c>
      <c r="L118" s="4"/>
      <c r="M118" s="4"/>
      <c r="N118" s="4"/>
      <c r="O118" s="4"/>
      <c r="P118" s="4" t="str">
        <f t="shared" si="10"/>
        <v/>
      </c>
      <c r="Q118" s="4"/>
      <c r="R118" s="4"/>
      <c r="S118" s="4"/>
      <c r="T118" s="4">
        <v>2030</v>
      </c>
      <c r="U118" s="4" t="str">
        <f t="shared" si="8"/>
        <v>2030</v>
      </c>
      <c r="V118" s="7">
        <v>1</v>
      </c>
    </row>
    <row r="119" spans="4:22" x14ac:dyDescent="0.45">
      <c r="D119" s="19" t="s">
        <v>426</v>
      </c>
      <c r="E119" s="4" t="str">
        <f>LOWER(_Country_code)&amp;".mit.cndc.2030.pct"</f>
        <v>irn.mit.cndc.2030.pct</v>
      </c>
      <c r="F119" s="4" t="str">
        <f t="shared" si="11"/>
        <v>N/A</v>
      </c>
      <c r="G119" s="4" t="str">
        <f t="shared" si="9"/>
        <v>irn.mit.cndc_.all.all.2030.pct.1</v>
      </c>
      <c r="H119" s="4" t="s">
        <v>19</v>
      </c>
      <c r="I119" s="4" t="s">
        <v>97</v>
      </c>
      <c r="J119" s="4" t="s">
        <v>18</v>
      </c>
      <c r="K119" s="4" t="s">
        <v>96</v>
      </c>
      <c r="L119" s="4"/>
      <c r="M119" s="4"/>
      <c r="N119" s="4"/>
      <c r="O119" s="4"/>
      <c r="P119" s="4" t="str">
        <f t="shared" si="10"/>
        <v/>
      </c>
      <c r="Q119" s="4"/>
      <c r="R119" s="4"/>
      <c r="S119" s="4"/>
      <c r="T119" s="4">
        <v>2030</v>
      </c>
      <c r="U119" s="4" t="str">
        <f t="shared" si="8"/>
        <v>2030</v>
      </c>
      <c r="V119" s="7">
        <v>1</v>
      </c>
    </row>
    <row r="120" spans="4:22" x14ac:dyDescent="0.45">
      <c r="D120" s="19" t="s">
        <v>427</v>
      </c>
      <c r="E120" s="4" t="str">
        <f>LOWER(_Country_code)&amp;".mit.andc.2030.pct"</f>
        <v>irn.mit.andc.2030.pct</v>
      </c>
      <c r="F120" s="4" t="str">
        <f t="shared" si="11"/>
        <v>N/A</v>
      </c>
      <c r="G120" s="4" t="str">
        <f t="shared" si="9"/>
        <v>irn.mit.andc_.all.all.2030.pct.1</v>
      </c>
      <c r="H120" s="4" t="s">
        <v>19</v>
      </c>
      <c r="I120" s="4" t="s">
        <v>98</v>
      </c>
      <c r="J120" s="4" t="s">
        <v>18</v>
      </c>
      <c r="K120" s="4" t="s">
        <v>96</v>
      </c>
      <c r="L120" s="4"/>
      <c r="M120" s="4"/>
      <c r="N120" s="4"/>
      <c r="O120" s="4"/>
      <c r="P120" s="4" t="str">
        <f t="shared" si="10"/>
        <v/>
      </c>
      <c r="Q120" s="4"/>
      <c r="R120" s="4"/>
      <c r="S120" s="4"/>
      <c r="T120" s="4">
        <v>2030</v>
      </c>
      <c r="U120" s="4" t="str">
        <f t="shared" si="8"/>
        <v>2030</v>
      </c>
      <c r="V120" s="7">
        <v>1</v>
      </c>
    </row>
    <row r="121" spans="4:22" x14ac:dyDescent="0.45">
      <c r="D121" s="2"/>
      <c r="E121" s="2"/>
      <c r="F121" s="2"/>
      <c r="G121" s="2" t="str">
        <f t="shared" si="9"/>
        <v/>
      </c>
      <c r="H121" s="2" t="s">
        <v>18</v>
      </c>
      <c r="I121" s="2"/>
      <c r="J121" s="2" t="s">
        <v>18</v>
      </c>
      <c r="K121" s="2"/>
      <c r="L121" s="2"/>
      <c r="M121" s="2"/>
      <c r="N121" s="2"/>
      <c r="O121" s="2"/>
      <c r="P121" s="2" t="str">
        <f t="shared" si="10"/>
        <v/>
      </c>
      <c r="Q121" s="2"/>
      <c r="R121" s="2"/>
      <c r="S121" s="2"/>
      <c r="T121" s="2"/>
      <c r="U121" s="2" t="str">
        <f t="shared" si="8"/>
        <v/>
      </c>
      <c r="V121" s="3"/>
    </row>
    <row r="122" spans="4:22" x14ac:dyDescent="0.45">
      <c r="D122" t="s">
        <v>428</v>
      </c>
      <c r="E122" s="4" t="str">
        <f>LOWER(_Country_code)&amp;".mit.emin.cem"</f>
        <v>irn.mit.emin.cem</v>
      </c>
      <c r="F122" s="4" t="str">
        <f t="shared" si="11"/>
        <v>N/A</v>
      </c>
      <c r="G122" s="4"/>
      <c r="H122" s="4" t="s">
        <v>19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4:22" x14ac:dyDescent="0.45">
      <c r="D123" t="s">
        <v>429</v>
      </c>
      <c r="E123" s="4" t="str">
        <f>LOWER(_Country_code)&amp;".mit.emin.irn"</f>
        <v>irn.mit.emin.irn</v>
      </c>
      <c r="F123" s="4" t="str">
        <f t="shared" si="11"/>
        <v>N/A</v>
      </c>
      <c r="G123" s="4"/>
      <c r="H123" s="4" t="s">
        <v>19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4:22" x14ac:dyDescent="0.45">
      <c r="D124" t="s">
        <v>430</v>
      </c>
      <c r="E124" s="4" t="str">
        <f>LOWER(_Country_code)&amp;".mit.emin.mch"</f>
        <v>irn.mit.emin.mch</v>
      </c>
      <c r="F124" s="4" t="str">
        <f t="shared" si="11"/>
        <v>N/A</v>
      </c>
      <c r="G124" s="4"/>
      <c r="H124" s="4" t="s">
        <v>19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4:22" x14ac:dyDescent="0.45">
      <c r="D125" t="s">
        <v>431</v>
      </c>
      <c r="E125" s="4" t="str">
        <f>LOWER(_Country_code)&amp;".mit.emin.man"</f>
        <v>irn.mit.emin.man</v>
      </c>
      <c r="F125" s="4" t="str">
        <f t="shared" si="11"/>
        <v>N/A</v>
      </c>
      <c r="G125" s="4"/>
      <c r="H125" s="4" t="s">
        <v>19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4:22" x14ac:dyDescent="0.45">
      <c r="D126" t="s">
        <v>432</v>
      </c>
      <c r="E126" s="4" t="str">
        <f>LOWER(_Country_code)&amp;".mit.emin.oth"</f>
        <v>irn.mit.emin.oth</v>
      </c>
      <c r="F126" s="4" t="str">
        <f t="shared" si="11"/>
        <v>N/A</v>
      </c>
      <c r="G126" s="4"/>
      <c r="H126" s="4" t="s">
        <v>19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4:22" x14ac:dyDescent="0.45">
      <c r="D127" t="s">
        <v>433</v>
      </c>
      <c r="E127" s="4" t="str">
        <f>LOWER(_Country_code)&amp;".mit.emin.foo"</f>
        <v>irn.mit.emin.foo</v>
      </c>
      <c r="F127" s="4" t="str">
        <f t="shared" si="11"/>
        <v>N/A</v>
      </c>
      <c r="G127" s="4"/>
      <c r="H127" s="4" t="s">
        <v>19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4:22" x14ac:dyDescent="0.45">
      <c r="D128" t="s">
        <v>434</v>
      </c>
      <c r="E128" s="4" t="str">
        <f>LOWER(_Country_code)&amp;".mit.emin.srv"</f>
        <v>irn.mit.emin.srv</v>
      </c>
      <c r="F128" s="4" t="str">
        <f t="shared" si="11"/>
        <v>N/A</v>
      </c>
      <c r="G128" s="4"/>
      <c r="H128" s="4" t="s">
        <v>19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4:22" x14ac:dyDescent="0.45">
      <c r="D129" t="s">
        <v>435</v>
      </c>
      <c r="E129" s="4" t="str">
        <f>LOWER(_Country_code)&amp;".mit.emin.mac"</f>
        <v>irn.mit.emin.mac</v>
      </c>
      <c r="F129" s="4" t="str">
        <f t="shared" si="11"/>
        <v>N/A</v>
      </c>
      <c r="G129" s="4"/>
      <c r="H129" s="4" t="s">
        <v>19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4:22" x14ac:dyDescent="0.45">
      <c r="D130" t="s">
        <v>436</v>
      </c>
      <c r="E130" s="4" t="str">
        <f>LOWER(_Country_code)&amp;".mit.emin.cst"</f>
        <v>irn.mit.emin.cst</v>
      </c>
      <c r="F130" s="4" t="str">
        <f t="shared" si="11"/>
        <v>N/A</v>
      </c>
      <c r="G130" s="4"/>
      <c r="H130" s="4" t="s">
        <v>19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4:22" x14ac:dyDescent="0.45">
      <c r="D131" s="2"/>
      <c r="E131" s="2"/>
      <c r="F131" s="2"/>
      <c r="G131" s="2" t="str">
        <f>IF(D131="","",LOWER(_Country_code)&amp;"."&amp;H131&amp;"."&amp;IF(I131="","all",I131)&amp;"_"&amp;J131&amp;"."&amp;IF(R131="","all",R131)&amp;"."&amp;IF(Q131="","all",Q131)&amp;"."&amp;IF(U131="","all",U131)&amp;"."&amp;IF(K131="","all",K131)&amp;"."&amp;IF(V131="","all",V131))</f>
        <v/>
      </c>
      <c r="H131" s="2" t="s">
        <v>18</v>
      </c>
      <c r="I131" s="2"/>
      <c r="J131" s="2" t="s">
        <v>18</v>
      </c>
      <c r="K131" s="2"/>
      <c r="L131" s="2"/>
      <c r="M131" s="2"/>
      <c r="N131" s="2"/>
      <c r="O131" s="2"/>
      <c r="P131" s="2" t="str">
        <f>L131&amp;IF(N131="",M131,N131)&amp;O131</f>
        <v/>
      </c>
      <c r="Q131" s="2"/>
      <c r="R131" s="2"/>
      <c r="S131" s="2"/>
      <c r="T131" s="2"/>
      <c r="U131" s="2" t="str">
        <f>R131&amp;T131&amp;S131</f>
        <v/>
      </c>
      <c r="V131" s="3"/>
    </row>
    <row r="132" spans="4:22" x14ac:dyDescent="0.45">
      <c r="D132" s="17" t="s">
        <v>437</v>
      </c>
      <c r="E132" s="4" t="str">
        <f>LOWER(_Country_code)&amp;".mit.emin.ftr"</f>
        <v>irn.mit.emin.ftr</v>
      </c>
      <c r="F132" s="4" t="str">
        <f t="shared" si="11"/>
        <v>N/A</v>
      </c>
      <c r="G132" s="4"/>
      <c r="H132" s="4" t="s">
        <v>19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9"/>
    </row>
    <row r="133" spans="4:22" x14ac:dyDescent="0.45">
      <c r="D133" s="17" t="s">
        <v>438</v>
      </c>
      <c r="E133" s="4" t="str">
        <f>LOWER(_Country_code)&amp;".mit.emin.foo"</f>
        <v>irn.mit.emin.foo</v>
      </c>
      <c r="F133" s="4" t="str">
        <f t="shared" si="11"/>
        <v>N/A</v>
      </c>
      <c r="G133" s="4"/>
      <c r="H133" s="4" t="s">
        <v>19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9"/>
    </row>
    <row r="134" spans="4:22" x14ac:dyDescent="0.45">
      <c r="D134" s="17" t="s">
        <v>439</v>
      </c>
      <c r="E134" s="4" t="str">
        <f>LOWER(_Country_code)&amp;".mit.emin.mch"</f>
        <v>irn.mit.emin.mch</v>
      </c>
      <c r="F134" s="4" t="str">
        <f t="shared" si="11"/>
        <v>N/A</v>
      </c>
      <c r="G134" s="4"/>
      <c r="H134" s="4" t="s">
        <v>19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9"/>
    </row>
    <row r="135" spans="4:22" x14ac:dyDescent="0.45">
      <c r="D135" s="17" t="s">
        <v>440</v>
      </c>
      <c r="E135" s="4" t="str">
        <f>LOWER(_Country_code)&amp;".mit.emin.man"</f>
        <v>irn.mit.emin.man</v>
      </c>
      <c r="F135" s="4" t="str">
        <f t="shared" si="11"/>
        <v>N/A</v>
      </c>
      <c r="G135" s="4"/>
      <c r="H135" s="4" t="s">
        <v>19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9"/>
    </row>
    <row r="136" spans="4:22" x14ac:dyDescent="0.45">
      <c r="D136" s="17" t="s">
        <v>441</v>
      </c>
      <c r="E136" s="4" t="str">
        <f>LOWER(_Country_code)&amp;".mit.emin.cem"</f>
        <v>irn.mit.emin.cem</v>
      </c>
      <c r="F136" s="4" t="str">
        <f t="shared" si="11"/>
        <v>N/A</v>
      </c>
      <c r="G136" s="4"/>
      <c r="H136" s="4" t="s">
        <v>19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9"/>
    </row>
    <row r="137" spans="4:22" x14ac:dyDescent="0.45">
      <c r="D137" s="17" t="s">
        <v>442</v>
      </c>
      <c r="E137" s="4" t="str">
        <f>LOWER(_Country_code)&amp;".mit.emin.irn"</f>
        <v>irn.mit.emin.irn</v>
      </c>
      <c r="F137" s="4" t="str">
        <f t="shared" si="11"/>
        <v>N/A</v>
      </c>
      <c r="G137" s="4"/>
      <c r="H137" s="4" t="s">
        <v>19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9"/>
    </row>
    <row r="138" spans="4:22" x14ac:dyDescent="0.45">
      <c r="D138" s="17" t="s">
        <v>443</v>
      </c>
      <c r="E138" s="4" t="str">
        <f>LOWER(_Country_code)&amp;".mit.emin.con"</f>
        <v>irn.mit.emin.con</v>
      </c>
      <c r="F138" s="4" t="str">
        <f t="shared" si="11"/>
        <v>N/A</v>
      </c>
      <c r="G138" s="4"/>
      <c r="H138" s="4" t="s">
        <v>19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9"/>
    </row>
    <row r="139" spans="4:22" x14ac:dyDescent="0.45">
      <c r="D139" s="17" t="s">
        <v>444</v>
      </c>
      <c r="E139" s="4" t="str">
        <f>LOWER(_Country_code)&amp;".mit.emin.mac"</f>
        <v>irn.mit.emin.mac</v>
      </c>
      <c r="F139" s="4" t="str">
        <f t="shared" si="11"/>
        <v>N/A</v>
      </c>
      <c r="G139" s="4"/>
      <c r="H139" s="4" t="s">
        <v>19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9"/>
    </row>
    <row r="140" spans="4:22" x14ac:dyDescent="0.45">
      <c r="D140" s="17" t="s">
        <v>445</v>
      </c>
      <c r="E140" s="4" t="str">
        <f>LOWER(_Country_code)&amp;".mit.emin.oth"</f>
        <v>irn.mit.emin.oth</v>
      </c>
      <c r="F140" s="4" t="str">
        <f t="shared" si="11"/>
        <v>N/A</v>
      </c>
      <c r="G140" s="4"/>
      <c r="H140" s="4" t="s">
        <v>19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9"/>
    </row>
    <row r="141" spans="4:22" x14ac:dyDescent="0.45">
      <c r="D141" s="17" t="s">
        <v>446</v>
      </c>
      <c r="E141" s="4" t="str">
        <f>LOWER(_Country_code)&amp;".mit.emin.srv"</f>
        <v>irn.mit.emin.srv</v>
      </c>
      <c r="F141" s="4" t="str">
        <f t="shared" si="11"/>
        <v>N/A</v>
      </c>
      <c r="G141" s="4"/>
      <c r="H141" s="4" t="s">
        <v>19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9"/>
    </row>
    <row r="142" spans="4:22" x14ac:dyDescent="0.45">
      <c r="D142" s="2"/>
      <c r="E142" s="2"/>
      <c r="F142" s="2"/>
      <c r="G142" s="2" t="str">
        <f t="shared" si="9"/>
        <v/>
      </c>
      <c r="H142" s="2" t="s">
        <v>18</v>
      </c>
      <c r="I142" s="2"/>
      <c r="J142" s="2" t="s">
        <v>18</v>
      </c>
      <c r="K142" s="2"/>
      <c r="L142" s="2"/>
      <c r="M142" s="2"/>
      <c r="N142" s="2"/>
      <c r="O142" s="2"/>
      <c r="P142" s="2" t="str">
        <f t="shared" si="10"/>
        <v/>
      </c>
      <c r="Q142" s="2"/>
      <c r="R142" s="2"/>
      <c r="S142" s="2"/>
      <c r="T142" s="2"/>
      <c r="U142" s="2" t="str">
        <f t="shared" si="8"/>
        <v/>
      </c>
      <c r="V142" s="3"/>
    </row>
    <row r="143" spans="4:22" x14ac:dyDescent="0.45">
      <c r="D143" s="18" t="s">
        <v>447</v>
      </c>
      <c r="E143" s="4" t="str">
        <f>[1]Mitigation!H13475</f>
        <v>irn.mit.rp.all.ecy.wtd.1</v>
      </c>
      <c r="F143" s="4" t="str">
        <f t="shared" ref="F143:F218" si="12">IF(MTAct,E143&amp;"_"&amp;MSTScenarioID,"N/A")</f>
        <v>N/A</v>
      </c>
      <c r="G143" s="4" t="str">
        <f t="shared" si="9"/>
        <v>irn.mit.rp_.all.ecy.all.usdkwh.1</v>
      </c>
      <c r="H143" s="4" t="s">
        <v>19</v>
      </c>
      <c r="I143" s="4" t="s">
        <v>99</v>
      </c>
      <c r="J143" s="4" t="s">
        <v>18</v>
      </c>
      <c r="K143" s="4" t="s">
        <v>100</v>
      </c>
      <c r="L143" s="4"/>
      <c r="M143" s="4"/>
      <c r="N143" s="4"/>
      <c r="O143" s="4"/>
      <c r="P143" s="4" t="str">
        <f t="shared" si="10"/>
        <v/>
      </c>
      <c r="Q143" s="4" t="s">
        <v>101</v>
      </c>
      <c r="R143" s="4"/>
      <c r="S143" s="4"/>
      <c r="T143" s="4"/>
      <c r="U143" s="4" t="str">
        <f t="shared" si="8"/>
        <v/>
      </c>
      <c r="V143" s="10">
        <v>1</v>
      </c>
    </row>
    <row r="144" spans="4:22" x14ac:dyDescent="0.45">
      <c r="D144" s="18" t="s">
        <v>448</v>
      </c>
      <c r="E144" s="4" t="str">
        <f>[1]Mitigation!H13476</f>
        <v>irn.mit.rp.all.coa.wtd.1</v>
      </c>
      <c r="F144" s="4" t="str">
        <f t="shared" si="12"/>
        <v>N/A</v>
      </c>
      <c r="G144" s="4" t="str">
        <f t="shared" si="9"/>
        <v>irn.mit.rp_.all.coa.all.usdgj.1</v>
      </c>
      <c r="H144" s="4" t="s">
        <v>19</v>
      </c>
      <c r="I144" s="4" t="s">
        <v>99</v>
      </c>
      <c r="J144" s="4" t="s">
        <v>18</v>
      </c>
      <c r="K144" s="4" t="s">
        <v>102</v>
      </c>
      <c r="L144" s="4"/>
      <c r="M144" s="4"/>
      <c r="N144" s="4"/>
      <c r="O144" s="4"/>
      <c r="P144" s="4" t="str">
        <f t="shared" si="10"/>
        <v/>
      </c>
      <c r="Q144" s="4" t="s">
        <v>60</v>
      </c>
      <c r="R144" s="4"/>
      <c r="S144" s="4"/>
      <c r="T144" s="4"/>
      <c r="U144" s="4" t="str">
        <f t="shared" si="8"/>
        <v/>
      </c>
      <c r="V144" s="10">
        <v>1</v>
      </c>
    </row>
    <row r="145" spans="4:22" x14ac:dyDescent="0.45">
      <c r="D145" s="18" t="s">
        <v>449</v>
      </c>
      <c r="E145" s="4" t="str">
        <f>[1]Mitigation!H13477</f>
        <v>irn.mit.rp.all.nga.wtd.1</v>
      </c>
      <c r="F145" s="4" t="str">
        <f t="shared" si="12"/>
        <v>N/A</v>
      </c>
      <c r="G145" s="4" t="str">
        <f t="shared" si="9"/>
        <v>irn.mit.rp_.all.nga.all.usdgj.1</v>
      </c>
      <c r="H145" s="4" t="s">
        <v>19</v>
      </c>
      <c r="I145" s="4" t="s">
        <v>99</v>
      </c>
      <c r="J145" s="4" t="s">
        <v>18</v>
      </c>
      <c r="K145" s="4" t="s">
        <v>102</v>
      </c>
      <c r="L145" s="4"/>
      <c r="M145" s="4"/>
      <c r="N145" s="4"/>
      <c r="O145" s="4"/>
      <c r="P145" s="4" t="str">
        <f t="shared" si="10"/>
        <v/>
      </c>
      <c r="Q145" s="4" t="s">
        <v>61</v>
      </c>
      <c r="R145" s="4"/>
      <c r="S145" s="4"/>
      <c r="T145" s="4"/>
      <c r="U145" s="4" t="str">
        <f t="shared" si="8"/>
        <v/>
      </c>
      <c r="V145" s="10">
        <v>1</v>
      </c>
    </row>
    <row r="146" spans="4:22" x14ac:dyDescent="0.45">
      <c r="D146" s="18" t="s">
        <v>450</v>
      </c>
      <c r="E146" s="4" t="str">
        <f>[1]Mitigation!H13478</f>
        <v>irn.mit.rp.all.oil.wtd.1</v>
      </c>
      <c r="F146" s="4" t="str">
        <f t="shared" si="12"/>
        <v>N/A</v>
      </c>
      <c r="G146" s="4" t="str">
        <f t="shared" si="9"/>
        <v>irn.mit.rp_.all.oil.all.bbusdl.1</v>
      </c>
      <c r="H146" s="4" t="s">
        <v>19</v>
      </c>
      <c r="I146" s="4" t="s">
        <v>99</v>
      </c>
      <c r="J146" s="4" t="s">
        <v>18</v>
      </c>
      <c r="K146" s="4" t="s">
        <v>103</v>
      </c>
      <c r="L146" s="4"/>
      <c r="M146" s="4"/>
      <c r="N146" s="4"/>
      <c r="O146" s="4"/>
      <c r="P146" s="4" t="str">
        <f t="shared" si="10"/>
        <v/>
      </c>
      <c r="Q146" s="4" t="s">
        <v>62</v>
      </c>
      <c r="R146" s="4"/>
      <c r="S146" s="4"/>
      <c r="T146" s="4"/>
      <c r="U146" s="4" t="str">
        <f t="shared" si="8"/>
        <v/>
      </c>
      <c r="V146" s="10">
        <v>1</v>
      </c>
    </row>
    <row r="147" spans="4:22" x14ac:dyDescent="0.45">
      <c r="D147" s="18" t="s">
        <v>451</v>
      </c>
      <c r="E147" s="4" t="str">
        <f>[1]Mitigation!H13479</f>
        <v>irn.mit.rp.all.gso.wtd.1</v>
      </c>
      <c r="F147" s="4" t="str">
        <f t="shared" si="12"/>
        <v>N/A</v>
      </c>
      <c r="G147" s="4" t="str">
        <f t="shared" si="9"/>
        <v>irn.mit.rp_.all.gso.all.usdl.1</v>
      </c>
      <c r="H147" s="4" t="s">
        <v>19</v>
      </c>
      <c r="I147" s="4" t="s">
        <v>99</v>
      </c>
      <c r="J147" s="4" t="s">
        <v>18</v>
      </c>
      <c r="K147" s="4" t="s">
        <v>104</v>
      </c>
      <c r="L147" s="4"/>
      <c r="M147" s="4"/>
      <c r="N147" s="4"/>
      <c r="O147" s="4"/>
      <c r="P147" s="4" t="str">
        <f t="shared" si="10"/>
        <v/>
      </c>
      <c r="Q147" s="4" t="s">
        <v>63</v>
      </c>
      <c r="R147" s="4"/>
      <c r="S147" s="4"/>
      <c r="T147" s="4"/>
      <c r="U147" s="4" t="str">
        <f t="shared" si="8"/>
        <v/>
      </c>
      <c r="V147" s="10">
        <v>1</v>
      </c>
    </row>
    <row r="148" spans="4:22" x14ac:dyDescent="0.45">
      <c r="D148" s="18" t="s">
        <v>452</v>
      </c>
      <c r="E148" s="4" t="str">
        <f>[1]Mitigation!H13480</f>
        <v>irn.mit.rp.all.die.wtd.1</v>
      </c>
      <c r="F148" s="4" t="str">
        <f t="shared" si="12"/>
        <v>N/A</v>
      </c>
      <c r="G148" s="4" t="str">
        <f t="shared" si="9"/>
        <v>irn.mit.rp_.all.die.all.usdl.1</v>
      </c>
      <c r="H148" s="4" t="s">
        <v>19</v>
      </c>
      <c r="I148" s="4" t="s">
        <v>99</v>
      </c>
      <c r="J148" s="4" t="s">
        <v>18</v>
      </c>
      <c r="K148" s="4" t="s">
        <v>104</v>
      </c>
      <c r="L148" s="4"/>
      <c r="M148" s="4"/>
      <c r="N148" s="4"/>
      <c r="O148" s="4"/>
      <c r="P148" s="4" t="str">
        <f t="shared" si="10"/>
        <v/>
      </c>
      <c r="Q148" s="4" t="s">
        <v>64</v>
      </c>
      <c r="R148" s="4"/>
      <c r="S148" s="4"/>
      <c r="T148" s="4"/>
      <c r="U148" s="4" t="str">
        <f t="shared" si="8"/>
        <v/>
      </c>
      <c r="V148" s="10">
        <v>1</v>
      </c>
    </row>
    <row r="149" spans="4:22" x14ac:dyDescent="0.45">
      <c r="D149" s="18" t="s">
        <v>453</v>
      </c>
      <c r="E149" s="4" t="str">
        <f>[1]Mitigation!H13481</f>
        <v>irn.mit.rp.all.lpg.wtd.1</v>
      </c>
      <c r="F149" s="4" t="str">
        <f t="shared" si="12"/>
        <v>N/A</v>
      </c>
      <c r="G149" s="4" t="str">
        <f t="shared" si="9"/>
        <v>irn.mit.rp_.all.lpg.all.usdl.1</v>
      </c>
      <c r="H149" s="4" t="s">
        <v>19</v>
      </c>
      <c r="I149" s="4" t="s">
        <v>99</v>
      </c>
      <c r="J149" s="4" t="s">
        <v>18</v>
      </c>
      <c r="K149" s="4" t="s">
        <v>104</v>
      </c>
      <c r="L149" s="4"/>
      <c r="M149" s="4"/>
      <c r="N149" s="4"/>
      <c r="O149" s="4"/>
      <c r="P149" s="4" t="str">
        <f t="shared" si="10"/>
        <v/>
      </c>
      <c r="Q149" s="4" t="s">
        <v>65</v>
      </c>
      <c r="R149" s="4"/>
      <c r="S149" s="4"/>
      <c r="T149" s="4"/>
      <c r="U149" s="4" t="str">
        <f t="shared" si="8"/>
        <v/>
      </c>
      <c r="V149" s="10">
        <v>1</v>
      </c>
    </row>
    <row r="150" spans="4:22" x14ac:dyDescent="0.45">
      <c r="D150" s="18" t="s">
        <v>454</v>
      </c>
      <c r="E150" s="4" t="str">
        <f>[1]Mitigation!H13482</f>
        <v>irn.mit.rp.all.ker.wtd.1</v>
      </c>
      <c r="F150" s="4" t="str">
        <f t="shared" si="12"/>
        <v>N/A</v>
      </c>
      <c r="G150" s="4" t="str">
        <f t="shared" si="9"/>
        <v>irn.mit.rp_.all.ker.all.usdl.1</v>
      </c>
      <c r="H150" s="4" t="s">
        <v>19</v>
      </c>
      <c r="I150" s="4" t="s">
        <v>99</v>
      </c>
      <c r="J150" s="4" t="s">
        <v>18</v>
      </c>
      <c r="K150" s="4" t="s">
        <v>104</v>
      </c>
      <c r="L150" s="4"/>
      <c r="M150" s="4"/>
      <c r="N150" s="4"/>
      <c r="O150" s="4"/>
      <c r="P150" s="4" t="str">
        <f t="shared" si="10"/>
        <v/>
      </c>
      <c r="Q150" s="4" t="s">
        <v>66</v>
      </c>
      <c r="R150" s="4"/>
      <c r="S150" s="4"/>
      <c r="T150" s="4"/>
      <c r="U150" s="4" t="str">
        <f t="shared" si="8"/>
        <v/>
      </c>
      <c r="V150" s="10">
        <v>1</v>
      </c>
    </row>
    <row r="151" spans="4:22" x14ac:dyDescent="0.45">
      <c r="D151" s="18" t="s">
        <v>447</v>
      </c>
      <c r="E151" s="4" t="str">
        <f>[1]Mitigation!H13500</f>
        <v>irn.mit.rp.all.ecy.wtd.2</v>
      </c>
      <c r="F151" s="4" t="str">
        <f t="shared" si="12"/>
        <v>N/A</v>
      </c>
      <c r="G151" s="4" t="str">
        <f t="shared" si="9"/>
        <v>irn.mit.rp_.all.ecy.all.usdkwh.2</v>
      </c>
      <c r="H151" s="4" t="s">
        <v>19</v>
      </c>
      <c r="I151" s="4" t="s">
        <v>99</v>
      </c>
      <c r="J151" s="4" t="s">
        <v>18</v>
      </c>
      <c r="K151" s="4" t="s">
        <v>100</v>
      </c>
      <c r="L151" s="4"/>
      <c r="M151" s="4"/>
      <c r="N151" s="4"/>
      <c r="O151" s="4"/>
      <c r="P151" s="4" t="str">
        <f t="shared" si="10"/>
        <v/>
      </c>
      <c r="Q151" s="4" t="s">
        <v>101</v>
      </c>
      <c r="R151" s="4"/>
      <c r="S151" s="4"/>
      <c r="T151" s="4"/>
      <c r="U151" s="4" t="str">
        <f t="shared" si="8"/>
        <v/>
      </c>
      <c r="V151" s="10">
        <v>2</v>
      </c>
    </row>
    <row r="152" spans="4:22" x14ac:dyDescent="0.45">
      <c r="D152" s="18" t="s">
        <v>448</v>
      </c>
      <c r="E152" s="4" t="str">
        <f>[1]Mitigation!H13501</f>
        <v>irn.mit.rp.coa.wtd.2</v>
      </c>
      <c r="F152" s="4" t="str">
        <f t="shared" si="12"/>
        <v>N/A</v>
      </c>
      <c r="G152" s="4" t="str">
        <f t="shared" si="9"/>
        <v>irn.mit.rp_.all.coa.all.usdgj.2</v>
      </c>
      <c r="H152" s="4" t="s">
        <v>19</v>
      </c>
      <c r="I152" s="4" t="s">
        <v>99</v>
      </c>
      <c r="J152" s="4" t="s">
        <v>18</v>
      </c>
      <c r="K152" s="4" t="s">
        <v>102</v>
      </c>
      <c r="L152" s="4"/>
      <c r="M152" s="4"/>
      <c r="N152" s="4"/>
      <c r="O152" s="4"/>
      <c r="P152" s="4" t="str">
        <f t="shared" si="10"/>
        <v/>
      </c>
      <c r="Q152" s="4" t="s">
        <v>60</v>
      </c>
      <c r="R152" s="4"/>
      <c r="S152" s="4"/>
      <c r="T152" s="4"/>
      <c r="U152" s="4" t="str">
        <f t="shared" si="8"/>
        <v/>
      </c>
      <c r="V152" s="10">
        <v>2</v>
      </c>
    </row>
    <row r="153" spans="4:22" x14ac:dyDescent="0.45">
      <c r="D153" s="18" t="s">
        <v>449</v>
      </c>
      <c r="E153" s="4" t="str">
        <f>[1]Mitigation!H13502</f>
        <v>irn.mit.rp.nga.wtd.2</v>
      </c>
      <c r="F153" s="4" t="str">
        <f t="shared" si="12"/>
        <v>N/A</v>
      </c>
      <c r="G153" s="4" t="str">
        <f t="shared" si="9"/>
        <v>irn.mit.rp_.all.nga.all.usdgj.2</v>
      </c>
      <c r="H153" s="4" t="s">
        <v>19</v>
      </c>
      <c r="I153" s="4" t="s">
        <v>99</v>
      </c>
      <c r="J153" s="4" t="s">
        <v>18</v>
      </c>
      <c r="K153" s="4" t="s">
        <v>102</v>
      </c>
      <c r="L153" s="4"/>
      <c r="M153" s="4"/>
      <c r="N153" s="4"/>
      <c r="O153" s="4"/>
      <c r="P153" s="4" t="str">
        <f t="shared" si="10"/>
        <v/>
      </c>
      <c r="Q153" s="4" t="s">
        <v>61</v>
      </c>
      <c r="R153" s="4"/>
      <c r="S153" s="4"/>
      <c r="T153" s="4"/>
      <c r="U153" s="4" t="str">
        <f t="shared" si="8"/>
        <v/>
      </c>
      <c r="V153" s="10">
        <v>2</v>
      </c>
    </row>
    <row r="154" spans="4:22" x14ac:dyDescent="0.45">
      <c r="D154" s="18" t="s">
        <v>450</v>
      </c>
      <c r="E154" s="4" t="str">
        <f>[1]Mitigation!H13503</f>
        <v>irn.mit.rp.oil.wtd.2</v>
      </c>
      <c r="F154" s="4" t="str">
        <f t="shared" si="12"/>
        <v>N/A</v>
      </c>
      <c r="G154" s="4" t="str">
        <f t="shared" si="9"/>
        <v>irn.mit.rp_.all.oil.all.bbusdl.2</v>
      </c>
      <c r="H154" s="4" t="s">
        <v>19</v>
      </c>
      <c r="I154" s="4" t="s">
        <v>99</v>
      </c>
      <c r="J154" s="4" t="s">
        <v>18</v>
      </c>
      <c r="K154" s="4" t="s">
        <v>103</v>
      </c>
      <c r="L154" s="4"/>
      <c r="M154" s="4"/>
      <c r="N154" s="4"/>
      <c r="O154" s="4"/>
      <c r="P154" s="4" t="str">
        <f t="shared" si="10"/>
        <v/>
      </c>
      <c r="Q154" s="4" t="s">
        <v>62</v>
      </c>
      <c r="R154" s="4"/>
      <c r="S154" s="4"/>
      <c r="T154" s="4"/>
      <c r="U154" s="4" t="str">
        <f t="shared" si="8"/>
        <v/>
      </c>
      <c r="V154" s="10">
        <v>2</v>
      </c>
    </row>
    <row r="155" spans="4:22" x14ac:dyDescent="0.45">
      <c r="D155" s="18" t="s">
        <v>451</v>
      </c>
      <c r="E155" s="4" t="str">
        <f>[1]Mitigation!H13504</f>
        <v>irn.mit.rp.gso.wtd.2</v>
      </c>
      <c r="F155" s="4" t="str">
        <f t="shared" si="12"/>
        <v>N/A</v>
      </c>
      <c r="G155" s="4" t="str">
        <f t="shared" si="9"/>
        <v>irn.mit.rp_.all.gso.all.usdl.2</v>
      </c>
      <c r="H155" s="4" t="s">
        <v>19</v>
      </c>
      <c r="I155" s="4" t="s">
        <v>99</v>
      </c>
      <c r="J155" s="4" t="s">
        <v>18</v>
      </c>
      <c r="K155" s="4" t="s">
        <v>104</v>
      </c>
      <c r="L155" s="4"/>
      <c r="M155" s="4"/>
      <c r="N155" s="4"/>
      <c r="O155" s="4"/>
      <c r="P155" s="4" t="str">
        <f t="shared" si="10"/>
        <v/>
      </c>
      <c r="Q155" s="4" t="s">
        <v>63</v>
      </c>
      <c r="R155" s="4"/>
      <c r="S155" s="4"/>
      <c r="T155" s="4"/>
      <c r="U155" s="4" t="str">
        <f t="shared" si="8"/>
        <v/>
      </c>
      <c r="V155" s="10">
        <v>2</v>
      </c>
    </row>
    <row r="156" spans="4:22" x14ac:dyDescent="0.45">
      <c r="D156" s="18" t="s">
        <v>452</v>
      </c>
      <c r="E156" s="4" t="str">
        <f>[1]Mitigation!H13505</f>
        <v>irn.mit.rp.die.wtd.2</v>
      </c>
      <c r="F156" s="4" t="str">
        <f t="shared" si="12"/>
        <v>N/A</v>
      </c>
      <c r="G156" s="4" t="str">
        <f t="shared" si="9"/>
        <v>irn.mit.rp_.all.die.all.usdl.2</v>
      </c>
      <c r="H156" s="4" t="s">
        <v>19</v>
      </c>
      <c r="I156" s="4" t="s">
        <v>99</v>
      </c>
      <c r="J156" s="4" t="s">
        <v>18</v>
      </c>
      <c r="K156" s="4" t="s">
        <v>104</v>
      </c>
      <c r="L156" s="4"/>
      <c r="M156" s="4"/>
      <c r="N156" s="4"/>
      <c r="O156" s="4"/>
      <c r="P156" s="4" t="str">
        <f t="shared" si="10"/>
        <v/>
      </c>
      <c r="Q156" s="4" t="s">
        <v>64</v>
      </c>
      <c r="R156" s="4"/>
      <c r="S156" s="4"/>
      <c r="T156" s="4"/>
      <c r="U156" s="4" t="str">
        <f t="shared" si="8"/>
        <v/>
      </c>
      <c r="V156" s="10">
        <v>2</v>
      </c>
    </row>
    <row r="157" spans="4:22" x14ac:dyDescent="0.45">
      <c r="D157" s="18" t="s">
        <v>453</v>
      </c>
      <c r="E157" s="4" t="str">
        <f>[1]Mitigation!H13506</f>
        <v>irn.mit.rp.lpg.wtd.2</v>
      </c>
      <c r="F157" s="4" t="str">
        <f t="shared" si="12"/>
        <v>N/A</v>
      </c>
      <c r="G157" s="4" t="str">
        <f t="shared" si="9"/>
        <v>irn.mit.rp_.all.lpg.all.usdl.2</v>
      </c>
      <c r="H157" s="4" t="s">
        <v>19</v>
      </c>
      <c r="I157" s="4" t="s">
        <v>99</v>
      </c>
      <c r="J157" s="4" t="s">
        <v>18</v>
      </c>
      <c r="K157" s="4" t="s">
        <v>104</v>
      </c>
      <c r="L157" s="4"/>
      <c r="M157" s="4"/>
      <c r="N157" s="4"/>
      <c r="O157" s="4"/>
      <c r="P157" s="4" t="str">
        <f t="shared" si="10"/>
        <v/>
      </c>
      <c r="Q157" s="4" t="s">
        <v>65</v>
      </c>
      <c r="R157" s="4"/>
      <c r="S157" s="4"/>
      <c r="T157" s="4"/>
      <c r="U157" s="4" t="str">
        <f t="shared" si="8"/>
        <v/>
      </c>
      <c r="V157" s="10">
        <v>2</v>
      </c>
    </row>
    <row r="158" spans="4:22" x14ac:dyDescent="0.45">
      <c r="D158" s="18" t="s">
        <v>454</v>
      </c>
      <c r="E158" s="4" t="str">
        <f>[1]Mitigation!H13507</f>
        <v>irn.mit.rp.ker.wtd.2</v>
      </c>
      <c r="F158" s="4" t="str">
        <f t="shared" si="12"/>
        <v>N/A</v>
      </c>
      <c r="G158" s="4" t="str">
        <f t="shared" si="9"/>
        <v>irn.mit.rp_.all.ker.all.usdl.2</v>
      </c>
      <c r="H158" s="4" t="s">
        <v>19</v>
      </c>
      <c r="I158" s="4" t="s">
        <v>99</v>
      </c>
      <c r="J158" s="4" t="s">
        <v>18</v>
      </c>
      <c r="K158" s="4" t="s">
        <v>104</v>
      </c>
      <c r="L158" s="4"/>
      <c r="M158" s="4"/>
      <c r="N158" s="4"/>
      <c r="O158" s="4"/>
      <c r="P158" s="4" t="str">
        <f t="shared" si="10"/>
        <v/>
      </c>
      <c r="Q158" s="4" t="s">
        <v>66</v>
      </c>
      <c r="R158" s="4"/>
      <c r="S158" s="4"/>
      <c r="T158" s="4"/>
      <c r="U158" s="4" t="str">
        <f t="shared" si="8"/>
        <v/>
      </c>
      <c r="V158" s="10">
        <v>2</v>
      </c>
    </row>
    <row r="159" spans="4:22" x14ac:dyDescent="0.45">
      <c r="D159" s="18" t="s">
        <v>455</v>
      </c>
      <c r="E159" s="4" t="str">
        <f>[1]Mitigation!H13534</f>
        <v>irn.mit.rp.all.ecy.pct.2</v>
      </c>
      <c r="F159" s="4" t="str">
        <f t="shared" si="12"/>
        <v>N/A</v>
      </c>
      <c r="G159" s="4" t="str">
        <f>IF(D159="","",LOWER(_Country_code)&amp;"."&amp;H159&amp;"."&amp;IF(I159="","all",I159)&amp;"_"&amp;J159&amp;"."&amp;IF(R159="","all",R159)&amp;"."&amp;IF(Q159="","all",Q159)&amp;"."&amp;IF(U159="","all",U159)&amp;"."&amp;IF(K159="","all",K159)&amp;"."&amp;IF(V159="","all",V159))</f>
        <v>irn.mit.rp_.all.ecy.all.pc.2</v>
      </c>
      <c r="H159" s="4" t="s">
        <v>19</v>
      </c>
      <c r="I159" s="4" t="s">
        <v>99</v>
      </c>
      <c r="J159" s="4" t="s">
        <v>18</v>
      </c>
      <c r="K159" s="4" t="s">
        <v>21</v>
      </c>
      <c r="L159" s="4"/>
      <c r="M159" s="4"/>
      <c r="N159" s="4"/>
      <c r="O159" s="4"/>
      <c r="P159" s="4" t="str">
        <f t="shared" si="10"/>
        <v/>
      </c>
      <c r="Q159" s="4" t="s">
        <v>101</v>
      </c>
      <c r="R159" s="4"/>
      <c r="S159" s="4"/>
      <c r="T159" s="4"/>
      <c r="U159" s="4" t="str">
        <f t="shared" ref="U159:U170" si="13">R159&amp;T159&amp;S159</f>
        <v/>
      </c>
      <c r="V159" s="11">
        <v>2</v>
      </c>
    </row>
    <row r="160" spans="4:22" x14ac:dyDescent="0.45">
      <c r="D160" s="18" t="s">
        <v>456</v>
      </c>
      <c r="E160" s="4" t="str">
        <f>[1]Mitigation!H13535</f>
        <v>irn.mit.rp.all.coa.pct.2</v>
      </c>
      <c r="F160" s="4" t="str">
        <f t="shared" si="12"/>
        <v>N/A</v>
      </c>
      <c r="G160" s="4" t="str">
        <f t="shared" si="9"/>
        <v>irn.mit.rp_.all.coa.all.pc.2</v>
      </c>
      <c r="H160" s="4" t="s">
        <v>19</v>
      </c>
      <c r="I160" s="4" t="s">
        <v>99</v>
      </c>
      <c r="J160" s="4" t="s">
        <v>18</v>
      </c>
      <c r="K160" s="4" t="s">
        <v>21</v>
      </c>
      <c r="L160" s="4"/>
      <c r="M160" s="4"/>
      <c r="N160" s="4"/>
      <c r="O160" s="4"/>
      <c r="P160" s="4" t="str">
        <f t="shared" si="10"/>
        <v/>
      </c>
      <c r="Q160" s="4" t="s">
        <v>60</v>
      </c>
      <c r="R160" s="4"/>
      <c r="S160" s="4"/>
      <c r="T160" s="4"/>
      <c r="U160" s="4" t="str">
        <f t="shared" si="13"/>
        <v/>
      </c>
      <c r="V160" s="11">
        <v>2</v>
      </c>
    </row>
    <row r="161" spans="4:22" x14ac:dyDescent="0.45">
      <c r="D161" s="18" t="s">
        <v>457</v>
      </c>
      <c r="E161" s="4" t="str">
        <f>[1]Mitigation!H13536</f>
        <v>irn.mit.rp.all.nga.pct.2</v>
      </c>
      <c r="F161" s="4" t="str">
        <f t="shared" si="12"/>
        <v>N/A</v>
      </c>
      <c r="G161" s="4" t="str">
        <f t="shared" ref="G161:G271" si="14">IF(D161="","",LOWER(_Country_code)&amp;"."&amp;H161&amp;"."&amp;IF(I161="","all",I161)&amp;"_"&amp;J161&amp;"."&amp;IF(R161="","all",R161)&amp;"."&amp;IF(Q161="","all",Q161)&amp;"."&amp;IF(U161="","all",U161)&amp;"."&amp;IF(K161="","all",K161)&amp;"."&amp;IF(V161="","all",V161))</f>
        <v>irn.mit.rp_.all.nga.all.pc.2</v>
      </c>
      <c r="H161" s="4" t="s">
        <v>19</v>
      </c>
      <c r="I161" s="4" t="s">
        <v>99</v>
      </c>
      <c r="J161" s="4" t="s">
        <v>18</v>
      </c>
      <c r="K161" s="4" t="s">
        <v>21</v>
      </c>
      <c r="L161" s="4"/>
      <c r="M161" s="4"/>
      <c r="N161" s="4"/>
      <c r="O161" s="4"/>
      <c r="P161" s="4" t="str">
        <f t="shared" ref="P161:P170" si="15">L161&amp;IF(N161="",M161,N161)&amp;O161</f>
        <v/>
      </c>
      <c r="Q161" s="4" t="s">
        <v>61</v>
      </c>
      <c r="R161" s="4"/>
      <c r="S161" s="4"/>
      <c r="T161" s="4"/>
      <c r="U161" s="4" t="str">
        <f t="shared" si="13"/>
        <v/>
      </c>
      <c r="V161" s="11">
        <v>2</v>
      </c>
    </row>
    <row r="162" spans="4:22" x14ac:dyDescent="0.45">
      <c r="D162" s="18" t="s">
        <v>458</v>
      </c>
      <c r="E162" s="4" t="str">
        <f>[1]Mitigation!H13537</f>
        <v>irn.mit.rp.all.oil.pct.2</v>
      </c>
      <c r="F162" s="4" t="str">
        <f t="shared" si="12"/>
        <v>N/A</v>
      </c>
      <c r="G162" s="4" t="str">
        <f t="shared" si="14"/>
        <v>irn.mit.rp_.all.oil.all.pc.2</v>
      </c>
      <c r="H162" s="4" t="s">
        <v>19</v>
      </c>
      <c r="I162" s="4" t="s">
        <v>99</v>
      </c>
      <c r="J162" s="4" t="s">
        <v>18</v>
      </c>
      <c r="K162" s="4" t="s">
        <v>21</v>
      </c>
      <c r="L162" s="4"/>
      <c r="M162" s="4"/>
      <c r="N162" s="4"/>
      <c r="O162" s="4"/>
      <c r="P162" s="4" t="str">
        <f t="shared" si="15"/>
        <v/>
      </c>
      <c r="Q162" s="4" t="s">
        <v>62</v>
      </c>
      <c r="R162" s="4"/>
      <c r="S162" s="4"/>
      <c r="T162" s="4"/>
      <c r="U162" s="4" t="str">
        <f t="shared" si="13"/>
        <v/>
      </c>
      <c r="V162" s="11">
        <v>2</v>
      </c>
    </row>
    <row r="163" spans="4:22" x14ac:dyDescent="0.45">
      <c r="D163" s="18" t="s">
        <v>459</v>
      </c>
      <c r="E163" s="4" t="str">
        <f>[1]Mitigation!H13538</f>
        <v>irn.mit.rp.all.gso.pct.2</v>
      </c>
      <c r="F163" s="4" t="str">
        <f t="shared" si="12"/>
        <v>N/A</v>
      </c>
      <c r="G163" s="4" t="str">
        <f t="shared" si="14"/>
        <v>irn.mit.rp_.all.gso.all.pc.2</v>
      </c>
      <c r="H163" s="4" t="s">
        <v>19</v>
      </c>
      <c r="I163" s="4" t="s">
        <v>99</v>
      </c>
      <c r="J163" s="4" t="s">
        <v>18</v>
      </c>
      <c r="K163" s="4" t="s">
        <v>21</v>
      </c>
      <c r="L163" s="4"/>
      <c r="M163" s="4"/>
      <c r="N163" s="4"/>
      <c r="O163" s="4"/>
      <c r="P163" s="4" t="str">
        <f t="shared" si="15"/>
        <v/>
      </c>
      <c r="Q163" s="4" t="s">
        <v>63</v>
      </c>
      <c r="R163" s="4"/>
      <c r="S163" s="4"/>
      <c r="T163" s="4"/>
      <c r="U163" s="4" t="str">
        <f t="shared" si="13"/>
        <v/>
      </c>
      <c r="V163" s="11">
        <v>2</v>
      </c>
    </row>
    <row r="164" spans="4:22" x14ac:dyDescent="0.45">
      <c r="D164" s="18" t="s">
        <v>460</v>
      </c>
      <c r="E164" s="4" t="str">
        <f>[1]Mitigation!H13539</f>
        <v>irn.mit.rp.all.die.pct.2</v>
      </c>
      <c r="F164" s="4" t="str">
        <f t="shared" si="12"/>
        <v>N/A</v>
      </c>
      <c r="G164" s="4" t="str">
        <f t="shared" si="14"/>
        <v>irn.mit.rp_.all.die.all.pc.2</v>
      </c>
      <c r="H164" s="4" t="s">
        <v>19</v>
      </c>
      <c r="I164" s="4" t="s">
        <v>99</v>
      </c>
      <c r="J164" s="4" t="s">
        <v>18</v>
      </c>
      <c r="K164" s="4" t="s">
        <v>21</v>
      </c>
      <c r="L164" s="4"/>
      <c r="M164" s="4"/>
      <c r="N164" s="4"/>
      <c r="O164" s="4"/>
      <c r="P164" s="4" t="str">
        <f t="shared" si="15"/>
        <v/>
      </c>
      <c r="Q164" s="4" t="s">
        <v>64</v>
      </c>
      <c r="R164" s="4"/>
      <c r="S164" s="4"/>
      <c r="T164" s="4"/>
      <c r="U164" s="4" t="str">
        <f t="shared" si="13"/>
        <v/>
      </c>
      <c r="V164" s="11">
        <v>2</v>
      </c>
    </row>
    <row r="165" spans="4:22" x14ac:dyDescent="0.45">
      <c r="D165" s="18" t="s">
        <v>461</v>
      </c>
      <c r="E165" s="4" t="str">
        <f>[1]Mitigation!H13540</f>
        <v>irn.mit.rp.all.lpg.pct.2</v>
      </c>
      <c r="F165" s="4" t="str">
        <f t="shared" si="12"/>
        <v>N/A</v>
      </c>
      <c r="G165" s="4" t="str">
        <f t="shared" si="14"/>
        <v>irn.mit.rp_.all.lpg.all.pc.2</v>
      </c>
      <c r="H165" s="4" t="s">
        <v>19</v>
      </c>
      <c r="I165" s="4" t="s">
        <v>99</v>
      </c>
      <c r="J165" s="4" t="s">
        <v>18</v>
      </c>
      <c r="K165" s="4" t="s">
        <v>21</v>
      </c>
      <c r="L165" s="4"/>
      <c r="M165" s="4"/>
      <c r="N165" s="4"/>
      <c r="O165" s="4"/>
      <c r="P165" s="4" t="str">
        <f t="shared" si="15"/>
        <v/>
      </c>
      <c r="Q165" s="4" t="s">
        <v>65</v>
      </c>
      <c r="R165" s="4"/>
      <c r="S165" s="4"/>
      <c r="T165" s="4"/>
      <c r="U165" s="4" t="str">
        <f t="shared" si="13"/>
        <v/>
      </c>
      <c r="V165" s="11">
        <v>2</v>
      </c>
    </row>
    <row r="166" spans="4:22" x14ac:dyDescent="0.45">
      <c r="D166" s="18" t="s">
        <v>462</v>
      </c>
      <c r="E166" s="4" t="str">
        <f>[1]Mitigation!H13541</f>
        <v>irn.mit.rp.all.ker.pct.2</v>
      </c>
      <c r="F166" s="4" t="str">
        <f t="shared" si="12"/>
        <v>N/A</v>
      </c>
      <c r="G166" s="4" t="str">
        <f t="shared" si="14"/>
        <v>irn.mit.rp_.all.ker.all.pc.2</v>
      </c>
      <c r="H166" s="4" t="s">
        <v>19</v>
      </c>
      <c r="I166" s="4" t="s">
        <v>99</v>
      </c>
      <c r="J166" s="4" t="s">
        <v>18</v>
      </c>
      <c r="K166" s="4" t="s">
        <v>21</v>
      </c>
      <c r="L166" s="4"/>
      <c r="M166" s="4"/>
      <c r="N166" s="4"/>
      <c r="O166" s="4"/>
      <c r="P166" s="4" t="str">
        <f t="shared" si="15"/>
        <v/>
      </c>
      <c r="Q166" s="4" t="s">
        <v>66</v>
      </c>
      <c r="R166" s="4"/>
      <c r="S166" s="4"/>
      <c r="T166" s="4"/>
      <c r="U166" s="4" t="str">
        <f t="shared" si="13"/>
        <v/>
      </c>
      <c r="V166" s="11">
        <v>2</v>
      </c>
    </row>
    <row r="167" spans="4:22" x14ac:dyDescent="0.45">
      <c r="D167" s="18" t="s">
        <v>463</v>
      </c>
      <c r="E167" s="4" t="str">
        <f>[1]Mitigation!H13829</f>
        <v>irn.mit.co2.ela.eco.2</v>
      </c>
      <c r="F167" s="4" t="str">
        <f t="shared" si="12"/>
        <v>N/A</v>
      </c>
      <c r="G167" s="4" t="str">
        <f t="shared" si="14"/>
        <v>irn.mit.co2ela_.all.all.all.unitusdless.2</v>
      </c>
      <c r="H167" s="4" t="s">
        <v>19</v>
      </c>
      <c r="I167" s="4" t="s">
        <v>105</v>
      </c>
      <c r="J167" s="4" t="s">
        <v>18</v>
      </c>
      <c r="K167" s="4" t="s">
        <v>106</v>
      </c>
      <c r="L167" s="4"/>
      <c r="M167" s="4" t="s">
        <v>107</v>
      </c>
      <c r="N167" s="4"/>
      <c r="O167" s="4"/>
      <c r="P167" s="4" t="str">
        <f t="shared" si="15"/>
        <v>ela</v>
      </c>
      <c r="Q167" s="4"/>
      <c r="R167" s="4"/>
      <c r="S167" s="4"/>
      <c r="T167" s="4"/>
      <c r="U167" s="4" t="str">
        <f t="shared" si="13"/>
        <v/>
      </c>
      <c r="V167" s="11">
        <v>2</v>
      </c>
    </row>
    <row r="168" spans="4:22" x14ac:dyDescent="0.45">
      <c r="D168" s="18" t="s">
        <v>464</v>
      </c>
      <c r="E168" s="12" t="str">
        <f>[1]Mitigation!H13831</f>
        <v>irn.mit.ndc.ecr.2</v>
      </c>
      <c r="F168" s="4" t="str">
        <f t="shared" si="12"/>
        <v>N/A</v>
      </c>
      <c r="G168" s="4" t="str">
        <f t="shared" si="14"/>
        <v>irn.mit.ndcerc_.all.all.all.usdtco2.2</v>
      </c>
      <c r="H168" s="4" t="s">
        <v>19</v>
      </c>
      <c r="I168" s="4" t="s">
        <v>108</v>
      </c>
      <c r="J168" s="4" t="s">
        <v>18</v>
      </c>
      <c r="K168" s="4" t="s">
        <v>24</v>
      </c>
      <c r="L168" s="4"/>
      <c r="M168" s="4" t="s">
        <v>109</v>
      </c>
      <c r="N168" s="4" t="s">
        <v>85</v>
      </c>
      <c r="O168" s="4"/>
      <c r="P168" s="4" t="str">
        <f t="shared" si="15"/>
        <v>_</v>
      </c>
      <c r="Q168" s="4"/>
      <c r="R168" s="4"/>
      <c r="S168" s="4"/>
      <c r="T168" s="4"/>
      <c r="U168" s="4" t="str">
        <f t="shared" si="13"/>
        <v/>
      </c>
      <c r="V168" s="11">
        <v>2</v>
      </c>
    </row>
    <row r="169" spans="4:22" x14ac:dyDescent="0.45">
      <c r="D169" s="18" t="s">
        <v>465</v>
      </c>
      <c r="E169" s="4" t="str">
        <f>[1]Mitigation!H13817</f>
        <v>irn.mit.ecr.1</v>
      </c>
      <c r="F169" s="4" t="str">
        <f t="shared" si="12"/>
        <v>N/A</v>
      </c>
      <c r="G169" s="4" t="str">
        <f t="shared" si="14"/>
        <v>irn.mit.ecr_.all.all.all.usdtco2.1</v>
      </c>
      <c r="H169" s="4" t="s">
        <v>19</v>
      </c>
      <c r="I169" s="4" t="s">
        <v>110</v>
      </c>
      <c r="J169" s="4" t="s">
        <v>18</v>
      </c>
      <c r="K169" s="4" t="s">
        <v>24</v>
      </c>
      <c r="L169" s="4"/>
      <c r="M169" s="4"/>
      <c r="N169" s="4"/>
      <c r="O169" s="4"/>
      <c r="P169" s="4" t="str">
        <f t="shared" si="15"/>
        <v/>
      </c>
      <c r="Q169" s="4" t="s">
        <v>46</v>
      </c>
      <c r="R169" s="4"/>
      <c r="S169" s="4"/>
      <c r="T169" s="4"/>
      <c r="U169" s="4" t="str">
        <f t="shared" si="13"/>
        <v/>
      </c>
      <c r="V169" s="13">
        <v>1</v>
      </c>
    </row>
    <row r="170" spans="4:22" x14ac:dyDescent="0.45">
      <c r="D170" s="18" t="s">
        <v>465</v>
      </c>
      <c r="E170" s="4" t="str">
        <f>[1]Mitigation!H13825</f>
        <v>irn.mit.ecr.2</v>
      </c>
      <c r="F170" s="4" t="str">
        <f t="shared" si="12"/>
        <v>N/A</v>
      </c>
      <c r="G170" s="4" t="str">
        <f t="shared" si="14"/>
        <v>irn.mit.ecr_.all.all.all.usdtco2.2</v>
      </c>
      <c r="H170" s="4" t="s">
        <v>19</v>
      </c>
      <c r="I170" s="4" t="s">
        <v>110</v>
      </c>
      <c r="J170" s="4" t="s">
        <v>18</v>
      </c>
      <c r="K170" s="4" t="s">
        <v>24</v>
      </c>
      <c r="L170" s="4"/>
      <c r="M170" s="4"/>
      <c r="N170" s="4"/>
      <c r="O170" s="4"/>
      <c r="P170" s="4" t="str">
        <f t="shared" si="15"/>
        <v/>
      </c>
      <c r="Q170" s="4" t="s">
        <v>46</v>
      </c>
      <c r="R170" s="4"/>
      <c r="S170" s="4"/>
      <c r="T170" s="4"/>
      <c r="U170" s="4" t="str">
        <f t="shared" si="13"/>
        <v/>
      </c>
      <c r="V170" s="13">
        <v>2</v>
      </c>
    </row>
    <row r="171" spans="4:22" x14ac:dyDescent="0.45">
      <c r="D171" s="18" t="s">
        <v>466</v>
      </c>
      <c r="E171" s="4" t="str">
        <f>[1]Mitigation!G13434</f>
        <v>irn.mit.rp.ind.ecy.t.1</v>
      </c>
      <c r="F171" s="4" t="str">
        <f t="shared" si="12"/>
        <v>N/A</v>
      </c>
      <c r="G171" s="4" t="str">
        <f t="shared" si="14"/>
        <v>irn.mit.rp_.all.ecy.all.usdkwh.1</v>
      </c>
      <c r="H171" s="4" t="s">
        <v>19</v>
      </c>
      <c r="I171" s="4" t="s">
        <v>99</v>
      </c>
      <c r="J171" s="4"/>
      <c r="K171" s="4" t="s">
        <v>100</v>
      </c>
      <c r="L171" s="4"/>
      <c r="M171" s="4"/>
      <c r="N171" s="4"/>
      <c r="O171" s="4"/>
      <c r="P171" s="4" t="s">
        <v>29</v>
      </c>
      <c r="Q171" s="4" t="s">
        <v>101</v>
      </c>
      <c r="R171" s="4"/>
      <c r="S171" s="4"/>
      <c r="T171" s="4"/>
      <c r="U171" s="4"/>
      <c r="V171" s="13">
        <v>1</v>
      </c>
    </row>
    <row r="172" spans="4:22" x14ac:dyDescent="0.45">
      <c r="D172" s="18" t="s">
        <v>467</v>
      </c>
      <c r="E172" s="4" t="str">
        <f>[1]Mitigation!G13435</f>
        <v>irn.mit.rp.res.ecy.t.1</v>
      </c>
      <c r="F172" s="4" t="str">
        <f t="shared" si="12"/>
        <v>N/A</v>
      </c>
      <c r="G172" s="4" t="str">
        <f t="shared" si="14"/>
        <v>irn.mit.rp_.all.ecy.all.usdkwh.1</v>
      </c>
      <c r="H172" s="4" t="s">
        <v>19</v>
      </c>
      <c r="I172" s="4" t="s">
        <v>99</v>
      </c>
      <c r="J172" s="4"/>
      <c r="K172" s="4" t="s">
        <v>100</v>
      </c>
      <c r="L172" s="4"/>
      <c r="M172" s="4"/>
      <c r="N172" s="4"/>
      <c r="O172" s="4"/>
      <c r="P172" s="4" t="s">
        <v>28</v>
      </c>
      <c r="Q172" s="4" t="s">
        <v>101</v>
      </c>
      <c r="R172" s="4"/>
      <c r="S172" s="4"/>
      <c r="T172" s="4"/>
      <c r="U172" s="4"/>
      <c r="V172" s="13">
        <v>1</v>
      </c>
    </row>
    <row r="173" spans="4:22" x14ac:dyDescent="0.45">
      <c r="D173" s="18" t="s">
        <v>468</v>
      </c>
      <c r="E173" s="4" t="str">
        <f>[1]Mitigation!G13436</f>
        <v>irn.mit.rp.ind.coa.a.1</v>
      </c>
      <c r="F173" s="4" t="str">
        <f t="shared" si="12"/>
        <v>N/A</v>
      </c>
      <c r="G173" s="4" t="str">
        <f t="shared" si="14"/>
        <v>irn.mit.rp_.all.coa.all.usdgj.1</v>
      </c>
      <c r="H173" s="4" t="s">
        <v>19</v>
      </c>
      <c r="I173" s="4" t="s">
        <v>99</v>
      </c>
      <c r="J173" s="4"/>
      <c r="K173" s="4" t="s">
        <v>102</v>
      </c>
      <c r="L173" s="4"/>
      <c r="M173" s="4"/>
      <c r="N173" s="4"/>
      <c r="O173" s="4"/>
      <c r="P173" s="4" t="s">
        <v>29</v>
      </c>
      <c r="Q173" s="4" t="s">
        <v>60</v>
      </c>
      <c r="R173" s="4"/>
      <c r="S173" s="4"/>
      <c r="T173" s="4"/>
      <c r="U173" s="4"/>
      <c r="V173" s="13">
        <v>1</v>
      </c>
    </row>
    <row r="174" spans="4:22" x14ac:dyDescent="0.45">
      <c r="D174" s="18" t="s">
        <v>469</v>
      </c>
      <c r="E174" s="4" t="str">
        <f>[1]Mitigation!G13437</f>
        <v>irn.mit.rp.ind.nga.a.1</v>
      </c>
      <c r="F174" s="4" t="str">
        <f t="shared" si="12"/>
        <v>N/A</v>
      </c>
      <c r="G174" s="4" t="str">
        <f t="shared" si="14"/>
        <v>irn.mit.rp_.all.nga.all.usdgj.1</v>
      </c>
      <c r="H174" s="4" t="s">
        <v>19</v>
      </c>
      <c r="I174" s="4" t="s">
        <v>99</v>
      </c>
      <c r="J174" s="4"/>
      <c r="K174" s="4" t="s">
        <v>102</v>
      </c>
      <c r="L174" s="4"/>
      <c r="M174" s="4"/>
      <c r="N174" s="4"/>
      <c r="O174" s="4"/>
      <c r="P174" s="4" t="s">
        <v>29</v>
      </c>
      <c r="Q174" s="4" t="s">
        <v>61</v>
      </c>
      <c r="R174" s="4"/>
      <c r="S174" s="4"/>
      <c r="T174" s="4"/>
      <c r="U174" s="4"/>
      <c r="V174" s="13">
        <v>1</v>
      </c>
    </row>
    <row r="175" spans="4:22" x14ac:dyDescent="0.45">
      <c r="D175" s="18" t="s">
        <v>470</v>
      </c>
      <c r="E175" s="4" t="str">
        <f>[1]Mitigation!G13438</f>
        <v>irn.mit.rp.res.coa.a.1</v>
      </c>
      <c r="F175" s="4" t="str">
        <f t="shared" si="12"/>
        <v>N/A</v>
      </c>
      <c r="G175" s="4" t="str">
        <f t="shared" si="14"/>
        <v>irn.mit.rp_.all.coa.all.usdgj.1</v>
      </c>
      <c r="H175" s="4" t="s">
        <v>19</v>
      </c>
      <c r="I175" s="4" t="s">
        <v>99</v>
      </c>
      <c r="J175" s="4"/>
      <c r="K175" s="4" t="s">
        <v>102</v>
      </c>
      <c r="L175" s="4"/>
      <c r="M175" s="4"/>
      <c r="N175" s="4"/>
      <c r="O175" s="4"/>
      <c r="P175" s="4" t="s">
        <v>28</v>
      </c>
      <c r="Q175" s="4" t="s">
        <v>60</v>
      </c>
      <c r="R175" s="4"/>
      <c r="S175" s="4"/>
      <c r="T175" s="4"/>
      <c r="U175" s="4"/>
      <c r="V175" s="13">
        <v>1</v>
      </c>
    </row>
    <row r="176" spans="4:22" x14ac:dyDescent="0.45">
      <c r="D176" s="18" t="s">
        <v>471</v>
      </c>
      <c r="E176" s="4" t="str">
        <f>[1]Mitigation!G13439</f>
        <v>irn.mit.rp.res.nga.a.1</v>
      </c>
      <c r="F176" s="4" t="str">
        <f t="shared" si="12"/>
        <v>N/A</v>
      </c>
      <c r="G176" s="4" t="str">
        <f t="shared" si="14"/>
        <v>irn.mit.rp_.all.nga.all.usdgj.1</v>
      </c>
      <c r="H176" s="4" t="s">
        <v>19</v>
      </c>
      <c r="I176" s="4" t="s">
        <v>99</v>
      </c>
      <c r="J176" s="4"/>
      <c r="K176" s="4" t="s">
        <v>102</v>
      </c>
      <c r="L176" s="4"/>
      <c r="M176" s="4"/>
      <c r="N176" s="4"/>
      <c r="O176" s="4"/>
      <c r="P176" s="4" t="s">
        <v>28</v>
      </c>
      <c r="Q176" s="4" t="s">
        <v>61</v>
      </c>
      <c r="R176" s="4"/>
      <c r="S176" s="4"/>
      <c r="T176" s="4"/>
      <c r="U176" s="4"/>
      <c r="V176" s="13">
        <v>1</v>
      </c>
    </row>
    <row r="177" spans="4:22" x14ac:dyDescent="0.45">
      <c r="D177" s="18" t="s">
        <v>472</v>
      </c>
      <c r="E177" s="4" t="str">
        <f>[1]Mitigation!G13440</f>
        <v>irn.mit.rp.pow.coa.a.1</v>
      </c>
      <c r="F177" s="4" t="str">
        <f t="shared" si="12"/>
        <v>N/A</v>
      </c>
      <c r="G177" s="4" t="str">
        <f t="shared" si="14"/>
        <v>irn.mit.rp_.all.coa.all.usdgj.1</v>
      </c>
      <c r="H177" s="4" t="s">
        <v>19</v>
      </c>
      <c r="I177" s="4" t="s">
        <v>99</v>
      </c>
      <c r="J177" s="4"/>
      <c r="K177" s="4" t="s">
        <v>102</v>
      </c>
      <c r="L177" s="4"/>
      <c r="M177" s="4"/>
      <c r="N177" s="4"/>
      <c r="O177" s="4"/>
      <c r="P177" s="4" t="s">
        <v>26</v>
      </c>
      <c r="Q177" s="4" t="s">
        <v>60</v>
      </c>
      <c r="R177" s="4"/>
      <c r="S177" s="4"/>
      <c r="T177" s="4"/>
      <c r="U177" s="4"/>
      <c r="V177" s="13">
        <v>1</v>
      </c>
    </row>
    <row r="178" spans="4:22" x14ac:dyDescent="0.45">
      <c r="D178" s="18" t="s">
        <v>473</v>
      </c>
      <c r="E178" s="4" t="str">
        <f>[1]Mitigation!G13441</f>
        <v>irn.mit.rp.pow.nga.a.1</v>
      </c>
      <c r="F178" s="4" t="str">
        <f t="shared" si="12"/>
        <v>N/A</v>
      </c>
      <c r="G178" s="4" t="str">
        <f t="shared" si="14"/>
        <v>irn.mit.rp_.all.nga.all.usdgj.1</v>
      </c>
      <c r="H178" s="4" t="s">
        <v>19</v>
      </c>
      <c r="I178" s="4" t="s">
        <v>99</v>
      </c>
      <c r="J178" s="4"/>
      <c r="K178" s="4" t="s">
        <v>102</v>
      </c>
      <c r="L178" s="4"/>
      <c r="M178" s="4"/>
      <c r="N178" s="4"/>
      <c r="O178" s="4"/>
      <c r="P178" s="4" t="s">
        <v>26</v>
      </c>
      <c r="Q178" s="4" t="s">
        <v>61</v>
      </c>
      <c r="R178" s="4"/>
      <c r="S178" s="4"/>
      <c r="T178" s="4"/>
      <c r="U178" s="4"/>
      <c r="V178" s="13">
        <v>1</v>
      </c>
    </row>
    <row r="179" spans="4:22" x14ac:dyDescent="0.45">
      <c r="D179" s="18" t="s">
        <v>474</v>
      </c>
      <c r="E179" s="4" t="str">
        <f>[1]Mitigation!G13486</f>
        <v>irn.mit.rp.ind.ecy.t.2</v>
      </c>
      <c r="F179" s="4" t="str">
        <f t="shared" si="12"/>
        <v>N/A</v>
      </c>
      <c r="G179" s="4" t="str">
        <f t="shared" si="14"/>
        <v>irn.mit.rp_.all.ecy.all.usdkwh.2</v>
      </c>
      <c r="H179" s="4" t="s">
        <v>19</v>
      </c>
      <c r="I179" s="4" t="s">
        <v>99</v>
      </c>
      <c r="J179" s="4"/>
      <c r="K179" s="4" t="s">
        <v>100</v>
      </c>
      <c r="L179" s="4"/>
      <c r="M179" s="4"/>
      <c r="N179" s="4"/>
      <c r="O179" s="4"/>
      <c r="P179" s="4" t="s">
        <v>29</v>
      </c>
      <c r="Q179" s="4" t="s">
        <v>101</v>
      </c>
      <c r="R179" s="4"/>
      <c r="S179" s="4"/>
      <c r="T179" s="4"/>
      <c r="U179" s="4"/>
      <c r="V179" s="13">
        <v>2</v>
      </c>
    </row>
    <row r="180" spans="4:22" x14ac:dyDescent="0.45">
      <c r="D180" s="18" t="s">
        <v>475</v>
      </c>
      <c r="E180" s="4" t="str">
        <f>[1]Mitigation!G13487</f>
        <v>irn.mit.rp.res.ecy.t.2</v>
      </c>
      <c r="F180" s="4" t="str">
        <f t="shared" si="12"/>
        <v>N/A</v>
      </c>
      <c r="G180" s="4" t="str">
        <f t="shared" si="14"/>
        <v>irn.mit.rp_.all.ecy.all.usdkwh.2</v>
      </c>
      <c r="H180" s="4" t="s">
        <v>19</v>
      </c>
      <c r="I180" s="4" t="s">
        <v>99</v>
      </c>
      <c r="J180" s="4"/>
      <c r="K180" s="4" t="s">
        <v>100</v>
      </c>
      <c r="L180" s="4"/>
      <c r="M180" s="4"/>
      <c r="N180" s="4"/>
      <c r="O180" s="4"/>
      <c r="P180" s="4" t="s">
        <v>28</v>
      </c>
      <c r="Q180" s="4" t="s">
        <v>101</v>
      </c>
      <c r="R180" s="4"/>
      <c r="S180" s="4"/>
      <c r="T180" s="4"/>
      <c r="U180" s="4"/>
      <c r="V180" s="13">
        <v>2</v>
      </c>
    </row>
    <row r="181" spans="4:22" x14ac:dyDescent="0.45">
      <c r="D181" s="18" t="s">
        <v>476</v>
      </c>
      <c r="E181" s="4" t="str">
        <f>[1]Mitigation!G13488</f>
        <v>irn.mit.rp.ind.coa.a.2</v>
      </c>
      <c r="F181" s="4" t="str">
        <f t="shared" si="12"/>
        <v>N/A</v>
      </c>
      <c r="G181" s="4" t="str">
        <f t="shared" si="14"/>
        <v>irn.mit.rp_.all.coa.all.usdgj.2</v>
      </c>
      <c r="H181" s="4" t="s">
        <v>19</v>
      </c>
      <c r="I181" s="4" t="s">
        <v>99</v>
      </c>
      <c r="J181" s="4"/>
      <c r="K181" s="4" t="s">
        <v>102</v>
      </c>
      <c r="L181" s="4"/>
      <c r="M181" s="4"/>
      <c r="N181" s="4"/>
      <c r="O181" s="4"/>
      <c r="P181" s="4" t="s">
        <v>29</v>
      </c>
      <c r="Q181" s="4" t="s">
        <v>60</v>
      </c>
      <c r="R181" s="4"/>
      <c r="S181" s="4"/>
      <c r="T181" s="4"/>
      <c r="U181" s="4"/>
      <c r="V181" s="13">
        <v>2</v>
      </c>
    </row>
    <row r="182" spans="4:22" x14ac:dyDescent="0.45">
      <c r="D182" s="18" t="s">
        <v>477</v>
      </c>
      <c r="E182" s="4" t="str">
        <f>[1]Mitigation!G13489</f>
        <v>irn.mit.rp.ind.nga.a.2</v>
      </c>
      <c r="F182" s="4" t="str">
        <f t="shared" si="12"/>
        <v>N/A</v>
      </c>
      <c r="G182" s="4" t="str">
        <f t="shared" si="14"/>
        <v>irn.mit.rp_.all.nga.all.usdgj.2</v>
      </c>
      <c r="H182" s="4" t="s">
        <v>19</v>
      </c>
      <c r="I182" s="4" t="s">
        <v>99</v>
      </c>
      <c r="J182" s="4"/>
      <c r="K182" s="4" t="s">
        <v>102</v>
      </c>
      <c r="L182" s="4"/>
      <c r="M182" s="4"/>
      <c r="N182" s="4"/>
      <c r="O182" s="4"/>
      <c r="P182" s="4" t="s">
        <v>29</v>
      </c>
      <c r="Q182" s="4" t="s">
        <v>61</v>
      </c>
      <c r="R182" s="4"/>
      <c r="S182" s="4"/>
      <c r="T182" s="4"/>
      <c r="U182" s="4"/>
      <c r="V182" s="13">
        <v>2</v>
      </c>
    </row>
    <row r="183" spans="4:22" x14ac:dyDescent="0.45">
      <c r="D183" s="18" t="s">
        <v>478</v>
      </c>
      <c r="E183" s="4" t="str">
        <f>[1]Mitigation!G13490</f>
        <v>irn.mit.rp.res.coa.a.2</v>
      </c>
      <c r="F183" s="4" t="str">
        <f t="shared" si="12"/>
        <v>N/A</v>
      </c>
      <c r="G183" s="4" t="str">
        <f t="shared" si="14"/>
        <v>irn.mit.rp_.all.coa.all.usdgj.2</v>
      </c>
      <c r="H183" s="4" t="s">
        <v>19</v>
      </c>
      <c r="I183" s="4" t="s">
        <v>99</v>
      </c>
      <c r="J183" s="4"/>
      <c r="K183" s="4" t="s">
        <v>102</v>
      </c>
      <c r="L183" s="4"/>
      <c r="M183" s="4"/>
      <c r="N183" s="4"/>
      <c r="O183" s="4"/>
      <c r="P183" s="4" t="s">
        <v>28</v>
      </c>
      <c r="Q183" s="4" t="s">
        <v>60</v>
      </c>
      <c r="R183" s="4"/>
      <c r="S183" s="4"/>
      <c r="T183" s="4"/>
      <c r="U183" s="4"/>
      <c r="V183" s="13">
        <v>2</v>
      </c>
    </row>
    <row r="184" spans="4:22" x14ac:dyDescent="0.45">
      <c r="D184" s="18" t="s">
        <v>479</v>
      </c>
      <c r="E184" s="4" t="str">
        <f>[1]Mitigation!G13491</f>
        <v>irn.mit.rp.res.nga.a.2</v>
      </c>
      <c r="F184" s="4" t="str">
        <f t="shared" si="12"/>
        <v>N/A</v>
      </c>
      <c r="G184" s="4" t="str">
        <f t="shared" si="14"/>
        <v>irn.mit.rp_.all.nga.all.usdgj.2</v>
      </c>
      <c r="H184" s="4" t="s">
        <v>19</v>
      </c>
      <c r="I184" s="4" t="s">
        <v>99</v>
      </c>
      <c r="J184" s="4"/>
      <c r="K184" s="4" t="s">
        <v>102</v>
      </c>
      <c r="L184" s="4"/>
      <c r="M184" s="4"/>
      <c r="N184" s="4"/>
      <c r="O184" s="4"/>
      <c r="P184" s="4" t="s">
        <v>28</v>
      </c>
      <c r="Q184" s="4" t="s">
        <v>61</v>
      </c>
      <c r="R184" s="4"/>
      <c r="S184" s="4"/>
      <c r="T184" s="4"/>
      <c r="U184" s="4"/>
      <c r="V184" s="13">
        <v>2</v>
      </c>
    </row>
    <row r="185" spans="4:22" x14ac:dyDescent="0.45">
      <c r="D185" s="18" t="s">
        <v>480</v>
      </c>
      <c r="E185" s="4" t="str">
        <f>[1]Mitigation!G13492</f>
        <v>irn.mit.rp.pow.coa.a.2</v>
      </c>
      <c r="F185" s="4" t="str">
        <f t="shared" si="12"/>
        <v>N/A</v>
      </c>
      <c r="G185" s="4" t="str">
        <f t="shared" si="14"/>
        <v>irn.mit.rp_.all.coa.all.usdgj.2</v>
      </c>
      <c r="H185" s="4" t="s">
        <v>19</v>
      </c>
      <c r="I185" s="4" t="s">
        <v>99</v>
      </c>
      <c r="J185" s="4"/>
      <c r="K185" s="4" t="s">
        <v>102</v>
      </c>
      <c r="L185" s="4"/>
      <c r="M185" s="4"/>
      <c r="N185" s="4"/>
      <c r="O185" s="4"/>
      <c r="P185" s="4" t="s">
        <v>26</v>
      </c>
      <c r="Q185" s="4" t="s">
        <v>60</v>
      </c>
      <c r="R185" s="4"/>
      <c r="S185" s="4"/>
      <c r="T185" s="4"/>
      <c r="U185" s="4"/>
      <c r="V185" s="13">
        <v>2</v>
      </c>
    </row>
    <row r="186" spans="4:22" x14ac:dyDescent="0.45">
      <c r="D186" s="18" t="s">
        <v>481</v>
      </c>
      <c r="E186" s="4" t="str">
        <f>[1]Mitigation!G13493</f>
        <v>irn.mit.rp.pow.nga.a.2</v>
      </c>
      <c r="F186" s="4" t="str">
        <f t="shared" si="12"/>
        <v>N/A</v>
      </c>
      <c r="G186" s="4" t="str">
        <f t="shared" si="14"/>
        <v>irn.mit.rp_.all.nga.all.usdgj.2</v>
      </c>
      <c r="H186" s="4" t="s">
        <v>19</v>
      </c>
      <c r="I186" s="4" t="s">
        <v>99</v>
      </c>
      <c r="J186" s="4"/>
      <c r="K186" s="4" t="s">
        <v>102</v>
      </c>
      <c r="L186" s="4"/>
      <c r="M186" s="4"/>
      <c r="N186" s="4"/>
      <c r="O186" s="4"/>
      <c r="P186" s="4" t="s">
        <v>26</v>
      </c>
      <c r="Q186" s="4" t="s">
        <v>61</v>
      </c>
      <c r="R186" s="4"/>
      <c r="S186" s="4"/>
      <c r="T186" s="4"/>
      <c r="U186" s="4"/>
      <c r="V186" s="13">
        <v>2</v>
      </c>
    </row>
    <row r="187" spans="4:22" x14ac:dyDescent="0.45">
      <c r="D187" s="2"/>
      <c r="E187" s="2"/>
      <c r="F187" s="2"/>
      <c r="G187" s="2"/>
      <c r="H187" s="2" t="s">
        <v>18</v>
      </c>
      <c r="I187" s="2"/>
      <c r="J187" s="2" t="s">
        <v>18</v>
      </c>
      <c r="K187" s="2"/>
      <c r="L187" s="2"/>
      <c r="M187" s="2"/>
      <c r="N187" s="2"/>
      <c r="O187" s="2"/>
      <c r="P187" s="2" t="str">
        <f>L187&amp;IF(N187="",M187,N187)&amp;O187</f>
        <v/>
      </c>
      <c r="Q187" s="2"/>
      <c r="R187" s="2"/>
      <c r="S187" s="2"/>
      <c r="T187" s="2"/>
      <c r="U187" s="2" t="str">
        <f>R187&amp;T187&amp;S187</f>
        <v/>
      </c>
      <c r="V187" s="3"/>
    </row>
    <row r="188" spans="4:22" x14ac:dyDescent="0.45">
      <c r="D188" s="44" t="s">
        <v>482</v>
      </c>
      <c r="E188" s="4" t="str">
        <f>[1]Mitigation!H15247</f>
        <v>irn.mit.sup.cost.ecy.ind.1</v>
      </c>
      <c r="F188" s="4" t="str">
        <f t="shared" si="12"/>
        <v>N/A</v>
      </c>
      <c r="G188" s="4" t="str">
        <f t="shared" si="14"/>
        <v>irn.mit.sup_cost_.all.ecy.all.usdkwh.1</v>
      </c>
      <c r="H188" s="4" t="s">
        <v>19</v>
      </c>
      <c r="I188" s="4" t="s">
        <v>111</v>
      </c>
      <c r="J188" s="4" t="s">
        <v>18</v>
      </c>
      <c r="K188" s="4" t="s">
        <v>100</v>
      </c>
      <c r="L188" s="4"/>
      <c r="M188" s="4"/>
      <c r="N188" s="4"/>
      <c r="O188" s="4"/>
      <c r="P188" s="4" t="s">
        <v>29</v>
      </c>
      <c r="Q188" s="4" t="s">
        <v>101</v>
      </c>
      <c r="R188" s="4"/>
      <c r="S188" s="4"/>
      <c r="T188" s="4"/>
      <c r="U188" s="4" t="str">
        <f>R188&amp;T188&amp;S188</f>
        <v/>
      </c>
      <c r="V188" s="13">
        <v>1</v>
      </c>
    </row>
    <row r="189" spans="4:22" x14ac:dyDescent="0.45">
      <c r="D189" s="18" t="s">
        <v>483</v>
      </c>
      <c r="E189" s="4" t="str">
        <f>[1]Mitigation!H15235</f>
        <v>irn.mit.sup.cost.ecy.res.2</v>
      </c>
      <c r="F189" s="4" t="str">
        <f t="shared" si="12"/>
        <v>N/A</v>
      </c>
      <c r="G189" s="4" t="str">
        <f t="shared" si="14"/>
        <v>irn.mit.sup_cost_.all.ecy.all.usdkwh.1</v>
      </c>
      <c r="H189" s="4" t="s">
        <v>19</v>
      </c>
      <c r="I189" s="4" t="s">
        <v>111</v>
      </c>
      <c r="J189" s="4" t="s">
        <v>18</v>
      </c>
      <c r="K189" s="4" t="s">
        <v>100</v>
      </c>
      <c r="L189" s="4"/>
      <c r="M189" s="4"/>
      <c r="N189" s="4"/>
      <c r="O189" s="4"/>
      <c r="P189" s="4" t="s">
        <v>28</v>
      </c>
      <c r="Q189" s="4" t="s">
        <v>101</v>
      </c>
      <c r="R189" s="4"/>
      <c r="S189" s="4"/>
      <c r="T189" s="4"/>
      <c r="U189" s="4" t="str">
        <f>R189&amp;T189&amp;S189</f>
        <v/>
      </c>
      <c r="V189" s="13">
        <v>1</v>
      </c>
    </row>
    <row r="190" spans="4:22" x14ac:dyDescent="0.45">
      <c r="D190" s="18" t="s">
        <v>484</v>
      </c>
      <c r="E190" s="4" t="str">
        <f>[1]Mitigation!G13366</f>
        <v>irn.mit.sp.ind.coa.a.1</v>
      </c>
      <c r="F190" s="4" t="str">
        <f t="shared" si="12"/>
        <v>N/A</v>
      </c>
      <c r="G190" s="4" t="str">
        <f t="shared" si="14"/>
        <v>irn.mit.sp_.all.coa.all.usdgj.1</v>
      </c>
      <c r="H190" s="4" t="s">
        <v>19</v>
      </c>
      <c r="I190" s="4" t="s">
        <v>112</v>
      </c>
      <c r="J190" s="4"/>
      <c r="K190" s="4" t="s">
        <v>102</v>
      </c>
      <c r="L190" s="4"/>
      <c r="M190" s="4"/>
      <c r="N190" s="4"/>
      <c r="O190" s="4"/>
      <c r="P190" s="4" t="s">
        <v>29</v>
      </c>
      <c r="Q190" s="4" t="s">
        <v>60</v>
      </c>
      <c r="R190" s="4"/>
      <c r="S190" s="4"/>
      <c r="T190" s="4"/>
      <c r="U190" s="4"/>
      <c r="V190" s="13">
        <v>1</v>
      </c>
    </row>
    <row r="191" spans="4:22" x14ac:dyDescent="0.45">
      <c r="D191" s="18" t="s">
        <v>485</v>
      </c>
      <c r="E191" s="4" t="str">
        <f>[1]Mitigation!G13367</f>
        <v>irn.mit.sp.ind.nga.a.1</v>
      </c>
      <c r="F191" s="4" t="str">
        <f t="shared" si="12"/>
        <v>N/A</v>
      </c>
      <c r="G191" s="4" t="str">
        <f t="shared" si="14"/>
        <v>irn.mit.sp_.all.nga.all.usdgj.1</v>
      </c>
      <c r="H191" s="4" t="s">
        <v>19</v>
      </c>
      <c r="I191" s="4" t="s">
        <v>112</v>
      </c>
      <c r="J191" s="4"/>
      <c r="K191" s="4" t="s">
        <v>102</v>
      </c>
      <c r="L191" s="4"/>
      <c r="M191" s="4"/>
      <c r="N191" s="4"/>
      <c r="O191" s="4"/>
      <c r="P191" s="4" t="s">
        <v>29</v>
      </c>
      <c r="Q191" s="4" t="s">
        <v>61</v>
      </c>
      <c r="R191" s="4"/>
      <c r="S191" s="4"/>
      <c r="T191" s="4"/>
      <c r="U191" s="4"/>
      <c r="V191" s="13">
        <v>1</v>
      </c>
    </row>
    <row r="192" spans="4:22" x14ac:dyDescent="0.45">
      <c r="D192" s="18" t="s">
        <v>486</v>
      </c>
      <c r="E192" s="4" t="str">
        <f>[1]Mitigation!G13368</f>
        <v>irn.mit.sp.res.coa.a.1</v>
      </c>
      <c r="F192" s="4" t="str">
        <f t="shared" si="12"/>
        <v>N/A</v>
      </c>
      <c r="G192" s="4" t="str">
        <f t="shared" si="14"/>
        <v>irn.mit.sp_.all.coa.all.usdgj.1</v>
      </c>
      <c r="H192" s="4" t="s">
        <v>19</v>
      </c>
      <c r="I192" s="4" t="s">
        <v>112</v>
      </c>
      <c r="J192" s="4"/>
      <c r="K192" s="4" t="s">
        <v>102</v>
      </c>
      <c r="L192" s="4"/>
      <c r="M192" s="4"/>
      <c r="N192" s="4"/>
      <c r="O192" s="4"/>
      <c r="P192" s="4" t="s">
        <v>28</v>
      </c>
      <c r="Q192" s="4" t="s">
        <v>60</v>
      </c>
      <c r="R192" s="4"/>
      <c r="S192" s="4"/>
      <c r="T192" s="4"/>
      <c r="U192" s="4"/>
      <c r="V192" s="13">
        <v>1</v>
      </c>
    </row>
    <row r="193" spans="4:22" x14ac:dyDescent="0.45">
      <c r="D193" s="18" t="s">
        <v>487</v>
      </c>
      <c r="E193" s="4" t="str">
        <f>[1]Mitigation!G13369</f>
        <v>irn.mit.sp.res.nga.a.1</v>
      </c>
      <c r="F193" s="4" t="str">
        <f t="shared" si="12"/>
        <v>N/A</v>
      </c>
      <c r="G193" s="4" t="str">
        <f t="shared" si="14"/>
        <v>irn.mit.sp_.all.nga.all.usdgj.1</v>
      </c>
      <c r="H193" s="4" t="s">
        <v>19</v>
      </c>
      <c r="I193" s="4" t="s">
        <v>112</v>
      </c>
      <c r="J193" s="4"/>
      <c r="K193" s="4" t="s">
        <v>102</v>
      </c>
      <c r="L193" s="4"/>
      <c r="M193" s="4"/>
      <c r="N193" s="4"/>
      <c r="O193" s="4"/>
      <c r="P193" s="4" t="s">
        <v>28</v>
      </c>
      <c r="Q193" s="4" t="s">
        <v>61</v>
      </c>
      <c r="R193" s="4"/>
      <c r="S193" s="4"/>
      <c r="T193" s="4"/>
      <c r="U193" s="4"/>
      <c r="V193" s="13">
        <v>1</v>
      </c>
    </row>
    <row r="194" spans="4:22" x14ac:dyDescent="0.45">
      <c r="D194" s="18" t="s">
        <v>488</v>
      </c>
      <c r="E194" s="4" t="str">
        <f>[1]Mitigation!G13370</f>
        <v>irn.mit.sp.pow.coa.a.1</v>
      </c>
      <c r="F194" s="4" t="str">
        <f t="shared" si="12"/>
        <v>N/A</v>
      </c>
      <c r="G194" s="4" t="str">
        <f t="shared" si="14"/>
        <v>irn.mit.sp_.all.coa.all.usdgj.1</v>
      </c>
      <c r="H194" s="4" t="s">
        <v>19</v>
      </c>
      <c r="I194" s="4" t="s">
        <v>112</v>
      </c>
      <c r="J194" s="4"/>
      <c r="K194" s="4" t="s">
        <v>102</v>
      </c>
      <c r="L194" s="4"/>
      <c r="M194" s="4"/>
      <c r="N194" s="4"/>
      <c r="O194" s="4"/>
      <c r="P194" s="4" t="s">
        <v>26</v>
      </c>
      <c r="Q194" s="4" t="s">
        <v>60</v>
      </c>
      <c r="R194" s="4"/>
      <c r="S194" s="4"/>
      <c r="T194" s="4"/>
      <c r="U194" s="4"/>
      <c r="V194" s="13">
        <v>1</v>
      </c>
    </row>
    <row r="195" spans="4:22" x14ac:dyDescent="0.45">
      <c r="D195" s="18" t="s">
        <v>489</v>
      </c>
      <c r="E195" s="4" t="str">
        <f>[1]Mitigation!G13371</f>
        <v>irn.mit.sp.pow.nga.a.1</v>
      </c>
      <c r="F195" s="4" t="str">
        <f t="shared" si="12"/>
        <v>N/A</v>
      </c>
      <c r="G195" s="4" t="str">
        <f t="shared" si="14"/>
        <v>irn.mit.sp_.all.nga.all.usdgj.1</v>
      </c>
      <c r="H195" s="4" t="s">
        <v>19</v>
      </c>
      <c r="I195" s="4" t="s">
        <v>112</v>
      </c>
      <c r="J195" s="4"/>
      <c r="K195" s="4" t="s">
        <v>102</v>
      </c>
      <c r="L195" s="4"/>
      <c r="M195" s="4"/>
      <c r="N195" s="4"/>
      <c r="O195" s="4"/>
      <c r="P195" s="4" t="s">
        <v>26</v>
      </c>
      <c r="Q195" s="4" t="s">
        <v>61</v>
      </c>
      <c r="R195" s="4"/>
      <c r="S195" s="4"/>
      <c r="T195" s="4"/>
      <c r="U195" s="4"/>
      <c r="V195" s="13">
        <v>1</v>
      </c>
    </row>
    <row r="196" spans="4:22" x14ac:dyDescent="0.45">
      <c r="D196" s="18" t="s">
        <v>490</v>
      </c>
      <c r="E196" s="4" t="str">
        <f>[1]Mitigation!G13372</f>
        <v>irn.mit.sp.all.oop.a.1</v>
      </c>
      <c r="F196" s="4" t="str">
        <f t="shared" si="12"/>
        <v>N/A</v>
      </c>
      <c r="G196" s="4" t="str">
        <f t="shared" si="14"/>
        <v>irn.mit.sp_.all.oop.all.bbusdl.1</v>
      </c>
      <c r="H196" s="4" t="s">
        <v>19</v>
      </c>
      <c r="I196" s="4" t="s">
        <v>112</v>
      </c>
      <c r="J196" s="4"/>
      <c r="K196" s="4" t="s">
        <v>103</v>
      </c>
      <c r="L196" s="4"/>
      <c r="M196" s="4"/>
      <c r="N196" s="4"/>
      <c r="O196" s="4"/>
      <c r="P196" s="4" t="s">
        <v>46</v>
      </c>
      <c r="Q196" s="4" t="s">
        <v>113</v>
      </c>
      <c r="R196" s="4"/>
      <c r="S196" s="4"/>
      <c r="T196" s="4"/>
      <c r="U196" s="4"/>
      <c r="V196" s="13">
        <v>1</v>
      </c>
    </row>
    <row r="197" spans="4:22" x14ac:dyDescent="0.45">
      <c r="D197" s="18" t="s">
        <v>491</v>
      </c>
      <c r="E197" s="4" t="str">
        <f>[1]Mitigation!G13373</f>
        <v>irn.mit.sp.all.gso.a.1</v>
      </c>
      <c r="F197" s="4" t="str">
        <f t="shared" si="12"/>
        <v>N/A</v>
      </c>
      <c r="G197" s="4" t="str">
        <f t="shared" si="14"/>
        <v>irn.mit.sp_.all.gso.all.usdl.1</v>
      </c>
      <c r="H197" s="4" t="s">
        <v>19</v>
      </c>
      <c r="I197" s="4" t="s">
        <v>112</v>
      </c>
      <c r="J197" s="4"/>
      <c r="K197" s="4" t="s">
        <v>104</v>
      </c>
      <c r="L197" s="4"/>
      <c r="M197" s="4"/>
      <c r="N197" s="4"/>
      <c r="O197" s="4"/>
      <c r="P197" s="4" t="s">
        <v>46</v>
      </c>
      <c r="Q197" s="4" t="s">
        <v>63</v>
      </c>
      <c r="R197" s="4"/>
      <c r="S197" s="4"/>
      <c r="T197" s="4"/>
      <c r="U197" s="4"/>
      <c r="V197" s="13">
        <v>1</v>
      </c>
    </row>
    <row r="198" spans="4:22" x14ac:dyDescent="0.45">
      <c r="D198" s="18" t="s">
        <v>492</v>
      </c>
      <c r="E198" s="4" t="str">
        <f>[1]Mitigation!G13374</f>
        <v>irn.mit.sp.all.die.a.1</v>
      </c>
      <c r="F198" s="4" t="str">
        <f t="shared" si="12"/>
        <v>N/A</v>
      </c>
      <c r="G198" s="4" t="str">
        <f t="shared" si="14"/>
        <v>irn.mit.sp_.all.die.all.usdl.1</v>
      </c>
      <c r="H198" s="4" t="s">
        <v>19</v>
      </c>
      <c r="I198" s="4" t="s">
        <v>112</v>
      </c>
      <c r="J198" s="4"/>
      <c r="K198" s="4" t="s">
        <v>104</v>
      </c>
      <c r="L198" s="4"/>
      <c r="M198" s="4"/>
      <c r="N198" s="4"/>
      <c r="O198" s="4"/>
      <c r="P198" s="4" t="s">
        <v>46</v>
      </c>
      <c r="Q198" s="4" t="s">
        <v>64</v>
      </c>
      <c r="R198" s="4"/>
      <c r="S198" s="4"/>
      <c r="T198" s="4"/>
      <c r="U198" s="4"/>
      <c r="V198" s="13">
        <v>1</v>
      </c>
    </row>
    <row r="199" spans="4:22" x14ac:dyDescent="0.45">
      <c r="D199" s="18" t="s">
        <v>493</v>
      </c>
      <c r="E199" s="4" t="str">
        <f>[1]Mitigation!G13375</f>
        <v>irn.mit.sp.all.lpg.a.1</v>
      </c>
      <c r="F199" s="4" t="str">
        <f t="shared" si="12"/>
        <v>N/A</v>
      </c>
      <c r="G199" s="4" t="str">
        <f t="shared" si="14"/>
        <v>irn.mit.sp_.all.lpg.all.usdl.1</v>
      </c>
      <c r="H199" s="4" t="s">
        <v>19</v>
      </c>
      <c r="I199" s="4" t="s">
        <v>112</v>
      </c>
      <c r="J199" s="4"/>
      <c r="K199" s="4" t="s">
        <v>104</v>
      </c>
      <c r="L199" s="4"/>
      <c r="M199" s="4"/>
      <c r="N199" s="4"/>
      <c r="O199" s="4"/>
      <c r="P199" s="4" t="s">
        <v>46</v>
      </c>
      <c r="Q199" s="4" t="s">
        <v>65</v>
      </c>
      <c r="R199" s="4"/>
      <c r="S199" s="4"/>
      <c r="T199" s="4"/>
      <c r="U199" s="4"/>
      <c r="V199" s="13">
        <v>1</v>
      </c>
    </row>
    <row r="200" spans="4:22" x14ac:dyDescent="0.45">
      <c r="D200" s="18" t="s">
        <v>494</v>
      </c>
      <c r="E200" s="4" t="str">
        <f>[1]Mitigation!G13376</f>
        <v>irn.mit.sp.all.ker.a.1</v>
      </c>
      <c r="F200" s="4" t="str">
        <f t="shared" si="12"/>
        <v>N/A</v>
      </c>
      <c r="G200" s="4" t="str">
        <f t="shared" si="14"/>
        <v>irn.mit.sp_.all.ker.all.usdl.1</v>
      </c>
      <c r="H200" s="4" t="s">
        <v>19</v>
      </c>
      <c r="I200" s="4" t="s">
        <v>112</v>
      </c>
      <c r="J200" s="4"/>
      <c r="K200" s="4" t="s">
        <v>104</v>
      </c>
      <c r="L200" s="4"/>
      <c r="M200" s="4"/>
      <c r="N200" s="4"/>
      <c r="O200" s="4"/>
      <c r="P200" s="4" t="s">
        <v>46</v>
      </c>
      <c r="Q200" s="4" t="s">
        <v>66</v>
      </c>
      <c r="R200" s="4"/>
      <c r="S200" s="4"/>
      <c r="T200" s="4"/>
      <c r="U200" s="4"/>
      <c r="V200" s="13">
        <v>1</v>
      </c>
    </row>
    <row r="201" spans="4:22" x14ac:dyDescent="0.45">
      <c r="D201" s="44" t="s">
        <v>495</v>
      </c>
      <c r="E201" s="14" t="str">
        <f>[1]Mitigation!G13378</f>
        <v>irn.mit.txo.ind.ecy.t.1</v>
      </c>
      <c r="F201" s="4" t="str">
        <f t="shared" si="12"/>
        <v>N/A</v>
      </c>
      <c r="G201" s="4" t="str">
        <f t="shared" si="14"/>
        <v>irn.mit.txo_.all.ecy.all.usdkwh.1</v>
      </c>
      <c r="H201" s="4" t="s">
        <v>19</v>
      </c>
      <c r="I201" s="4" t="s">
        <v>114</v>
      </c>
      <c r="J201" s="4"/>
      <c r="K201" s="4" t="s">
        <v>100</v>
      </c>
      <c r="L201" s="4"/>
      <c r="M201" s="4"/>
      <c r="N201" s="4"/>
      <c r="O201" s="4"/>
      <c r="P201" s="4" t="s">
        <v>29</v>
      </c>
      <c r="Q201" s="4" t="s">
        <v>101</v>
      </c>
      <c r="R201" s="4"/>
      <c r="S201" s="4"/>
      <c r="T201" s="4"/>
      <c r="U201" s="4"/>
      <c r="V201" s="13">
        <v>1</v>
      </c>
    </row>
    <row r="202" spans="4:22" x14ac:dyDescent="0.45">
      <c r="D202" s="18" t="s">
        <v>496</v>
      </c>
      <c r="E202" s="14" t="str">
        <f>[1]Mitigation!G13379</f>
        <v>irn.mit.txo.res.ecy.t.1</v>
      </c>
      <c r="F202" s="4" t="str">
        <f t="shared" si="12"/>
        <v>N/A</v>
      </c>
      <c r="G202" s="4" t="str">
        <f t="shared" si="14"/>
        <v>irn.mit.txo_.all.ecy.all.usdkwh.1</v>
      </c>
      <c r="H202" s="4" t="s">
        <v>19</v>
      </c>
      <c r="I202" s="4" t="s">
        <v>114</v>
      </c>
      <c r="J202" s="4"/>
      <c r="K202" s="4" t="s">
        <v>100</v>
      </c>
      <c r="L202" s="4"/>
      <c r="M202" s="4"/>
      <c r="N202" s="4"/>
      <c r="O202" s="4"/>
      <c r="P202" s="4" t="s">
        <v>28</v>
      </c>
      <c r="Q202" s="4" t="s">
        <v>101</v>
      </c>
      <c r="R202" s="4"/>
      <c r="S202" s="4"/>
      <c r="T202" s="4"/>
      <c r="U202" s="4"/>
      <c r="V202" s="13">
        <v>1</v>
      </c>
    </row>
    <row r="203" spans="4:22" x14ac:dyDescent="0.45">
      <c r="D203" s="18" t="s">
        <v>497</v>
      </c>
      <c r="E203" s="14" t="str">
        <f>[1]Mitigation!G13380</f>
        <v>irn.mit.txo.ind.coa.a.1</v>
      </c>
      <c r="F203" s="4" t="str">
        <f t="shared" si="12"/>
        <v>N/A</v>
      </c>
      <c r="G203" s="4" t="str">
        <f t="shared" si="14"/>
        <v>irn.mit.txo_.all.coa.all.usdgj.1</v>
      </c>
      <c r="H203" s="4" t="s">
        <v>19</v>
      </c>
      <c r="I203" s="4" t="s">
        <v>114</v>
      </c>
      <c r="J203" s="4"/>
      <c r="K203" s="4" t="s">
        <v>102</v>
      </c>
      <c r="L203" s="4"/>
      <c r="M203" s="4"/>
      <c r="N203" s="4"/>
      <c r="O203" s="4"/>
      <c r="P203" s="4" t="s">
        <v>29</v>
      </c>
      <c r="Q203" s="4" t="s">
        <v>60</v>
      </c>
      <c r="R203" s="4"/>
      <c r="S203" s="4"/>
      <c r="T203" s="4"/>
      <c r="U203" s="4"/>
      <c r="V203" s="13">
        <v>1</v>
      </c>
    </row>
    <row r="204" spans="4:22" x14ac:dyDescent="0.45">
      <c r="D204" s="18" t="s">
        <v>498</v>
      </c>
      <c r="E204" s="14" t="str">
        <f>[1]Mitigation!G13381</f>
        <v>irn.mit.txo.ind.nga.a.1</v>
      </c>
      <c r="F204" s="4" t="str">
        <f t="shared" si="12"/>
        <v>N/A</v>
      </c>
      <c r="G204" s="4" t="str">
        <f t="shared" si="14"/>
        <v>irn.mit.txo_.all.nga.all.usdgj.1</v>
      </c>
      <c r="H204" s="4" t="s">
        <v>19</v>
      </c>
      <c r="I204" s="4" t="s">
        <v>114</v>
      </c>
      <c r="J204" s="4"/>
      <c r="K204" s="4" t="s">
        <v>102</v>
      </c>
      <c r="L204" s="4"/>
      <c r="M204" s="4"/>
      <c r="N204" s="4"/>
      <c r="O204" s="4"/>
      <c r="P204" s="4" t="s">
        <v>29</v>
      </c>
      <c r="Q204" s="4" t="s">
        <v>61</v>
      </c>
      <c r="R204" s="4"/>
      <c r="S204" s="4"/>
      <c r="T204" s="4"/>
      <c r="U204" s="4"/>
      <c r="V204" s="13">
        <v>1</v>
      </c>
    </row>
    <row r="205" spans="4:22" x14ac:dyDescent="0.45">
      <c r="D205" s="18" t="s">
        <v>499</v>
      </c>
      <c r="E205" s="14" t="str">
        <f>[1]Mitigation!G13382</f>
        <v>irn.mit.txo.res.coa.a.1</v>
      </c>
      <c r="F205" s="4" t="str">
        <f t="shared" si="12"/>
        <v>N/A</v>
      </c>
      <c r="G205" s="4" t="str">
        <f t="shared" si="14"/>
        <v>irn.mit.txo_.all.coa.all.usdgj.1</v>
      </c>
      <c r="H205" s="4" t="s">
        <v>19</v>
      </c>
      <c r="I205" s="4" t="s">
        <v>114</v>
      </c>
      <c r="J205" s="4"/>
      <c r="K205" s="4" t="s">
        <v>102</v>
      </c>
      <c r="L205" s="4"/>
      <c r="M205" s="4"/>
      <c r="N205" s="4"/>
      <c r="O205" s="4"/>
      <c r="P205" s="4" t="s">
        <v>28</v>
      </c>
      <c r="Q205" s="4" t="s">
        <v>60</v>
      </c>
      <c r="R205" s="4"/>
      <c r="S205" s="4"/>
      <c r="T205" s="4"/>
      <c r="U205" s="4"/>
      <c r="V205" s="13">
        <v>1</v>
      </c>
    </row>
    <row r="206" spans="4:22" x14ac:dyDescent="0.45">
      <c r="D206" s="18" t="s">
        <v>500</v>
      </c>
      <c r="E206" s="14" t="str">
        <f>[1]Mitigation!G13383</f>
        <v>irn.mit.txo.res.nga.a.1</v>
      </c>
      <c r="F206" s="4" t="str">
        <f t="shared" si="12"/>
        <v>N/A</v>
      </c>
      <c r="G206" s="4" t="str">
        <f t="shared" si="14"/>
        <v>irn.mit.txo_.all.nga.all.usdgj.1</v>
      </c>
      <c r="H206" s="4" t="s">
        <v>19</v>
      </c>
      <c r="I206" s="4" t="s">
        <v>114</v>
      </c>
      <c r="J206" s="4"/>
      <c r="K206" s="4" t="s">
        <v>102</v>
      </c>
      <c r="L206" s="4"/>
      <c r="M206" s="4"/>
      <c r="N206" s="4"/>
      <c r="O206" s="4"/>
      <c r="P206" s="4" t="s">
        <v>28</v>
      </c>
      <c r="Q206" s="4" t="s">
        <v>61</v>
      </c>
      <c r="R206" s="4"/>
      <c r="S206" s="4"/>
      <c r="T206" s="4"/>
      <c r="U206" s="4"/>
      <c r="V206" s="13">
        <v>1</v>
      </c>
    </row>
    <row r="207" spans="4:22" x14ac:dyDescent="0.45">
      <c r="D207" s="18" t="s">
        <v>501</v>
      </c>
      <c r="E207" s="14" t="str">
        <f>[1]Mitigation!G13384</f>
        <v>irn.mit.txo.pow.coa.a.1</v>
      </c>
      <c r="F207" s="4" t="str">
        <f t="shared" si="12"/>
        <v>N/A</v>
      </c>
      <c r="G207" s="4" t="str">
        <f t="shared" si="14"/>
        <v>irn.mit.txo_.all.coa.all.usdgj.1</v>
      </c>
      <c r="H207" s="4" t="s">
        <v>19</v>
      </c>
      <c r="I207" s="4" t="s">
        <v>114</v>
      </c>
      <c r="J207" s="4"/>
      <c r="K207" s="4" t="s">
        <v>102</v>
      </c>
      <c r="L207" s="4"/>
      <c r="M207" s="4"/>
      <c r="N207" s="4"/>
      <c r="O207" s="4"/>
      <c r="P207" s="4" t="s">
        <v>26</v>
      </c>
      <c r="Q207" s="4" t="s">
        <v>60</v>
      </c>
      <c r="R207" s="4"/>
      <c r="S207" s="4"/>
      <c r="T207" s="4"/>
      <c r="U207" s="4"/>
      <c r="V207" s="13">
        <v>1</v>
      </c>
    </row>
    <row r="208" spans="4:22" x14ac:dyDescent="0.45">
      <c r="D208" s="18" t="s">
        <v>502</v>
      </c>
      <c r="E208" s="14" t="str">
        <f>[1]Mitigation!G13385</f>
        <v>irn.mit.txo.pow.nga.a.1</v>
      </c>
      <c r="F208" s="4" t="str">
        <f t="shared" si="12"/>
        <v>N/A</v>
      </c>
      <c r="G208" s="4" t="str">
        <f t="shared" si="14"/>
        <v>irn.mit.txo_.all.nga.all.usdgj.1</v>
      </c>
      <c r="H208" s="4" t="s">
        <v>19</v>
      </c>
      <c r="I208" s="4" t="s">
        <v>114</v>
      </c>
      <c r="J208" s="4"/>
      <c r="K208" s="4" t="s">
        <v>102</v>
      </c>
      <c r="L208" s="4"/>
      <c r="M208" s="4"/>
      <c r="N208" s="4"/>
      <c r="O208" s="4"/>
      <c r="P208" s="4" t="s">
        <v>26</v>
      </c>
      <c r="Q208" s="4" t="s">
        <v>61</v>
      </c>
      <c r="R208" s="4"/>
      <c r="S208" s="4"/>
      <c r="T208" s="4"/>
      <c r="U208" s="4"/>
      <c r="V208" s="13">
        <v>1</v>
      </c>
    </row>
    <row r="209" spans="4:22" x14ac:dyDescent="0.45">
      <c r="D209" s="18" t="s">
        <v>503</v>
      </c>
      <c r="E209" s="14" t="str">
        <f>[1]Mitigation!G13386</f>
        <v>irn.mit.txo.all.oop.a.1</v>
      </c>
      <c r="F209" s="4" t="str">
        <f t="shared" si="12"/>
        <v>N/A</v>
      </c>
      <c r="G209" s="4" t="str">
        <f t="shared" si="14"/>
        <v>irn.mit.txo_.all.oop.all.bbusdl.1</v>
      </c>
      <c r="H209" s="4" t="s">
        <v>19</v>
      </c>
      <c r="I209" s="4" t="s">
        <v>114</v>
      </c>
      <c r="J209" s="4"/>
      <c r="K209" s="4" t="s">
        <v>103</v>
      </c>
      <c r="L209" s="4"/>
      <c r="M209" s="4"/>
      <c r="N209" s="4"/>
      <c r="O209" s="4"/>
      <c r="P209" s="4" t="s">
        <v>46</v>
      </c>
      <c r="Q209" s="4" t="s">
        <v>113</v>
      </c>
      <c r="R209" s="4"/>
      <c r="S209" s="4"/>
      <c r="T209" s="4"/>
      <c r="U209" s="4"/>
      <c r="V209" s="13">
        <v>1</v>
      </c>
    </row>
    <row r="210" spans="4:22" x14ac:dyDescent="0.45">
      <c r="D210" s="18" t="s">
        <v>504</v>
      </c>
      <c r="E210" s="14" t="str">
        <f>[1]Mitigation!G13387</f>
        <v>irn.mit.txo.all.gso.a.1</v>
      </c>
      <c r="F210" s="4" t="str">
        <f t="shared" si="12"/>
        <v>N/A</v>
      </c>
      <c r="G210" s="4" t="str">
        <f t="shared" si="14"/>
        <v>irn.mit.txo_.all.gso.all.usdl.1</v>
      </c>
      <c r="H210" s="4" t="s">
        <v>19</v>
      </c>
      <c r="I210" s="4" t="s">
        <v>114</v>
      </c>
      <c r="J210" s="4"/>
      <c r="K210" s="4" t="s">
        <v>104</v>
      </c>
      <c r="L210" s="4"/>
      <c r="M210" s="4"/>
      <c r="N210" s="4"/>
      <c r="O210" s="4"/>
      <c r="P210" s="4" t="s">
        <v>46</v>
      </c>
      <c r="Q210" s="4" t="s">
        <v>63</v>
      </c>
      <c r="R210" s="4"/>
      <c r="S210" s="4"/>
      <c r="T210" s="4"/>
      <c r="U210" s="4"/>
      <c r="V210" s="13">
        <v>1</v>
      </c>
    </row>
    <row r="211" spans="4:22" x14ac:dyDescent="0.45">
      <c r="D211" s="18" t="s">
        <v>505</v>
      </c>
      <c r="E211" s="14" t="str">
        <f>[1]Mitigation!G13388</f>
        <v>irn.mit.txo.all.die.a.1</v>
      </c>
      <c r="F211" s="4" t="str">
        <f t="shared" si="12"/>
        <v>N/A</v>
      </c>
      <c r="G211" s="4" t="str">
        <f t="shared" si="14"/>
        <v>irn.mit.txo_.all.die.all.usdl.1</v>
      </c>
      <c r="H211" s="4" t="s">
        <v>19</v>
      </c>
      <c r="I211" s="4" t="s">
        <v>114</v>
      </c>
      <c r="J211" s="4"/>
      <c r="K211" s="4" t="s">
        <v>104</v>
      </c>
      <c r="L211" s="4"/>
      <c r="M211" s="4"/>
      <c r="N211" s="4"/>
      <c r="O211" s="4"/>
      <c r="P211" s="4" t="s">
        <v>46</v>
      </c>
      <c r="Q211" s="4" t="s">
        <v>64</v>
      </c>
      <c r="R211" s="4"/>
      <c r="S211" s="4"/>
      <c r="T211" s="4"/>
      <c r="U211" s="4"/>
      <c r="V211" s="13">
        <v>1</v>
      </c>
    </row>
    <row r="212" spans="4:22" x14ac:dyDescent="0.45">
      <c r="D212" s="18" t="s">
        <v>506</v>
      </c>
      <c r="E212" s="14" t="str">
        <f>[1]Mitigation!G13389</f>
        <v>irn.mit.txo.all.lpg.a.1</v>
      </c>
      <c r="F212" s="4" t="str">
        <f t="shared" si="12"/>
        <v>N/A</v>
      </c>
      <c r="G212" s="4" t="str">
        <f t="shared" si="14"/>
        <v>irn.mit.txo_.all.lpg.all.usdl.1</v>
      </c>
      <c r="H212" s="4" t="s">
        <v>19</v>
      </c>
      <c r="I212" s="4" t="s">
        <v>114</v>
      </c>
      <c r="J212" s="4"/>
      <c r="K212" s="4" t="s">
        <v>104</v>
      </c>
      <c r="L212" s="4"/>
      <c r="M212" s="4"/>
      <c r="N212" s="4"/>
      <c r="O212" s="4"/>
      <c r="P212" s="4" t="s">
        <v>46</v>
      </c>
      <c r="Q212" s="4" t="s">
        <v>65</v>
      </c>
      <c r="R212" s="4"/>
      <c r="S212" s="4"/>
      <c r="T212" s="4"/>
      <c r="U212" s="4"/>
      <c r="V212" s="13">
        <v>1</v>
      </c>
    </row>
    <row r="213" spans="4:22" x14ac:dyDescent="0.45">
      <c r="D213" s="18" t="s">
        <v>507</v>
      </c>
      <c r="E213" s="14" t="str">
        <f>[1]Mitigation!G13390</f>
        <v>irn.mit.txo.all.ker.a.1</v>
      </c>
      <c r="F213" s="4" t="str">
        <f t="shared" si="12"/>
        <v>N/A</v>
      </c>
      <c r="G213" s="4" t="str">
        <f t="shared" si="14"/>
        <v>irn.mit.txo_.all.ker.all.usdl.1</v>
      </c>
      <c r="H213" s="4" t="s">
        <v>19</v>
      </c>
      <c r="I213" s="4" t="s">
        <v>114</v>
      </c>
      <c r="J213" s="4"/>
      <c r="K213" s="4" t="s">
        <v>104</v>
      </c>
      <c r="L213" s="4"/>
      <c r="M213" s="4"/>
      <c r="N213" s="4"/>
      <c r="O213" s="4"/>
      <c r="P213" s="4" t="s">
        <v>46</v>
      </c>
      <c r="Q213" s="4" t="s">
        <v>66</v>
      </c>
      <c r="R213" s="4"/>
      <c r="S213" s="4"/>
      <c r="T213" s="4"/>
      <c r="U213" s="4"/>
      <c r="V213" s="13">
        <v>1</v>
      </c>
    </row>
    <row r="214" spans="4:22" x14ac:dyDescent="0.45">
      <c r="D214" s="44" t="s">
        <v>508</v>
      </c>
      <c r="E214" s="4" t="str">
        <f>[1]Mitigation!G13392</f>
        <v>irn.mit.vat.ind.ecy.t.1</v>
      </c>
      <c r="F214" s="4" t="str">
        <f t="shared" si="12"/>
        <v>N/A</v>
      </c>
      <c r="G214" s="4" t="str">
        <f t="shared" si="14"/>
        <v>irn.c.vat_.all.ecy.all.usdkwh.1</v>
      </c>
      <c r="H214" s="4" t="s">
        <v>115</v>
      </c>
      <c r="I214" s="4" t="s">
        <v>116</v>
      </c>
      <c r="J214" s="4"/>
      <c r="K214" s="4" t="s">
        <v>100</v>
      </c>
      <c r="L214" s="4"/>
      <c r="M214" s="4"/>
      <c r="N214" s="4"/>
      <c r="O214" s="4"/>
      <c r="P214" s="4" t="s">
        <v>29</v>
      </c>
      <c r="Q214" s="4" t="s">
        <v>101</v>
      </c>
      <c r="R214" s="4"/>
      <c r="S214" s="4"/>
      <c r="T214" s="4"/>
      <c r="U214" s="4"/>
      <c r="V214" s="13">
        <v>1</v>
      </c>
    </row>
    <row r="215" spans="4:22" x14ac:dyDescent="0.45">
      <c r="D215" s="18" t="s">
        <v>509</v>
      </c>
      <c r="E215" s="4" t="str">
        <f>[1]Mitigation!G13393</f>
        <v>irn.mit.vat.res.ecy.t.1</v>
      </c>
      <c r="F215" s="4" t="str">
        <f t="shared" si="12"/>
        <v>N/A</v>
      </c>
      <c r="G215" s="4" t="str">
        <f t="shared" si="14"/>
        <v>irn.mit.vat_.all.ecy.all.usdkwh.1</v>
      </c>
      <c r="H215" s="4" t="s">
        <v>19</v>
      </c>
      <c r="I215" s="4" t="s">
        <v>116</v>
      </c>
      <c r="J215" s="4"/>
      <c r="K215" s="4" t="s">
        <v>100</v>
      </c>
      <c r="L215" s="4"/>
      <c r="M215" s="4"/>
      <c r="N215" s="4"/>
      <c r="O215" s="4"/>
      <c r="P215" s="4" t="s">
        <v>28</v>
      </c>
      <c r="Q215" s="4" t="s">
        <v>101</v>
      </c>
      <c r="R215" s="4"/>
      <c r="S215" s="4"/>
      <c r="T215" s="4"/>
      <c r="U215" s="4"/>
      <c r="V215" s="13">
        <v>1</v>
      </c>
    </row>
    <row r="216" spans="4:22" x14ac:dyDescent="0.45">
      <c r="D216" s="18" t="s">
        <v>510</v>
      </c>
      <c r="E216" s="4" t="str">
        <f>[1]Mitigation!G13394</f>
        <v>irn.mit.vat.ind.coa.a.1</v>
      </c>
      <c r="F216" s="4" t="str">
        <f t="shared" si="12"/>
        <v>N/A</v>
      </c>
      <c r="G216" s="4" t="str">
        <f t="shared" si="14"/>
        <v>irn.mit.vat_.all.coa.all.usdgj.1</v>
      </c>
      <c r="H216" s="4" t="s">
        <v>19</v>
      </c>
      <c r="I216" s="4" t="s">
        <v>116</v>
      </c>
      <c r="J216" s="4"/>
      <c r="K216" s="4" t="s">
        <v>102</v>
      </c>
      <c r="L216" s="4"/>
      <c r="M216" s="4"/>
      <c r="N216" s="4"/>
      <c r="O216" s="4"/>
      <c r="P216" s="4" t="s">
        <v>29</v>
      </c>
      <c r="Q216" s="4" t="s">
        <v>60</v>
      </c>
      <c r="R216" s="4"/>
      <c r="S216" s="4"/>
      <c r="T216" s="4"/>
      <c r="U216" s="4"/>
      <c r="V216" s="13">
        <v>1</v>
      </c>
    </row>
    <row r="217" spans="4:22" x14ac:dyDescent="0.45">
      <c r="D217" s="18" t="s">
        <v>511</v>
      </c>
      <c r="E217" s="4" t="str">
        <f>[1]Mitigation!G13395</f>
        <v>irn.mit.vat.ind.nga.a.1</v>
      </c>
      <c r="F217" s="4" t="str">
        <f t="shared" si="12"/>
        <v>N/A</v>
      </c>
      <c r="G217" s="4" t="str">
        <f t="shared" si="14"/>
        <v>irn.mit.vat_.all.nga.all.usdgj.1</v>
      </c>
      <c r="H217" s="4" t="s">
        <v>19</v>
      </c>
      <c r="I217" s="4" t="s">
        <v>116</v>
      </c>
      <c r="J217" s="4"/>
      <c r="K217" s="4" t="s">
        <v>102</v>
      </c>
      <c r="L217" s="4"/>
      <c r="M217" s="4"/>
      <c r="N217" s="4"/>
      <c r="O217" s="4"/>
      <c r="P217" s="4" t="s">
        <v>29</v>
      </c>
      <c r="Q217" s="4" t="s">
        <v>61</v>
      </c>
      <c r="R217" s="4"/>
      <c r="S217" s="4"/>
      <c r="T217" s="4"/>
      <c r="U217" s="4"/>
      <c r="V217" s="13">
        <v>1</v>
      </c>
    </row>
    <row r="218" spans="4:22" x14ac:dyDescent="0.45">
      <c r="D218" s="18" t="s">
        <v>512</v>
      </c>
      <c r="E218" s="4" t="str">
        <f>[1]Mitigation!G13396</f>
        <v>irn.mit.vat.res.coa.a.1</v>
      </c>
      <c r="F218" s="4" t="str">
        <f t="shared" si="12"/>
        <v>N/A</v>
      </c>
      <c r="G218" s="4" t="str">
        <f t="shared" si="14"/>
        <v>irn.mit.vat_.all.coa.all.usdgj.1</v>
      </c>
      <c r="H218" s="4" t="s">
        <v>19</v>
      </c>
      <c r="I218" s="4" t="s">
        <v>116</v>
      </c>
      <c r="J218" s="4"/>
      <c r="K218" s="4" t="s">
        <v>102</v>
      </c>
      <c r="L218" s="4"/>
      <c r="M218" s="4"/>
      <c r="N218" s="4"/>
      <c r="O218" s="4"/>
      <c r="P218" s="4" t="s">
        <v>28</v>
      </c>
      <c r="Q218" s="4" t="s">
        <v>60</v>
      </c>
      <c r="R218" s="4"/>
      <c r="S218" s="4"/>
      <c r="T218" s="4"/>
      <c r="U218" s="4"/>
      <c r="V218" s="13">
        <v>1</v>
      </c>
    </row>
    <row r="219" spans="4:22" x14ac:dyDescent="0.45">
      <c r="D219" s="18" t="s">
        <v>513</v>
      </c>
      <c r="E219" s="4" t="str">
        <f>[1]Mitigation!G13397</f>
        <v>irn.mit.vat.res.nga.a.1</v>
      </c>
      <c r="F219" s="4" t="str">
        <f t="shared" ref="F219:F269" si="16">IF(MTAct,E219&amp;"_"&amp;MSTScenarioID,"N/A")</f>
        <v>N/A</v>
      </c>
      <c r="G219" s="4" t="str">
        <f t="shared" si="14"/>
        <v>irn.mit.vat_.all.nga.all.usdgj.1</v>
      </c>
      <c r="H219" s="4" t="s">
        <v>19</v>
      </c>
      <c r="I219" s="4" t="s">
        <v>116</v>
      </c>
      <c r="J219" s="4"/>
      <c r="K219" s="4" t="s">
        <v>102</v>
      </c>
      <c r="L219" s="4"/>
      <c r="M219" s="4"/>
      <c r="N219" s="4"/>
      <c r="O219" s="4"/>
      <c r="P219" s="4" t="s">
        <v>28</v>
      </c>
      <c r="Q219" s="4" t="s">
        <v>61</v>
      </c>
      <c r="R219" s="4"/>
      <c r="S219" s="4"/>
      <c r="T219" s="4"/>
      <c r="U219" s="4"/>
      <c r="V219" s="13">
        <v>1</v>
      </c>
    </row>
    <row r="220" spans="4:22" x14ac:dyDescent="0.45">
      <c r="D220" s="18" t="s">
        <v>514</v>
      </c>
      <c r="E220" s="4" t="str">
        <f>[1]Mitigation!G13398</f>
        <v>irn.mit.vat.pow.coa.a.1</v>
      </c>
      <c r="F220" s="4" t="str">
        <f t="shared" si="16"/>
        <v>N/A</v>
      </c>
      <c r="G220" s="4" t="str">
        <f t="shared" si="14"/>
        <v>irn.mit.vat_.all.coa.all.usdgj.1</v>
      </c>
      <c r="H220" s="4" t="s">
        <v>19</v>
      </c>
      <c r="I220" s="4" t="s">
        <v>116</v>
      </c>
      <c r="J220" s="4"/>
      <c r="K220" s="4" t="s">
        <v>102</v>
      </c>
      <c r="L220" s="4"/>
      <c r="M220" s="4"/>
      <c r="N220" s="4"/>
      <c r="O220" s="4"/>
      <c r="P220" s="4" t="s">
        <v>26</v>
      </c>
      <c r="Q220" s="4" t="s">
        <v>60</v>
      </c>
      <c r="R220" s="4"/>
      <c r="S220" s="4"/>
      <c r="T220" s="4"/>
      <c r="U220" s="4"/>
      <c r="V220" s="13">
        <v>1</v>
      </c>
    </row>
    <row r="221" spans="4:22" x14ac:dyDescent="0.45">
      <c r="D221" s="18" t="s">
        <v>515</v>
      </c>
      <c r="E221" s="4" t="str">
        <f>[1]Mitigation!G13399</f>
        <v>irn.mit.vat.pow.nga.a.1</v>
      </c>
      <c r="F221" s="4" t="str">
        <f t="shared" si="16"/>
        <v>N/A</v>
      </c>
      <c r="G221" s="4" t="str">
        <f t="shared" si="14"/>
        <v>irn.mit.vat_.all.nga.all.usdgj.1</v>
      </c>
      <c r="H221" s="4" t="s">
        <v>19</v>
      </c>
      <c r="I221" s="4" t="s">
        <v>116</v>
      </c>
      <c r="J221" s="4"/>
      <c r="K221" s="4" t="s">
        <v>102</v>
      </c>
      <c r="L221" s="4"/>
      <c r="M221" s="4"/>
      <c r="N221" s="4"/>
      <c r="O221" s="4"/>
      <c r="P221" s="4" t="s">
        <v>26</v>
      </c>
      <c r="Q221" s="4" t="s">
        <v>61</v>
      </c>
      <c r="R221" s="4"/>
      <c r="S221" s="4"/>
      <c r="T221" s="4"/>
      <c r="U221" s="4"/>
      <c r="V221" s="13">
        <v>1</v>
      </c>
    </row>
    <row r="222" spans="4:22" x14ac:dyDescent="0.45">
      <c r="D222" s="18" t="s">
        <v>516</v>
      </c>
      <c r="E222" s="4" t="str">
        <f>[1]Mitigation!G13400</f>
        <v>irn.mit.vat.all.oop.a.1</v>
      </c>
      <c r="F222" s="4" t="str">
        <f t="shared" si="16"/>
        <v>N/A</v>
      </c>
      <c r="G222" s="4" t="str">
        <f t="shared" si="14"/>
        <v>irn.mit.vat_.all.oop.all.bbusdl.1</v>
      </c>
      <c r="H222" s="4" t="s">
        <v>19</v>
      </c>
      <c r="I222" s="4" t="s">
        <v>116</v>
      </c>
      <c r="J222" s="4"/>
      <c r="K222" s="4" t="s">
        <v>103</v>
      </c>
      <c r="L222" s="4"/>
      <c r="M222" s="4"/>
      <c r="N222" s="4"/>
      <c r="O222" s="4"/>
      <c r="P222" s="4" t="s">
        <v>46</v>
      </c>
      <c r="Q222" s="4" t="s">
        <v>113</v>
      </c>
      <c r="R222" s="4"/>
      <c r="S222" s="4"/>
      <c r="T222" s="4"/>
      <c r="U222" s="4"/>
      <c r="V222" s="13">
        <v>1</v>
      </c>
    </row>
    <row r="223" spans="4:22" x14ac:dyDescent="0.45">
      <c r="D223" s="18" t="s">
        <v>517</v>
      </c>
      <c r="E223" s="4" t="str">
        <f>[1]Mitigation!G13401</f>
        <v>irn.mit.vat.all.gso.a.1</v>
      </c>
      <c r="F223" s="4" t="str">
        <f t="shared" si="16"/>
        <v>N/A</v>
      </c>
      <c r="G223" s="4" t="str">
        <f t="shared" si="14"/>
        <v>irn.mit.vat_.all.gso.all.usdl.1</v>
      </c>
      <c r="H223" s="4" t="s">
        <v>19</v>
      </c>
      <c r="I223" s="4" t="s">
        <v>116</v>
      </c>
      <c r="J223" s="4"/>
      <c r="K223" s="4" t="s">
        <v>104</v>
      </c>
      <c r="L223" s="4"/>
      <c r="M223" s="4"/>
      <c r="N223" s="4"/>
      <c r="O223" s="4"/>
      <c r="P223" s="4" t="s">
        <v>46</v>
      </c>
      <c r="Q223" s="4" t="s">
        <v>63</v>
      </c>
      <c r="R223" s="4"/>
      <c r="S223" s="4"/>
      <c r="T223" s="4"/>
      <c r="U223" s="4"/>
      <c r="V223" s="13">
        <v>1</v>
      </c>
    </row>
    <row r="224" spans="4:22" x14ac:dyDescent="0.45">
      <c r="D224" s="18" t="s">
        <v>518</v>
      </c>
      <c r="E224" s="4" t="str">
        <f>[1]Mitigation!G13402</f>
        <v>irn.mit.vat.all.die.a.1</v>
      </c>
      <c r="F224" s="4" t="str">
        <f t="shared" si="16"/>
        <v>N/A</v>
      </c>
      <c r="G224" s="4" t="str">
        <f t="shared" si="14"/>
        <v>irn.mit.vat_.all.die.all.usdl.1</v>
      </c>
      <c r="H224" s="4" t="s">
        <v>19</v>
      </c>
      <c r="I224" s="4" t="s">
        <v>116</v>
      </c>
      <c r="J224" s="4"/>
      <c r="K224" s="4" t="s">
        <v>104</v>
      </c>
      <c r="L224" s="4"/>
      <c r="M224" s="4"/>
      <c r="N224" s="4"/>
      <c r="O224" s="4"/>
      <c r="P224" s="4" t="s">
        <v>46</v>
      </c>
      <c r="Q224" s="4" t="s">
        <v>64</v>
      </c>
      <c r="R224" s="4"/>
      <c r="S224" s="4"/>
      <c r="T224" s="4"/>
      <c r="U224" s="4"/>
      <c r="V224" s="13">
        <v>1</v>
      </c>
    </row>
    <row r="225" spans="4:22" x14ac:dyDescent="0.45">
      <c r="D225" s="18" t="s">
        <v>519</v>
      </c>
      <c r="E225" s="4" t="str">
        <f>[1]Mitigation!G13403</f>
        <v>irn.mit.vat.all.lpg.a.1</v>
      </c>
      <c r="F225" s="4" t="str">
        <f t="shared" si="16"/>
        <v>N/A</v>
      </c>
      <c r="G225" s="4" t="str">
        <f t="shared" si="14"/>
        <v>irn.mit.vat_.all.lpg.all.usdl.1</v>
      </c>
      <c r="H225" s="4" t="s">
        <v>19</v>
      </c>
      <c r="I225" s="4" t="s">
        <v>116</v>
      </c>
      <c r="J225" s="4"/>
      <c r="K225" s="4" t="s">
        <v>104</v>
      </c>
      <c r="L225" s="4"/>
      <c r="M225" s="4"/>
      <c r="N225" s="4"/>
      <c r="O225" s="4"/>
      <c r="P225" s="4" t="s">
        <v>46</v>
      </c>
      <c r="Q225" s="4" t="s">
        <v>65</v>
      </c>
      <c r="R225" s="4"/>
      <c r="S225" s="4"/>
      <c r="T225" s="4"/>
      <c r="U225" s="4"/>
      <c r="V225" s="13">
        <v>1</v>
      </c>
    </row>
    <row r="226" spans="4:22" x14ac:dyDescent="0.45">
      <c r="D226" s="18" t="s">
        <v>520</v>
      </c>
      <c r="E226" s="4" t="str">
        <f>[1]Mitigation!G13404</f>
        <v>irn.mit.vat.all.ker.a.1</v>
      </c>
      <c r="F226" s="4" t="str">
        <f>IF(MTAct,E226&amp;"_"&amp;MSTScenarioID,"N/A")</f>
        <v>N/A</v>
      </c>
      <c r="G226" s="4" t="str">
        <f t="shared" si="14"/>
        <v>irn.mit.vat_.all.ker.all.usdl.1</v>
      </c>
      <c r="H226" s="4" t="s">
        <v>19</v>
      </c>
      <c r="I226" s="4" t="s">
        <v>116</v>
      </c>
      <c r="J226" s="4"/>
      <c r="K226" s="4" t="s">
        <v>104</v>
      </c>
      <c r="L226" s="4"/>
      <c r="M226" s="4"/>
      <c r="N226" s="4"/>
      <c r="O226" s="4"/>
      <c r="P226" s="4" t="s">
        <v>46</v>
      </c>
      <c r="Q226" s="4" t="s">
        <v>66</v>
      </c>
      <c r="R226" s="4"/>
      <c r="S226" s="4"/>
      <c r="T226" s="4"/>
      <c r="U226" s="4"/>
      <c r="V226" s="13">
        <v>1</v>
      </c>
    </row>
    <row r="227" spans="4:22" x14ac:dyDescent="0.45">
      <c r="D227" s="44" t="s">
        <v>521</v>
      </c>
      <c r="E227" s="4" t="str">
        <f>[1]Mitigation!G13406</f>
        <v>irn.mit.ctx.ind.ecy.t.1</v>
      </c>
      <c r="F227" s="4" t="str">
        <f t="shared" si="16"/>
        <v>N/A</v>
      </c>
      <c r="G227" s="4" t="str">
        <f t="shared" si="14"/>
        <v>irn.mit.vat_.all.ecy.all.usdkwh.1</v>
      </c>
      <c r="H227" s="4" t="s">
        <v>19</v>
      </c>
      <c r="I227" s="4" t="s">
        <v>116</v>
      </c>
      <c r="J227" s="4"/>
      <c r="K227" s="4" t="s">
        <v>100</v>
      </c>
      <c r="L227" s="4"/>
      <c r="M227" s="4"/>
      <c r="N227" s="4"/>
      <c r="O227" s="4"/>
      <c r="P227" s="4" t="s">
        <v>29</v>
      </c>
      <c r="Q227" s="4" t="s">
        <v>101</v>
      </c>
      <c r="R227" s="4"/>
      <c r="S227" s="4"/>
      <c r="T227" s="4"/>
      <c r="U227" s="4"/>
      <c r="V227" s="13">
        <v>1</v>
      </c>
    </row>
    <row r="228" spans="4:22" x14ac:dyDescent="0.45">
      <c r="D228" s="18" t="s">
        <v>522</v>
      </c>
      <c r="E228" s="4" t="str">
        <f>[1]Mitigation!G13407</f>
        <v>irn.mit.ctx.res.ecy.t.1</v>
      </c>
      <c r="F228" s="4" t="str">
        <f t="shared" si="16"/>
        <v>N/A</v>
      </c>
      <c r="G228" s="4" t="str">
        <f t="shared" si="14"/>
        <v>irn.mit.vat_.all.ecy.all.usdkwh.1</v>
      </c>
      <c r="H228" s="4" t="s">
        <v>19</v>
      </c>
      <c r="I228" s="4" t="s">
        <v>116</v>
      </c>
      <c r="J228" s="4"/>
      <c r="K228" s="4" t="s">
        <v>100</v>
      </c>
      <c r="L228" s="4"/>
      <c r="M228" s="4"/>
      <c r="N228" s="4"/>
      <c r="O228" s="4"/>
      <c r="P228" s="4" t="s">
        <v>28</v>
      </c>
      <c r="Q228" s="4" t="s">
        <v>101</v>
      </c>
      <c r="R228" s="4"/>
      <c r="S228" s="4"/>
      <c r="T228" s="4"/>
      <c r="U228" s="4"/>
      <c r="V228" s="13">
        <v>1</v>
      </c>
    </row>
    <row r="229" spans="4:22" x14ac:dyDescent="0.45">
      <c r="D229" s="18" t="s">
        <v>523</v>
      </c>
      <c r="E229" s="4" t="str">
        <f>[1]Mitigation!G13408</f>
        <v>irn.mit.ctx.ind.coa.a.1</v>
      </c>
      <c r="F229" s="4" t="str">
        <f t="shared" si="16"/>
        <v>N/A</v>
      </c>
      <c r="G229" s="4" t="str">
        <f t="shared" si="14"/>
        <v>irn.mit.vat_.all.coa.all.usdgj.1</v>
      </c>
      <c r="H229" s="4" t="s">
        <v>19</v>
      </c>
      <c r="I229" s="4" t="s">
        <v>116</v>
      </c>
      <c r="J229" s="4"/>
      <c r="K229" s="4" t="s">
        <v>102</v>
      </c>
      <c r="L229" s="4"/>
      <c r="M229" s="4"/>
      <c r="N229" s="4"/>
      <c r="O229" s="4"/>
      <c r="P229" s="4" t="s">
        <v>29</v>
      </c>
      <c r="Q229" s="4" t="s">
        <v>60</v>
      </c>
      <c r="R229" s="4"/>
      <c r="S229" s="4"/>
      <c r="T229" s="4"/>
      <c r="U229" s="4"/>
      <c r="V229" s="13">
        <v>1</v>
      </c>
    </row>
    <row r="230" spans="4:22" x14ac:dyDescent="0.45">
      <c r="D230" s="18" t="s">
        <v>524</v>
      </c>
      <c r="E230" s="4" t="str">
        <f>[1]Mitigation!G13409</f>
        <v>irn.mit.ctx.ind.nga.a.1</v>
      </c>
      <c r="F230" s="4" t="str">
        <f t="shared" si="16"/>
        <v>N/A</v>
      </c>
      <c r="G230" s="4" t="str">
        <f t="shared" si="14"/>
        <v>irn.mit.vat_.all.nga.all.usdgj.1</v>
      </c>
      <c r="H230" s="4" t="s">
        <v>19</v>
      </c>
      <c r="I230" s="4" t="s">
        <v>116</v>
      </c>
      <c r="J230" s="4"/>
      <c r="K230" s="4" t="s">
        <v>102</v>
      </c>
      <c r="L230" s="4"/>
      <c r="M230" s="4"/>
      <c r="N230" s="4"/>
      <c r="O230" s="4"/>
      <c r="P230" s="4" t="s">
        <v>29</v>
      </c>
      <c r="Q230" s="4" t="s">
        <v>61</v>
      </c>
      <c r="R230" s="4"/>
      <c r="S230" s="4"/>
      <c r="T230" s="4"/>
      <c r="U230" s="4"/>
      <c r="V230" s="13">
        <v>1</v>
      </c>
    </row>
    <row r="231" spans="4:22" x14ac:dyDescent="0.45">
      <c r="D231" s="18" t="s">
        <v>525</v>
      </c>
      <c r="E231" s="4" t="str">
        <f>[1]Mitigation!G13410</f>
        <v>irn.mit.ctx.res.coa.a.1</v>
      </c>
      <c r="F231" s="4" t="str">
        <f t="shared" si="16"/>
        <v>N/A</v>
      </c>
      <c r="G231" s="4" t="str">
        <f t="shared" si="14"/>
        <v>irn.mit.vat_.all.coa.all.usdgj.1</v>
      </c>
      <c r="H231" s="4" t="s">
        <v>19</v>
      </c>
      <c r="I231" s="4" t="s">
        <v>116</v>
      </c>
      <c r="J231" s="4"/>
      <c r="K231" s="4" t="s">
        <v>102</v>
      </c>
      <c r="L231" s="4"/>
      <c r="M231" s="4"/>
      <c r="N231" s="4"/>
      <c r="O231" s="4"/>
      <c r="P231" s="4" t="s">
        <v>28</v>
      </c>
      <c r="Q231" s="4" t="s">
        <v>60</v>
      </c>
      <c r="R231" s="4"/>
      <c r="S231" s="4"/>
      <c r="T231" s="4"/>
      <c r="U231" s="4"/>
      <c r="V231" s="13">
        <v>1</v>
      </c>
    </row>
    <row r="232" spans="4:22" x14ac:dyDescent="0.45">
      <c r="D232" s="18" t="s">
        <v>526</v>
      </c>
      <c r="E232" s="4" t="str">
        <f>[1]Mitigation!G13411</f>
        <v>irn.mit.ctx.res.nga.a.1</v>
      </c>
      <c r="F232" s="4" t="str">
        <f t="shared" si="16"/>
        <v>N/A</v>
      </c>
      <c r="G232" s="4" t="str">
        <f t="shared" si="14"/>
        <v>irn.mit.vat_.all.nga.all.usdgj.1</v>
      </c>
      <c r="H232" s="4" t="s">
        <v>19</v>
      </c>
      <c r="I232" s="4" t="s">
        <v>116</v>
      </c>
      <c r="J232" s="4"/>
      <c r="K232" s="4" t="s">
        <v>102</v>
      </c>
      <c r="L232" s="4"/>
      <c r="M232" s="4"/>
      <c r="N232" s="4"/>
      <c r="O232" s="4"/>
      <c r="P232" s="4" t="s">
        <v>28</v>
      </c>
      <c r="Q232" s="4" t="s">
        <v>61</v>
      </c>
      <c r="R232" s="4"/>
      <c r="S232" s="4"/>
      <c r="T232" s="4"/>
      <c r="U232" s="4"/>
      <c r="V232" s="13">
        <v>1</v>
      </c>
    </row>
    <row r="233" spans="4:22" x14ac:dyDescent="0.45">
      <c r="D233" s="18" t="s">
        <v>527</v>
      </c>
      <c r="E233" s="4" t="str">
        <f>[1]Mitigation!G13412</f>
        <v>irn.mit.ctx.pow.coa.a.1</v>
      </c>
      <c r="F233" s="4" t="str">
        <f t="shared" si="16"/>
        <v>N/A</v>
      </c>
      <c r="G233" s="4" t="str">
        <f t="shared" si="14"/>
        <v>irn.mit.vat_.all.coa.all.usdgj.1</v>
      </c>
      <c r="H233" s="4" t="s">
        <v>19</v>
      </c>
      <c r="I233" s="4" t="s">
        <v>116</v>
      </c>
      <c r="J233" s="4"/>
      <c r="K233" s="4" t="s">
        <v>102</v>
      </c>
      <c r="L233" s="4"/>
      <c r="M233" s="4"/>
      <c r="N233" s="4"/>
      <c r="O233" s="4"/>
      <c r="P233" s="4" t="s">
        <v>26</v>
      </c>
      <c r="Q233" s="4" t="s">
        <v>60</v>
      </c>
      <c r="R233" s="4"/>
      <c r="S233" s="4"/>
      <c r="T233" s="4"/>
      <c r="U233" s="4"/>
      <c r="V233" s="13">
        <v>1</v>
      </c>
    </row>
    <row r="234" spans="4:22" x14ac:dyDescent="0.45">
      <c r="D234" s="18" t="s">
        <v>528</v>
      </c>
      <c r="E234" s="4" t="str">
        <f>[1]Mitigation!G13413</f>
        <v>irn.mit.ctx.pow.nga.a.1</v>
      </c>
      <c r="F234" s="4" t="str">
        <f t="shared" si="16"/>
        <v>N/A</v>
      </c>
      <c r="G234" s="4" t="str">
        <f t="shared" si="14"/>
        <v>irn.mit.vat_.all.nga.all.usdgj.1</v>
      </c>
      <c r="H234" s="4" t="s">
        <v>19</v>
      </c>
      <c r="I234" s="4" t="s">
        <v>116</v>
      </c>
      <c r="J234" s="4"/>
      <c r="K234" s="4" t="s">
        <v>102</v>
      </c>
      <c r="L234" s="4"/>
      <c r="M234" s="4"/>
      <c r="N234" s="4"/>
      <c r="O234" s="4"/>
      <c r="P234" s="4" t="s">
        <v>26</v>
      </c>
      <c r="Q234" s="4" t="s">
        <v>61</v>
      </c>
      <c r="R234" s="4"/>
      <c r="S234" s="4"/>
      <c r="T234" s="4"/>
      <c r="U234" s="4"/>
      <c r="V234" s="13">
        <v>1</v>
      </c>
    </row>
    <row r="235" spans="4:22" x14ac:dyDescent="0.45">
      <c r="D235" s="18" t="s">
        <v>529</v>
      </c>
      <c r="E235" s="4" t="str">
        <f>[1]Mitigation!G13414</f>
        <v>irn.mit.ctx.all.oop.a.1</v>
      </c>
      <c r="F235" s="4" t="str">
        <f t="shared" si="16"/>
        <v>N/A</v>
      </c>
      <c r="G235" s="4" t="str">
        <f t="shared" si="14"/>
        <v>irn.mit.vat_.all.oop.all.bbusdl.1</v>
      </c>
      <c r="H235" s="4" t="s">
        <v>19</v>
      </c>
      <c r="I235" s="4" t="s">
        <v>116</v>
      </c>
      <c r="J235" s="4"/>
      <c r="K235" s="4" t="s">
        <v>103</v>
      </c>
      <c r="L235" s="4"/>
      <c r="M235" s="4"/>
      <c r="N235" s="4"/>
      <c r="O235" s="4"/>
      <c r="P235" s="4" t="s">
        <v>46</v>
      </c>
      <c r="Q235" s="4" t="s">
        <v>113</v>
      </c>
      <c r="R235" s="4"/>
      <c r="S235" s="4"/>
      <c r="T235" s="4"/>
      <c r="U235" s="4"/>
      <c r="V235" s="13">
        <v>1</v>
      </c>
    </row>
    <row r="236" spans="4:22" x14ac:dyDescent="0.45">
      <c r="D236" s="18" t="s">
        <v>530</v>
      </c>
      <c r="E236" s="4" t="str">
        <f>[1]Mitigation!G13415</f>
        <v>irn.mit.ctx.all.gso.a.1</v>
      </c>
      <c r="F236" s="4" t="str">
        <f t="shared" si="16"/>
        <v>N/A</v>
      </c>
      <c r="G236" s="4" t="str">
        <f t="shared" si="14"/>
        <v>irn.mit.vat_.all.gso.all.usdl.1</v>
      </c>
      <c r="H236" s="4" t="s">
        <v>19</v>
      </c>
      <c r="I236" s="4" t="s">
        <v>116</v>
      </c>
      <c r="J236" s="4"/>
      <c r="K236" s="4" t="s">
        <v>104</v>
      </c>
      <c r="L236" s="4"/>
      <c r="M236" s="4"/>
      <c r="N236" s="4"/>
      <c r="O236" s="4"/>
      <c r="P236" s="4" t="s">
        <v>46</v>
      </c>
      <c r="Q236" s="4" t="s">
        <v>63</v>
      </c>
      <c r="R236" s="4"/>
      <c r="S236" s="4"/>
      <c r="T236" s="4"/>
      <c r="U236" s="4"/>
      <c r="V236" s="13">
        <v>1</v>
      </c>
    </row>
    <row r="237" spans="4:22" x14ac:dyDescent="0.45">
      <c r="D237" s="18" t="s">
        <v>531</v>
      </c>
      <c r="E237" s="4" t="str">
        <f>[1]Mitigation!G13416</f>
        <v>irn.mit.ctx.all.die.a.1</v>
      </c>
      <c r="F237" s="4" t="str">
        <f t="shared" si="16"/>
        <v>N/A</v>
      </c>
      <c r="G237" s="4" t="str">
        <f t="shared" si="14"/>
        <v>irn.mit.vat_.all.die.all.usdl.1</v>
      </c>
      <c r="H237" s="4" t="s">
        <v>19</v>
      </c>
      <c r="I237" s="4" t="s">
        <v>116</v>
      </c>
      <c r="J237" s="4"/>
      <c r="K237" s="4" t="s">
        <v>104</v>
      </c>
      <c r="L237" s="4"/>
      <c r="M237" s="4"/>
      <c r="N237" s="4"/>
      <c r="O237" s="4"/>
      <c r="P237" s="4" t="s">
        <v>46</v>
      </c>
      <c r="Q237" s="4" t="s">
        <v>64</v>
      </c>
      <c r="R237" s="4"/>
      <c r="S237" s="4"/>
      <c r="T237" s="4"/>
      <c r="U237" s="4"/>
      <c r="V237" s="13">
        <v>1</v>
      </c>
    </row>
    <row r="238" spans="4:22" x14ac:dyDescent="0.45">
      <c r="D238" s="18" t="s">
        <v>532</v>
      </c>
      <c r="E238" s="4" t="str">
        <f>[1]Mitigation!G13417</f>
        <v>irn.mit.ctx.all.lpg.a.1</v>
      </c>
      <c r="F238" s="4" t="str">
        <f t="shared" si="16"/>
        <v>N/A</v>
      </c>
      <c r="G238" s="4" t="str">
        <f t="shared" si="14"/>
        <v>irn.mit.vat_.all.lpg.all.usdl.1</v>
      </c>
      <c r="H238" s="4" t="s">
        <v>19</v>
      </c>
      <c r="I238" s="4" t="s">
        <v>116</v>
      </c>
      <c r="J238" s="4"/>
      <c r="K238" s="4" t="s">
        <v>104</v>
      </c>
      <c r="L238" s="4"/>
      <c r="M238" s="4"/>
      <c r="N238" s="4"/>
      <c r="O238" s="4"/>
      <c r="P238" s="4" t="s">
        <v>46</v>
      </c>
      <c r="Q238" s="4" t="s">
        <v>65</v>
      </c>
      <c r="R238" s="4"/>
      <c r="S238" s="4"/>
      <c r="T238" s="4"/>
      <c r="U238" s="4"/>
      <c r="V238" s="13">
        <v>1</v>
      </c>
    </row>
    <row r="239" spans="4:22" x14ac:dyDescent="0.45">
      <c r="D239" s="18" t="s">
        <v>533</v>
      </c>
      <c r="E239" s="4" t="str">
        <f>[1]Mitigation!G13418</f>
        <v>irn.mit.ctx.all.ker.a.1</v>
      </c>
      <c r="F239" s="4" t="str">
        <f t="shared" si="16"/>
        <v>N/A</v>
      </c>
      <c r="G239" s="4" t="str">
        <f t="shared" si="14"/>
        <v>irn.mit.vat_.all.ker.all.usdl.1</v>
      </c>
      <c r="H239" s="4" t="s">
        <v>19</v>
      </c>
      <c r="I239" s="4" t="s">
        <v>116</v>
      </c>
      <c r="J239" s="4"/>
      <c r="K239" s="4" t="s">
        <v>104</v>
      </c>
      <c r="L239" s="4"/>
      <c r="M239" s="4"/>
      <c r="N239" s="4"/>
      <c r="O239" s="4"/>
      <c r="P239" s="4" t="s">
        <v>46</v>
      </c>
      <c r="Q239" s="4" t="s">
        <v>66</v>
      </c>
      <c r="R239" s="4"/>
      <c r="S239" s="4"/>
      <c r="T239" s="4"/>
      <c r="U239" s="4"/>
      <c r="V239" s="13">
        <v>1</v>
      </c>
    </row>
    <row r="240" spans="4:22" x14ac:dyDescent="0.45">
      <c r="D240" s="44" t="s">
        <v>534</v>
      </c>
      <c r="E240" s="4" t="str">
        <f>[1]Mitigation!G13420</f>
        <v>irn.mit.ets.ind.ecy.t.1</v>
      </c>
      <c r="F240" s="4" t="str">
        <f t="shared" si="16"/>
        <v>N/A</v>
      </c>
      <c r="G240" s="4" t="str">
        <f t="shared" si="14"/>
        <v>irn.mit.ets_.all.ecy.all.usdkwh.1</v>
      </c>
      <c r="H240" s="4" t="s">
        <v>19</v>
      </c>
      <c r="I240" s="4" t="s">
        <v>117</v>
      </c>
      <c r="J240" s="4"/>
      <c r="K240" s="4" t="s">
        <v>100</v>
      </c>
      <c r="L240" s="4"/>
      <c r="M240" s="4"/>
      <c r="N240" s="4"/>
      <c r="O240" s="4"/>
      <c r="P240" s="4" t="s">
        <v>29</v>
      </c>
      <c r="Q240" s="4" t="s">
        <v>101</v>
      </c>
      <c r="R240" s="4"/>
      <c r="S240" s="4"/>
      <c r="T240" s="4"/>
      <c r="U240" s="4"/>
      <c r="V240" s="13">
        <v>1</v>
      </c>
    </row>
    <row r="241" spans="4:22" x14ac:dyDescent="0.45">
      <c r="D241" s="18" t="s">
        <v>535</v>
      </c>
      <c r="E241" s="4" t="str">
        <f>[1]Mitigation!G13421</f>
        <v>irn.mit.ets.res.ecy.t.1</v>
      </c>
      <c r="F241" s="4" t="str">
        <f t="shared" si="16"/>
        <v>N/A</v>
      </c>
      <c r="G241" s="4" t="str">
        <f t="shared" si="14"/>
        <v>irn.mit.ets_.all.ecy.all.usdkwh.1</v>
      </c>
      <c r="H241" s="4" t="s">
        <v>19</v>
      </c>
      <c r="I241" s="4" t="s">
        <v>117</v>
      </c>
      <c r="J241" s="4"/>
      <c r="K241" s="4" t="s">
        <v>100</v>
      </c>
      <c r="L241" s="4"/>
      <c r="M241" s="4"/>
      <c r="N241" s="4"/>
      <c r="O241" s="4"/>
      <c r="P241" s="4" t="s">
        <v>28</v>
      </c>
      <c r="Q241" s="4" t="s">
        <v>101</v>
      </c>
      <c r="R241" s="4"/>
      <c r="S241" s="4"/>
      <c r="T241" s="4"/>
      <c r="U241" s="4"/>
      <c r="V241" s="13">
        <v>1</v>
      </c>
    </row>
    <row r="242" spans="4:22" x14ac:dyDescent="0.45">
      <c r="D242" s="18" t="s">
        <v>536</v>
      </c>
      <c r="E242" s="4" t="str">
        <f>[1]Mitigation!G13422</f>
        <v>irn.mit.ets.ind.coa.a.1</v>
      </c>
      <c r="F242" s="4" t="str">
        <f t="shared" si="16"/>
        <v>N/A</v>
      </c>
      <c r="G242" s="4" t="str">
        <f t="shared" si="14"/>
        <v>irn.mit.ets_.all.coa.all.usdgj.1</v>
      </c>
      <c r="H242" s="4" t="s">
        <v>19</v>
      </c>
      <c r="I242" s="4" t="s">
        <v>117</v>
      </c>
      <c r="J242" s="4"/>
      <c r="K242" s="4" t="s">
        <v>102</v>
      </c>
      <c r="L242" s="4"/>
      <c r="M242" s="4"/>
      <c r="N242" s="4"/>
      <c r="O242" s="4"/>
      <c r="P242" s="4" t="s">
        <v>29</v>
      </c>
      <c r="Q242" s="4" t="s">
        <v>60</v>
      </c>
      <c r="R242" s="4"/>
      <c r="S242" s="4"/>
      <c r="T242" s="4"/>
      <c r="U242" s="4"/>
      <c r="V242" s="13">
        <v>1</v>
      </c>
    </row>
    <row r="243" spans="4:22" x14ac:dyDescent="0.45">
      <c r="D243" s="18" t="s">
        <v>537</v>
      </c>
      <c r="E243" s="4" t="str">
        <f>[1]Mitigation!G13423</f>
        <v>irn.mit.ets.ind.nga.a.1</v>
      </c>
      <c r="F243" s="4" t="str">
        <f t="shared" si="16"/>
        <v>N/A</v>
      </c>
      <c r="G243" s="4" t="str">
        <f t="shared" si="14"/>
        <v>irn.mit.ets_.all.nga.all.usdgj.1</v>
      </c>
      <c r="H243" s="4" t="s">
        <v>19</v>
      </c>
      <c r="I243" s="4" t="s">
        <v>117</v>
      </c>
      <c r="J243" s="4"/>
      <c r="K243" s="4" t="s">
        <v>102</v>
      </c>
      <c r="L243" s="4"/>
      <c r="M243" s="4"/>
      <c r="N243" s="4"/>
      <c r="O243" s="4"/>
      <c r="P243" s="4" t="s">
        <v>29</v>
      </c>
      <c r="Q243" s="4" t="s">
        <v>61</v>
      </c>
      <c r="R243" s="4"/>
      <c r="S243" s="4"/>
      <c r="T243" s="4"/>
      <c r="U243" s="4"/>
      <c r="V243" s="13">
        <v>1</v>
      </c>
    </row>
    <row r="244" spans="4:22" x14ac:dyDescent="0.45">
      <c r="D244" s="18" t="s">
        <v>538</v>
      </c>
      <c r="E244" s="4" t="str">
        <f>[1]Mitigation!G13424</f>
        <v>irn.mit.ets.res.coa.a.1</v>
      </c>
      <c r="F244" s="4" t="str">
        <f t="shared" si="16"/>
        <v>N/A</v>
      </c>
      <c r="G244" s="4" t="str">
        <f t="shared" si="14"/>
        <v>irn.mit.ets_.all.coa.all.usdgj.1</v>
      </c>
      <c r="H244" s="4" t="s">
        <v>19</v>
      </c>
      <c r="I244" s="4" t="s">
        <v>117</v>
      </c>
      <c r="J244" s="4"/>
      <c r="K244" s="4" t="s">
        <v>102</v>
      </c>
      <c r="L244" s="4"/>
      <c r="M244" s="4"/>
      <c r="N244" s="4"/>
      <c r="O244" s="4"/>
      <c r="P244" s="4" t="s">
        <v>28</v>
      </c>
      <c r="Q244" s="4" t="s">
        <v>60</v>
      </c>
      <c r="R244" s="4"/>
      <c r="S244" s="4"/>
      <c r="T244" s="4"/>
      <c r="U244" s="4"/>
      <c r="V244" s="13">
        <v>1</v>
      </c>
    </row>
    <row r="245" spans="4:22" x14ac:dyDescent="0.45">
      <c r="D245" s="18" t="s">
        <v>539</v>
      </c>
      <c r="E245" s="4" t="str">
        <f>[1]Mitigation!G13425</f>
        <v>irn.mit.ets.res.nga.a.1</v>
      </c>
      <c r="F245" s="4" t="str">
        <f t="shared" si="16"/>
        <v>N/A</v>
      </c>
      <c r="G245" s="4" t="str">
        <f t="shared" si="14"/>
        <v>irn.mit.ets_.all.nga.all.usdgj.1</v>
      </c>
      <c r="H245" s="4" t="s">
        <v>19</v>
      </c>
      <c r="I245" s="4" t="s">
        <v>117</v>
      </c>
      <c r="J245" s="4"/>
      <c r="K245" s="4" t="s">
        <v>102</v>
      </c>
      <c r="L245" s="4"/>
      <c r="M245" s="4"/>
      <c r="N245" s="4"/>
      <c r="O245" s="4"/>
      <c r="P245" s="4" t="s">
        <v>28</v>
      </c>
      <c r="Q245" s="4" t="s">
        <v>61</v>
      </c>
      <c r="R245" s="4"/>
      <c r="S245" s="4"/>
      <c r="T245" s="4"/>
      <c r="U245" s="4"/>
      <c r="V245" s="13">
        <v>1</v>
      </c>
    </row>
    <row r="246" spans="4:22" x14ac:dyDescent="0.45">
      <c r="D246" s="18" t="s">
        <v>540</v>
      </c>
      <c r="E246" s="4" t="str">
        <f>[1]Mitigation!G13426</f>
        <v>irn.mit.ets.pow.coa.a.1</v>
      </c>
      <c r="F246" s="4" t="str">
        <f t="shared" si="16"/>
        <v>N/A</v>
      </c>
      <c r="G246" s="4" t="str">
        <f t="shared" si="14"/>
        <v>irn.mit.ets_.all.coa.all.usdgj.1</v>
      </c>
      <c r="H246" s="4" t="s">
        <v>19</v>
      </c>
      <c r="I246" s="4" t="s">
        <v>117</v>
      </c>
      <c r="J246" s="4"/>
      <c r="K246" s="4" t="s">
        <v>102</v>
      </c>
      <c r="L246" s="4"/>
      <c r="M246" s="4"/>
      <c r="N246" s="4"/>
      <c r="O246" s="4"/>
      <c r="P246" s="4" t="s">
        <v>26</v>
      </c>
      <c r="Q246" s="4" t="s">
        <v>60</v>
      </c>
      <c r="R246" s="4"/>
      <c r="S246" s="4"/>
      <c r="T246" s="4"/>
      <c r="U246" s="4"/>
      <c r="V246" s="13">
        <v>1</v>
      </c>
    </row>
    <row r="247" spans="4:22" x14ac:dyDescent="0.45">
      <c r="D247" s="18" t="s">
        <v>541</v>
      </c>
      <c r="E247" s="4" t="str">
        <f>[1]Mitigation!G13427</f>
        <v>irn.mit.ets.pow.nga.a.1</v>
      </c>
      <c r="F247" s="4" t="str">
        <f t="shared" si="16"/>
        <v>N/A</v>
      </c>
      <c r="G247" s="4" t="str">
        <f t="shared" si="14"/>
        <v>irn.mit.ets_.all.nga.all.usdgj.1</v>
      </c>
      <c r="H247" s="4" t="s">
        <v>19</v>
      </c>
      <c r="I247" s="4" t="s">
        <v>117</v>
      </c>
      <c r="J247" s="4"/>
      <c r="K247" s="4" t="s">
        <v>102</v>
      </c>
      <c r="L247" s="4"/>
      <c r="M247" s="4"/>
      <c r="N247" s="4"/>
      <c r="O247" s="4"/>
      <c r="P247" s="4" t="s">
        <v>26</v>
      </c>
      <c r="Q247" s="4" t="s">
        <v>61</v>
      </c>
      <c r="R247" s="4"/>
      <c r="S247" s="4"/>
      <c r="T247" s="4"/>
      <c r="U247" s="4"/>
      <c r="V247" s="13">
        <v>1</v>
      </c>
    </row>
    <row r="248" spans="4:22" x14ac:dyDescent="0.45">
      <c r="D248" s="18" t="s">
        <v>542</v>
      </c>
      <c r="E248" s="4" t="str">
        <f>[1]Mitigation!G13428</f>
        <v>irn.mit.ets.all.oop.a.1</v>
      </c>
      <c r="F248" s="4" t="str">
        <f t="shared" si="16"/>
        <v>N/A</v>
      </c>
      <c r="G248" s="4" t="str">
        <f t="shared" si="14"/>
        <v>irn.mit.ets_.all.oop.all.bbusdl.1</v>
      </c>
      <c r="H248" s="4" t="s">
        <v>19</v>
      </c>
      <c r="I248" s="4" t="s">
        <v>117</v>
      </c>
      <c r="J248" s="4"/>
      <c r="K248" s="4" t="s">
        <v>103</v>
      </c>
      <c r="L248" s="4"/>
      <c r="M248" s="4"/>
      <c r="N248" s="4"/>
      <c r="O248" s="4"/>
      <c r="P248" s="4" t="s">
        <v>46</v>
      </c>
      <c r="Q248" s="4" t="s">
        <v>113</v>
      </c>
      <c r="R248" s="4"/>
      <c r="S248" s="4"/>
      <c r="T248" s="4"/>
      <c r="U248" s="4"/>
      <c r="V248" s="13">
        <v>1</v>
      </c>
    </row>
    <row r="249" spans="4:22" x14ac:dyDescent="0.45">
      <c r="D249" s="18" t="s">
        <v>543</v>
      </c>
      <c r="E249" s="4" t="str">
        <f>[1]Mitigation!G13429</f>
        <v>irn.mit.ets.all.gso.a.1</v>
      </c>
      <c r="F249" s="4" t="str">
        <f t="shared" si="16"/>
        <v>N/A</v>
      </c>
      <c r="G249" s="4" t="str">
        <f t="shared" si="14"/>
        <v>irn.mit.ets_.all.gso.all.usdl.1</v>
      </c>
      <c r="H249" s="4" t="s">
        <v>19</v>
      </c>
      <c r="I249" s="4" t="s">
        <v>117</v>
      </c>
      <c r="J249" s="4"/>
      <c r="K249" s="4" t="s">
        <v>104</v>
      </c>
      <c r="L249" s="4"/>
      <c r="M249" s="4"/>
      <c r="N249" s="4"/>
      <c r="O249" s="4"/>
      <c r="P249" s="4" t="s">
        <v>46</v>
      </c>
      <c r="Q249" s="4" t="s">
        <v>63</v>
      </c>
      <c r="R249" s="4"/>
      <c r="S249" s="4"/>
      <c r="T249" s="4"/>
      <c r="U249" s="4"/>
      <c r="V249" s="13">
        <v>1</v>
      </c>
    </row>
    <row r="250" spans="4:22" x14ac:dyDescent="0.45">
      <c r="D250" s="18" t="s">
        <v>544</v>
      </c>
      <c r="E250" s="4" t="str">
        <f>[1]Mitigation!G13430</f>
        <v>irn.mit.ets.all.die.a.1</v>
      </c>
      <c r="F250" s="4" t="str">
        <f t="shared" si="16"/>
        <v>N/A</v>
      </c>
      <c r="G250" s="4" t="str">
        <f t="shared" si="14"/>
        <v>irn.mit.ets_.all.die.all.usdl.1</v>
      </c>
      <c r="H250" s="4" t="s">
        <v>19</v>
      </c>
      <c r="I250" s="4" t="s">
        <v>117</v>
      </c>
      <c r="J250" s="4"/>
      <c r="K250" s="4" t="s">
        <v>104</v>
      </c>
      <c r="L250" s="4"/>
      <c r="M250" s="4"/>
      <c r="N250" s="4"/>
      <c r="O250" s="4"/>
      <c r="P250" s="4" t="s">
        <v>46</v>
      </c>
      <c r="Q250" s="4" t="s">
        <v>64</v>
      </c>
      <c r="R250" s="4"/>
      <c r="S250" s="4"/>
      <c r="T250" s="4"/>
      <c r="U250" s="4"/>
      <c r="V250" s="13">
        <v>1</v>
      </c>
    </row>
    <row r="251" spans="4:22" x14ac:dyDescent="0.45">
      <c r="D251" s="18" t="s">
        <v>545</v>
      </c>
      <c r="E251" s="4" t="str">
        <f>[1]Mitigation!G13431</f>
        <v>irn.mit.ets.all.lpg.a.1</v>
      </c>
      <c r="F251" s="4" t="str">
        <f t="shared" si="16"/>
        <v>N/A</v>
      </c>
      <c r="G251" s="4" t="str">
        <f t="shared" si="14"/>
        <v>irn.mit.ets_.all.lpg.all.usdl.1</v>
      </c>
      <c r="H251" s="4" t="s">
        <v>19</v>
      </c>
      <c r="I251" s="4" t="s">
        <v>117</v>
      </c>
      <c r="J251" s="4"/>
      <c r="K251" s="4" t="s">
        <v>104</v>
      </c>
      <c r="L251" s="4"/>
      <c r="M251" s="4"/>
      <c r="N251" s="4"/>
      <c r="O251" s="4"/>
      <c r="P251" s="4" t="s">
        <v>46</v>
      </c>
      <c r="Q251" s="4" t="s">
        <v>65</v>
      </c>
      <c r="R251" s="4"/>
      <c r="S251" s="4"/>
      <c r="T251" s="4"/>
      <c r="U251" s="4"/>
      <c r="V251" s="13">
        <v>1</v>
      </c>
    </row>
    <row r="252" spans="4:22" x14ac:dyDescent="0.45">
      <c r="D252" s="18" t="s">
        <v>546</v>
      </c>
      <c r="E252" s="4" t="str">
        <f>[1]Mitigation!G13432</f>
        <v>irn.mit.ets.all.ker.a.1</v>
      </c>
      <c r="F252" s="4" t="str">
        <f t="shared" si="16"/>
        <v>N/A</v>
      </c>
      <c r="G252" s="4" t="str">
        <f t="shared" si="14"/>
        <v>irn.mit.ets_.all.ker.all.usdl.1</v>
      </c>
      <c r="H252" s="4" t="s">
        <v>19</v>
      </c>
      <c r="I252" s="4" t="s">
        <v>117</v>
      </c>
      <c r="J252" s="4"/>
      <c r="K252" s="4" t="s">
        <v>104</v>
      </c>
      <c r="L252" s="4"/>
      <c r="M252" s="4"/>
      <c r="N252" s="4"/>
      <c r="O252" s="4"/>
      <c r="P252" s="4" t="s">
        <v>46</v>
      </c>
      <c r="Q252" s="4" t="s">
        <v>66</v>
      </c>
      <c r="R252" s="4"/>
      <c r="S252" s="4"/>
      <c r="T252" s="4"/>
      <c r="U252" s="4"/>
      <c r="V252" s="13">
        <v>1</v>
      </c>
    </row>
    <row r="253" spans="4:22" x14ac:dyDescent="0.45">
      <c r="D253" s="2"/>
      <c r="E253" s="2"/>
      <c r="F253" s="2"/>
      <c r="G253" s="2"/>
      <c r="H253" s="2" t="s">
        <v>18</v>
      </c>
      <c r="I253" s="2"/>
      <c r="J253" s="2" t="s">
        <v>18</v>
      </c>
      <c r="K253" s="2"/>
      <c r="L253" s="2"/>
      <c r="M253" s="2"/>
      <c r="N253" s="2"/>
      <c r="O253" s="2"/>
      <c r="P253" s="2" t="str">
        <f>L253&amp;IF(N253="",M253,N253)&amp;O253</f>
        <v/>
      </c>
      <c r="Q253" s="2"/>
      <c r="R253" s="2"/>
      <c r="S253" s="2"/>
      <c r="T253" s="2"/>
      <c r="U253" s="2" t="str">
        <f>R253&amp;T253&amp;S253</f>
        <v/>
      </c>
      <c r="V253" s="3" t="s">
        <v>18</v>
      </c>
    </row>
    <row r="254" spans="4:22" x14ac:dyDescent="0.45">
      <c r="D254" s="39" t="s">
        <v>547</v>
      </c>
      <c r="E254" s="14" t="str">
        <f>[1]Mitigation!H13633</f>
        <v>irn.mit.tcp.all.coa.a.1</v>
      </c>
      <c r="F254" s="4" t="str">
        <f t="shared" ref="F254:F260" si="17">IF(MTAct,E254&amp;"_"&amp;MSTScenarioID,"N/A")</f>
        <v>N/A</v>
      </c>
      <c r="G254" s="4" t="str">
        <f t="shared" ref="G254:G260" si="18">IF(D254="","",LOWER(_Country_code)&amp;"."&amp;H254&amp;"."&amp;IF(I254="","all",I254)&amp;"_"&amp;J254&amp;"."&amp;IF(R254="","all",R254)&amp;"."&amp;IF(Q254="","all",Q254)&amp;"."&amp;IF(U254="","all",U254)&amp;"."&amp;IF(K254="","all",K254)&amp;"."&amp;IF(V254="","all",V254))</f>
        <v>irn.mit.tcp_.all.coa.all.usd/tCO2.1</v>
      </c>
      <c r="H254" s="4" t="s">
        <v>19</v>
      </c>
      <c r="I254" s="4" t="s">
        <v>118</v>
      </c>
      <c r="J254" s="4"/>
      <c r="K254" s="4" t="s">
        <v>119</v>
      </c>
      <c r="L254" s="4"/>
      <c r="M254" s="4"/>
      <c r="N254" s="4"/>
      <c r="O254" s="4"/>
      <c r="P254" s="4" t="s">
        <v>46</v>
      </c>
      <c r="Q254" s="4" t="s">
        <v>60</v>
      </c>
      <c r="R254" s="4"/>
      <c r="S254" s="4"/>
      <c r="T254" s="4"/>
      <c r="U254" s="4"/>
      <c r="V254" s="7">
        <v>1</v>
      </c>
    </row>
    <row r="255" spans="4:22" x14ac:dyDescent="0.45">
      <c r="D255" s="39" t="s">
        <v>548</v>
      </c>
      <c r="E255" s="14" t="str">
        <f>[1]Mitigation!H13641</f>
        <v>irn.mit.tcp.all.nga.a.1</v>
      </c>
      <c r="F255" s="4" t="str">
        <f t="shared" si="17"/>
        <v>N/A</v>
      </c>
      <c r="G255" s="4" t="str">
        <f t="shared" si="18"/>
        <v>irn.mit.tcp_.all.nga.all.usd/tCO2.1</v>
      </c>
      <c r="H255" s="4" t="s">
        <v>19</v>
      </c>
      <c r="I255" s="4" t="s">
        <v>118</v>
      </c>
      <c r="J255" s="4"/>
      <c r="K255" s="4" t="s">
        <v>119</v>
      </c>
      <c r="L255" s="4"/>
      <c r="M255" s="4"/>
      <c r="N255" s="4"/>
      <c r="O255" s="4"/>
      <c r="P255" s="4" t="s">
        <v>46</v>
      </c>
      <c r="Q255" s="4" t="s">
        <v>61</v>
      </c>
      <c r="R255" s="4"/>
      <c r="S255" s="4"/>
      <c r="T255" s="4"/>
      <c r="U255" s="4"/>
      <c r="V255" s="7">
        <v>1</v>
      </c>
    </row>
    <row r="256" spans="4:22" x14ac:dyDescent="0.45">
      <c r="D256" s="39" t="s">
        <v>549</v>
      </c>
      <c r="E256" s="14" t="str">
        <f>[1]Mitigation!H13647</f>
        <v>irn.mit.tcp_csf.rod.gso.a.1</v>
      </c>
      <c r="F256" s="4" t="str">
        <f t="shared" si="17"/>
        <v>N/A</v>
      </c>
      <c r="G256" s="4" t="str">
        <f t="shared" si="18"/>
        <v>irn.mit.tcp_.all.gso.all.usd/tCO2.1</v>
      </c>
      <c r="H256" s="4" t="s">
        <v>19</v>
      </c>
      <c r="I256" s="4" t="s">
        <v>118</v>
      </c>
      <c r="J256" s="4"/>
      <c r="K256" s="4" t="s">
        <v>119</v>
      </c>
      <c r="L256" s="4"/>
      <c r="M256" s="4"/>
      <c r="N256" s="4"/>
      <c r="O256" s="4"/>
      <c r="P256" s="4" t="s">
        <v>46</v>
      </c>
      <c r="Q256" s="4" t="s">
        <v>63</v>
      </c>
      <c r="R256" s="4"/>
      <c r="S256" s="4"/>
      <c r="T256" s="4"/>
      <c r="U256" s="4"/>
      <c r="V256" s="7">
        <v>1</v>
      </c>
    </row>
    <row r="257" spans="4:22" x14ac:dyDescent="0.45">
      <c r="D257" s="39" t="s">
        <v>550</v>
      </c>
      <c r="E257" s="14" t="str">
        <f>[1]Mitigation!H13653</f>
        <v>irn.mit.tcp_csf.rod.die.a1</v>
      </c>
      <c r="F257" s="4" t="str">
        <f t="shared" si="17"/>
        <v>N/A</v>
      </c>
      <c r="G257" s="4" t="str">
        <f t="shared" si="18"/>
        <v>irn.mit.tcp_.all.die.all.usd/tCO2.1</v>
      </c>
      <c r="H257" s="4" t="s">
        <v>19</v>
      </c>
      <c r="I257" s="4" t="s">
        <v>118</v>
      </c>
      <c r="J257" s="4"/>
      <c r="K257" s="4" t="s">
        <v>119</v>
      </c>
      <c r="L257" s="4"/>
      <c r="M257" s="4"/>
      <c r="N257" s="4"/>
      <c r="O257" s="4"/>
      <c r="P257" s="4" t="s">
        <v>46</v>
      </c>
      <c r="Q257" s="4" t="s">
        <v>64</v>
      </c>
      <c r="R257" s="4"/>
      <c r="S257" s="4"/>
      <c r="T257" s="4"/>
      <c r="U257" s="4"/>
      <c r="V257" s="7">
        <v>1</v>
      </c>
    </row>
    <row r="258" spans="4:22" x14ac:dyDescent="0.45">
      <c r="D258" s="39" t="s">
        <v>551</v>
      </c>
      <c r="E258" s="14" t="str">
        <f>[1]Mitigation!H13659</f>
        <v>irn.mit.tcp_csf.res.lpg.a.1</v>
      </c>
      <c r="F258" s="4" t="str">
        <f t="shared" si="17"/>
        <v>N/A</v>
      </c>
      <c r="G258" s="4" t="str">
        <f t="shared" si="18"/>
        <v>irn.mit.tcp_.all.lpg.all.usd/tCO2.1</v>
      </c>
      <c r="H258" s="4" t="s">
        <v>19</v>
      </c>
      <c r="I258" s="4" t="s">
        <v>118</v>
      </c>
      <c r="J258" s="4"/>
      <c r="K258" s="4" t="s">
        <v>119</v>
      </c>
      <c r="L258" s="4"/>
      <c r="M258" s="4"/>
      <c r="N258" s="4"/>
      <c r="O258" s="4"/>
      <c r="P258" s="4" t="s">
        <v>46</v>
      </c>
      <c r="Q258" s="4" t="s">
        <v>65</v>
      </c>
      <c r="R258" s="4"/>
      <c r="S258" s="4"/>
      <c r="T258" s="4"/>
      <c r="U258" s="4"/>
      <c r="V258" s="7">
        <v>1</v>
      </c>
    </row>
    <row r="259" spans="4:22" x14ac:dyDescent="0.45">
      <c r="D259" s="39" t="s">
        <v>552</v>
      </c>
      <c r="E259" s="14" t="str">
        <f>[1]Mitigation!H13665</f>
        <v>irn.mit.tcp_csf.all.ker.a.1</v>
      </c>
      <c r="F259" s="4" t="str">
        <f t="shared" si="17"/>
        <v>N/A</v>
      </c>
      <c r="G259" s="4" t="str">
        <f t="shared" si="18"/>
        <v>irn.mit.tcp_.all.ker.all.usd/tCO2.1</v>
      </c>
      <c r="H259" s="4" t="s">
        <v>19</v>
      </c>
      <c r="I259" s="4" t="s">
        <v>118</v>
      </c>
      <c r="J259" s="4"/>
      <c r="K259" s="4" t="s">
        <v>119</v>
      </c>
      <c r="L259" s="4"/>
      <c r="M259" s="4"/>
      <c r="N259" s="4"/>
      <c r="O259" s="4"/>
      <c r="P259" s="4" t="s">
        <v>46</v>
      </c>
      <c r="Q259" s="4" t="s">
        <v>66</v>
      </c>
      <c r="R259" s="4"/>
      <c r="S259" s="4"/>
      <c r="T259" s="4"/>
      <c r="U259" s="4"/>
      <c r="V259" s="7">
        <v>1</v>
      </c>
    </row>
    <row r="260" spans="4:22" x14ac:dyDescent="0.45">
      <c r="D260" s="39" t="s">
        <v>553</v>
      </c>
      <c r="E260" s="14" t="str">
        <f>[1]Mitigation!H13671</f>
        <v>irn.mit.tcp_csf.all.oop.a.1</v>
      </c>
      <c r="F260" s="4" t="str">
        <f t="shared" si="17"/>
        <v>N/A</v>
      </c>
      <c r="G260" s="4" t="str">
        <f t="shared" si="18"/>
        <v>irn.mit.tcp_.all.oop.all.usd/tCO2.1</v>
      </c>
      <c r="H260" s="4" t="s">
        <v>19</v>
      </c>
      <c r="I260" s="4" t="s">
        <v>118</v>
      </c>
      <c r="J260" s="4"/>
      <c r="K260" s="4" t="s">
        <v>119</v>
      </c>
      <c r="L260" s="4"/>
      <c r="M260" s="4"/>
      <c r="N260" s="4"/>
      <c r="O260" s="4"/>
      <c r="P260" s="4" t="s">
        <v>46</v>
      </c>
      <c r="Q260" s="4" t="s">
        <v>113</v>
      </c>
      <c r="R260" s="4"/>
      <c r="S260" s="4"/>
      <c r="T260" s="4"/>
      <c r="U260" s="4"/>
      <c r="V260" s="7">
        <v>1</v>
      </c>
    </row>
    <row r="261" spans="4:22" x14ac:dyDescent="0.45">
      <c r="D261" s="39" t="s">
        <v>554</v>
      </c>
      <c r="E261" s="14" t="str">
        <f>[1]Mitigation!H13685</f>
        <v>irn.mit.tcp.all.all.a.1</v>
      </c>
      <c r="F261" s="4" t="str">
        <f t="shared" si="16"/>
        <v>N/A</v>
      </c>
      <c r="G261" s="4" t="str">
        <f t="shared" si="14"/>
        <v>irn.mit.tcp_.all.all.all.usd/tCO2.1</v>
      </c>
      <c r="H261" s="4" t="s">
        <v>19</v>
      </c>
      <c r="I261" s="4" t="s">
        <v>118</v>
      </c>
      <c r="J261" s="4"/>
      <c r="K261" s="4" t="s">
        <v>119</v>
      </c>
      <c r="L261" s="4"/>
      <c r="M261" s="4"/>
      <c r="N261" s="4"/>
      <c r="O261" s="4"/>
      <c r="P261" s="4" t="s">
        <v>46</v>
      </c>
      <c r="Q261" s="4" t="s">
        <v>46</v>
      </c>
      <c r="R261" s="4"/>
      <c r="S261" s="4"/>
      <c r="T261" s="4"/>
      <c r="U261" s="4"/>
      <c r="V261" s="7">
        <v>1</v>
      </c>
    </row>
    <row r="262" spans="4:22" x14ac:dyDescent="0.45">
      <c r="D262" s="39" t="s">
        <v>555</v>
      </c>
      <c r="E262" s="14" t="str">
        <f>[1]Mitigation!H13759</f>
        <v>irn.mit.tcp.all.coa.a.2</v>
      </c>
      <c r="F262" s="4" t="str">
        <f t="shared" ref="F262:F268" si="19">IF(MTAct,E262&amp;"_"&amp;MSTScenarioID,"N/A")</f>
        <v>N/A</v>
      </c>
      <c r="G262" s="4" t="str">
        <f t="shared" ref="G262:G268" si="20">IF(D262="","",LOWER(_Country_code)&amp;"."&amp;H262&amp;"."&amp;IF(I262="","all",I262)&amp;"_"&amp;J262&amp;"."&amp;IF(R262="","all",R262)&amp;"."&amp;IF(Q262="","all",Q262)&amp;"."&amp;IF(U262="","all",U262)&amp;"."&amp;IF(K262="","all",K262)&amp;"."&amp;IF(V262="","all",V262))</f>
        <v>irn.mit.tcp_.all.coa.all.usd/tCO2.1</v>
      </c>
      <c r="H262" s="4" t="s">
        <v>19</v>
      </c>
      <c r="I262" s="4" t="s">
        <v>118</v>
      </c>
      <c r="J262" s="4"/>
      <c r="K262" s="4" t="s">
        <v>119</v>
      </c>
      <c r="L262" s="4"/>
      <c r="M262" s="4"/>
      <c r="N262" s="4"/>
      <c r="O262" s="4"/>
      <c r="P262" s="4" t="s">
        <v>46</v>
      </c>
      <c r="Q262" s="4" t="s">
        <v>60</v>
      </c>
      <c r="R262" s="4"/>
      <c r="S262" s="4"/>
      <c r="T262" s="4"/>
      <c r="U262" s="4"/>
      <c r="V262" s="7">
        <v>1</v>
      </c>
    </row>
    <row r="263" spans="4:22" x14ac:dyDescent="0.45">
      <c r="D263" s="39" t="s">
        <v>556</v>
      </c>
      <c r="E263" s="14" t="str">
        <f>[1]Mitigation!H13767</f>
        <v>irn.mit.tcp.all.nga.a.2</v>
      </c>
      <c r="F263" s="4" t="str">
        <f t="shared" si="19"/>
        <v>N/A</v>
      </c>
      <c r="G263" s="4" t="str">
        <f t="shared" si="20"/>
        <v>irn.mit.tcp_.all.nga.all.usd/tCO2.1</v>
      </c>
      <c r="H263" s="4" t="s">
        <v>19</v>
      </c>
      <c r="I263" s="4" t="s">
        <v>118</v>
      </c>
      <c r="J263" s="4"/>
      <c r="K263" s="4" t="s">
        <v>119</v>
      </c>
      <c r="L263" s="4"/>
      <c r="M263" s="4"/>
      <c r="N263" s="4"/>
      <c r="O263" s="4"/>
      <c r="P263" s="4" t="s">
        <v>46</v>
      </c>
      <c r="Q263" s="4" t="s">
        <v>61</v>
      </c>
      <c r="R263" s="4"/>
      <c r="S263" s="4"/>
      <c r="T263" s="4"/>
      <c r="U263" s="4"/>
      <c r="V263" s="7">
        <v>1</v>
      </c>
    </row>
    <row r="264" spans="4:22" x14ac:dyDescent="0.45">
      <c r="D264" s="39" t="s">
        <v>557</v>
      </c>
      <c r="E264" s="14" t="str">
        <f>[1]Mitigation!H13773</f>
        <v>irn.mit.tcp_csf.rod.gso.a.2</v>
      </c>
      <c r="F264" s="4" t="str">
        <f t="shared" si="19"/>
        <v>N/A</v>
      </c>
      <c r="G264" s="4" t="str">
        <f t="shared" si="20"/>
        <v>irn.mit.tcp_.all.gso.all.usd/tCO2.1</v>
      </c>
      <c r="H264" s="4" t="s">
        <v>19</v>
      </c>
      <c r="I264" s="4" t="s">
        <v>118</v>
      </c>
      <c r="J264" s="4"/>
      <c r="K264" s="4" t="s">
        <v>119</v>
      </c>
      <c r="L264" s="4"/>
      <c r="M264" s="4"/>
      <c r="N264" s="4"/>
      <c r="O264" s="4"/>
      <c r="P264" s="4" t="s">
        <v>46</v>
      </c>
      <c r="Q264" s="4" t="s">
        <v>63</v>
      </c>
      <c r="R264" s="4"/>
      <c r="S264" s="4"/>
      <c r="T264" s="4"/>
      <c r="U264" s="4"/>
      <c r="V264" s="7">
        <v>1</v>
      </c>
    </row>
    <row r="265" spans="4:22" x14ac:dyDescent="0.45">
      <c r="D265" s="39" t="s">
        <v>558</v>
      </c>
      <c r="E265" s="14" t="str">
        <f>[1]Mitigation!H13779</f>
        <v>irn.mit.tcp_csf.rod.die.a2</v>
      </c>
      <c r="F265" s="4" t="str">
        <f t="shared" si="19"/>
        <v>N/A</v>
      </c>
      <c r="G265" s="4" t="str">
        <f t="shared" si="20"/>
        <v>irn.mit.tcp_.all.die.all.usd/tCO2.1</v>
      </c>
      <c r="H265" s="4" t="s">
        <v>19</v>
      </c>
      <c r="I265" s="4" t="s">
        <v>118</v>
      </c>
      <c r="J265" s="4"/>
      <c r="K265" s="4" t="s">
        <v>119</v>
      </c>
      <c r="L265" s="4"/>
      <c r="M265" s="4"/>
      <c r="N265" s="4"/>
      <c r="O265" s="4"/>
      <c r="P265" s="4" t="s">
        <v>46</v>
      </c>
      <c r="Q265" s="4" t="s">
        <v>64</v>
      </c>
      <c r="R265" s="4"/>
      <c r="S265" s="4"/>
      <c r="T265" s="4"/>
      <c r="U265" s="4"/>
      <c r="V265" s="7">
        <v>1</v>
      </c>
    </row>
    <row r="266" spans="4:22" x14ac:dyDescent="0.45">
      <c r="D266" s="39" t="s">
        <v>559</v>
      </c>
      <c r="E266" s="14" t="str">
        <f>[1]Mitigation!H13785</f>
        <v>irn.mit.tcp_csf.res.lpg.a.2</v>
      </c>
      <c r="F266" s="4" t="str">
        <f t="shared" si="19"/>
        <v>N/A</v>
      </c>
      <c r="G266" s="4" t="str">
        <f t="shared" si="20"/>
        <v>irn.mit.tcp_.all.lpg.all.usd/tCO2.1</v>
      </c>
      <c r="H266" s="4" t="s">
        <v>19</v>
      </c>
      <c r="I266" s="4" t="s">
        <v>118</v>
      </c>
      <c r="J266" s="4"/>
      <c r="K266" s="4" t="s">
        <v>119</v>
      </c>
      <c r="L266" s="4"/>
      <c r="M266" s="4"/>
      <c r="N266" s="4"/>
      <c r="O266" s="4"/>
      <c r="P266" s="4" t="s">
        <v>46</v>
      </c>
      <c r="Q266" s="4" t="s">
        <v>65</v>
      </c>
      <c r="R266" s="4"/>
      <c r="S266" s="4"/>
      <c r="T266" s="4"/>
      <c r="U266" s="4"/>
      <c r="V266" s="7">
        <v>1</v>
      </c>
    </row>
    <row r="267" spans="4:22" x14ac:dyDescent="0.45">
      <c r="D267" s="39" t="s">
        <v>560</v>
      </c>
      <c r="E267" s="14" t="str">
        <f>[1]Mitigation!H13791</f>
        <v>irn.mit.tcp_csf.all.ker.a.2</v>
      </c>
      <c r="F267" s="4" t="str">
        <f t="shared" si="19"/>
        <v>N/A</v>
      </c>
      <c r="G267" s="4" t="str">
        <f t="shared" si="20"/>
        <v>irn.mit.tcp_.all.ker.all.usd/tCO2.1</v>
      </c>
      <c r="H267" s="4" t="s">
        <v>19</v>
      </c>
      <c r="I267" s="4" t="s">
        <v>118</v>
      </c>
      <c r="J267" s="4"/>
      <c r="K267" s="4" t="s">
        <v>119</v>
      </c>
      <c r="L267" s="4"/>
      <c r="M267" s="4"/>
      <c r="N267" s="4"/>
      <c r="O267" s="4"/>
      <c r="P267" s="4" t="s">
        <v>46</v>
      </c>
      <c r="Q267" s="4" t="s">
        <v>66</v>
      </c>
      <c r="R267" s="4"/>
      <c r="S267" s="4"/>
      <c r="T267" s="4"/>
      <c r="U267" s="4"/>
      <c r="V267" s="7">
        <v>1</v>
      </c>
    </row>
    <row r="268" spans="4:22" x14ac:dyDescent="0.45">
      <c r="D268" s="39" t="s">
        <v>561</v>
      </c>
      <c r="E268" s="14" t="str">
        <f>[1]Mitigation!H13797</f>
        <v>irn.mit.tcp_csf.all.oop.a.2</v>
      </c>
      <c r="F268" s="4" t="str">
        <f t="shared" si="19"/>
        <v>N/A</v>
      </c>
      <c r="G268" s="4" t="str">
        <f t="shared" si="20"/>
        <v>irn.mit.tcp_.all.oop.all.usd/tCO2.1</v>
      </c>
      <c r="H268" s="4" t="s">
        <v>19</v>
      </c>
      <c r="I268" s="4" t="s">
        <v>118</v>
      </c>
      <c r="J268" s="4"/>
      <c r="K268" s="4" t="s">
        <v>119</v>
      </c>
      <c r="L268" s="4"/>
      <c r="M268" s="4"/>
      <c r="N268" s="4"/>
      <c r="O268" s="4"/>
      <c r="P268" s="4" t="s">
        <v>46</v>
      </c>
      <c r="Q268" s="4" t="s">
        <v>113</v>
      </c>
      <c r="R268" s="4"/>
      <c r="S268" s="4"/>
      <c r="T268" s="4"/>
      <c r="U268" s="4"/>
      <c r="V268" s="7">
        <v>1</v>
      </c>
    </row>
    <row r="269" spans="4:22" x14ac:dyDescent="0.45">
      <c r="D269" s="19" t="s">
        <v>562</v>
      </c>
      <c r="E269" s="4" t="str">
        <f>[1]Mitigation!H13811</f>
        <v>irn.mit.tcp.all.all.a.2</v>
      </c>
      <c r="F269" s="4" t="str">
        <f t="shared" si="16"/>
        <v>N/A</v>
      </c>
      <c r="G269" s="4" t="str">
        <f t="shared" si="14"/>
        <v>irn.mit.tcp_.all.all.all.usd/tCO2.2</v>
      </c>
      <c r="H269" s="4" t="s">
        <v>19</v>
      </c>
      <c r="I269" s="4" t="s">
        <v>118</v>
      </c>
      <c r="J269" s="4"/>
      <c r="K269" s="4" t="s">
        <v>119</v>
      </c>
      <c r="L269" s="4"/>
      <c r="M269" s="4"/>
      <c r="N269" s="4"/>
      <c r="O269" s="4"/>
      <c r="P269" s="4" t="s">
        <v>46</v>
      </c>
      <c r="Q269" s="4" t="s">
        <v>46</v>
      </c>
      <c r="R269" s="4"/>
      <c r="S269" s="4"/>
      <c r="T269" s="4"/>
      <c r="U269" s="4"/>
      <c r="V269" s="7">
        <v>2</v>
      </c>
    </row>
    <row r="270" spans="4:22" x14ac:dyDescent="0.45">
      <c r="D270" s="2"/>
      <c r="E270" s="2"/>
      <c r="F270" s="2"/>
      <c r="G270" s="2" t="str">
        <f t="shared" si="14"/>
        <v/>
      </c>
      <c r="H270" s="2" t="s">
        <v>18</v>
      </c>
      <c r="I270" s="2"/>
      <c r="J270" s="2" t="s">
        <v>18</v>
      </c>
      <c r="K270" s="2"/>
      <c r="L270" s="2"/>
      <c r="M270" s="2"/>
      <c r="N270" s="2"/>
      <c r="O270" s="2"/>
      <c r="P270" s="2" t="str">
        <f>L270&amp;IF(N270="",M270,N270)&amp;O270</f>
        <v/>
      </c>
      <c r="Q270" s="2"/>
      <c r="R270" s="2"/>
      <c r="S270" s="2"/>
      <c r="T270" s="2"/>
      <c r="U270" s="2" t="str">
        <f>R270&amp;T270&amp;S270</f>
        <v/>
      </c>
      <c r="V270" s="3"/>
    </row>
    <row r="271" spans="4:22" x14ac:dyDescent="0.45">
      <c r="D271" s="18" t="s">
        <v>563</v>
      </c>
      <c r="E271" s="4" t="str">
        <f>[1]Mitigation!H15096</f>
        <v>irn.mit.eff.price.gso.all.2</v>
      </c>
      <c r="F271" s="4" t="str">
        <f>IF(MTAct,E271&amp;"_"&amp;MSTScenarioID,"N/A")</f>
        <v>N/A</v>
      </c>
      <c r="G271" s="4" t="str">
        <f t="shared" si="14"/>
        <v>irn.mit.eff_price_.all.gso.all.usdliter.2</v>
      </c>
      <c r="H271" s="4" t="s">
        <v>19</v>
      </c>
      <c r="I271" s="4" t="s">
        <v>120</v>
      </c>
      <c r="J271" s="4"/>
      <c r="K271" s="4" t="s">
        <v>121</v>
      </c>
      <c r="L271" s="4"/>
      <c r="M271" s="4"/>
      <c r="N271" s="4" t="s">
        <v>46</v>
      </c>
      <c r="O271" s="4"/>
      <c r="P271" s="4"/>
      <c r="Q271" s="4" t="s">
        <v>63</v>
      </c>
      <c r="R271" s="4"/>
      <c r="S271" s="4"/>
      <c r="T271" s="4"/>
      <c r="U271" s="4"/>
      <c r="V271" s="15" t="str">
        <f>RIGHT(E271,1)</f>
        <v>2</v>
      </c>
    </row>
    <row r="272" spans="4:22" x14ac:dyDescent="0.45">
      <c r="D272" s="18" t="s">
        <v>564</v>
      </c>
      <c r="E272" s="4" t="str">
        <f>[1]Mitigation!H15097</f>
        <v>irn.mit.sup.cost.gso.all.2</v>
      </c>
      <c r="F272" s="4" t="str">
        <f t="shared" ref="F272:F335" si="21">IF(MTAct,E272&amp;"_"&amp;MSTScenarioID,"N/A")</f>
        <v>N/A</v>
      </c>
      <c r="G272" s="4" t="str">
        <f t="shared" ref="G272:G335" si="22">IF(D272="","",LOWER(_Country_code)&amp;"."&amp;H272&amp;"."&amp;IF(I272="","all",I272)&amp;"_"&amp;J272&amp;"."&amp;IF(R272="","all",R272)&amp;"."&amp;IF(Q272="","all",Q272)&amp;"."&amp;IF(U272="","all",U272)&amp;"."&amp;IF(K272="","all",K272)&amp;"."&amp;IF(V272="","all",V272))</f>
        <v>irn.mit.sup_cost_.all.gso.all.usdliter.2</v>
      </c>
      <c r="H272" s="4" t="s">
        <v>19</v>
      </c>
      <c r="I272" s="4" t="s">
        <v>111</v>
      </c>
      <c r="J272" s="4"/>
      <c r="K272" s="4" t="s">
        <v>121</v>
      </c>
      <c r="L272" s="4"/>
      <c r="M272" s="4"/>
      <c r="N272" s="4" t="s">
        <v>46</v>
      </c>
      <c r="O272" s="4"/>
      <c r="P272" s="4"/>
      <c r="Q272" s="4" t="s">
        <v>63</v>
      </c>
      <c r="R272" s="4"/>
      <c r="S272" s="4"/>
      <c r="T272" s="4"/>
      <c r="U272" s="4"/>
      <c r="V272" s="15" t="str">
        <f t="shared" ref="V272:V335" si="23">RIGHT(E272,1)</f>
        <v>2</v>
      </c>
    </row>
    <row r="273" spans="4:22" x14ac:dyDescent="0.45">
      <c r="D273" s="18" t="s">
        <v>565</v>
      </c>
      <c r="E273" s="4" t="str">
        <f>[1]Mitigation!H15098</f>
        <v>irn.mit.airpol.cost.gso.all.2</v>
      </c>
      <c r="F273" s="4" t="str">
        <f t="shared" si="21"/>
        <v>N/A</v>
      </c>
      <c r="G273" s="4" t="str">
        <f t="shared" si="22"/>
        <v>irn.mit.airpol_cost_.all.gso.all.usdliter.2</v>
      </c>
      <c r="H273" s="4" t="s">
        <v>19</v>
      </c>
      <c r="I273" s="4" t="s">
        <v>122</v>
      </c>
      <c r="J273" s="4"/>
      <c r="K273" s="4" t="s">
        <v>121</v>
      </c>
      <c r="L273" s="4"/>
      <c r="M273" s="4"/>
      <c r="N273" s="4" t="s">
        <v>46</v>
      </c>
      <c r="O273" s="4"/>
      <c r="P273" s="4"/>
      <c r="Q273" s="4" t="s">
        <v>63</v>
      </c>
      <c r="R273" s="4"/>
      <c r="S273" s="4"/>
      <c r="T273" s="4"/>
      <c r="U273" s="4"/>
      <c r="V273" s="15" t="str">
        <f t="shared" si="23"/>
        <v>2</v>
      </c>
    </row>
    <row r="274" spans="4:22" x14ac:dyDescent="0.45">
      <c r="D274" s="18" t="s">
        <v>566</v>
      </c>
      <c r="E274" s="4" t="str">
        <f>[1]Mitigation!H15099</f>
        <v>irn.mit.acc.cost.gso.all.2</v>
      </c>
      <c r="F274" s="4" t="str">
        <f t="shared" si="21"/>
        <v>N/A</v>
      </c>
      <c r="G274" s="4" t="str">
        <f t="shared" si="22"/>
        <v>irn.mit.acc_cost_.all.gso.all.usdliter.2</v>
      </c>
      <c r="H274" s="4" t="s">
        <v>19</v>
      </c>
      <c r="I274" s="4" t="s">
        <v>123</v>
      </c>
      <c r="J274" s="4"/>
      <c r="K274" s="4" t="s">
        <v>121</v>
      </c>
      <c r="L274" s="4"/>
      <c r="M274" s="4"/>
      <c r="N274" s="4" t="s">
        <v>46</v>
      </c>
      <c r="O274" s="4"/>
      <c r="P274" s="4"/>
      <c r="Q274" s="4" t="s">
        <v>63</v>
      </c>
      <c r="R274" s="4"/>
      <c r="S274" s="4"/>
      <c r="T274" s="4"/>
      <c r="U274" s="4"/>
      <c r="V274" s="15" t="str">
        <f t="shared" si="23"/>
        <v>2</v>
      </c>
    </row>
    <row r="275" spans="4:22" x14ac:dyDescent="0.45">
      <c r="D275" s="18" t="s">
        <v>567</v>
      </c>
      <c r="E275" s="4" t="str">
        <f>[1]Mitigation!H15100</f>
        <v>irn.mit.con.cost.gso.all.2</v>
      </c>
      <c r="F275" s="4" t="str">
        <f t="shared" si="21"/>
        <v>N/A</v>
      </c>
      <c r="G275" s="4" t="str">
        <f t="shared" si="22"/>
        <v>irn.mit.con_cost_.all.gso.all.usdliter.2</v>
      </c>
      <c r="H275" s="4" t="s">
        <v>19</v>
      </c>
      <c r="I275" s="4" t="s">
        <v>124</v>
      </c>
      <c r="J275" s="4"/>
      <c r="K275" s="4" t="s">
        <v>121</v>
      </c>
      <c r="L275" s="4"/>
      <c r="M275" s="4"/>
      <c r="N275" s="4" t="s">
        <v>46</v>
      </c>
      <c r="O275" s="4"/>
      <c r="P275" s="4"/>
      <c r="Q275" s="4" t="s">
        <v>63</v>
      </c>
      <c r="R275" s="4"/>
      <c r="S275" s="4"/>
      <c r="T275" s="4"/>
      <c r="U275" s="4"/>
      <c r="V275" s="15" t="str">
        <f t="shared" si="23"/>
        <v>2</v>
      </c>
    </row>
    <row r="276" spans="4:22" x14ac:dyDescent="0.45">
      <c r="D276" s="18" t="s">
        <v>568</v>
      </c>
      <c r="E276" s="4" t="str">
        <f>[1]Mitigation!H15101</f>
        <v>irn.mit.rdm.cost.gso.all.2</v>
      </c>
      <c r="F276" s="4" t="str">
        <f t="shared" si="21"/>
        <v>N/A</v>
      </c>
      <c r="G276" s="4" t="str">
        <f t="shared" si="22"/>
        <v>irn.mit.rdm_cost_.all.gso.all.usdliter.2</v>
      </c>
      <c r="H276" s="4" t="s">
        <v>19</v>
      </c>
      <c r="I276" s="4" t="s">
        <v>125</v>
      </c>
      <c r="J276" s="4"/>
      <c r="K276" s="4" t="s">
        <v>121</v>
      </c>
      <c r="L276" s="4"/>
      <c r="M276" s="4"/>
      <c r="N276" s="4" t="s">
        <v>46</v>
      </c>
      <c r="O276" s="4"/>
      <c r="P276" s="4"/>
      <c r="Q276" s="4" t="s">
        <v>63</v>
      </c>
      <c r="R276" s="4"/>
      <c r="S276" s="4"/>
      <c r="T276" s="4"/>
      <c r="U276" s="4"/>
      <c r="V276" s="15" t="str">
        <f t="shared" si="23"/>
        <v>2</v>
      </c>
    </row>
    <row r="277" spans="4:22" x14ac:dyDescent="0.45">
      <c r="D277" s="18" t="s">
        <v>569</v>
      </c>
      <c r="E277" s="4" t="str">
        <f>[1]Mitigation!H15102</f>
        <v>irn.mit.scc.cost.gso.all.2</v>
      </c>
      <c r="F277" s="4" t="str">
        <f t="shared" si="21"/>
        <v>N/A</v>
      </c>
      <c r="G277" s="4" t="str">
        <f t="shared" si="22"/>
        <v>irn.mit.scc_cost_.all.gso.all.usdliter.2</v>
      </c>
      <c r="H277" s="4" t="s">
        <v>19</v>
      </c>
      <c r="I277" s="4" t="s">
        <v>126</v>
      </c>
      <c r="J277" s="4"/>
      <c r="K277" s="4" t="s">
        <v>121</v>
      </c>
      <c r="L277" s="4"/>
      <c r="M277" s="4"/>
      <c r="N277" s="4" t="s">
        <v>46</v>
      </c>
      <c r="O277" s="4"/>
      <c r="P277" s="4"/>
      <c r="Q277" s="4" t="s">
        <v>63</v>
      </c>
      <c r="R277" s="4"/>
      <c r="S277" s="4"/>
      <c r="T277" s="4"/>
      <c r="U277" s="4"/>
      <c r="V277" s="15" t="str">
        <f t="shared" si="23"/>
        <v>2</v>
      </c>
    </row>
    <row r="278" spans="4:22" x14ac:dyDescent="0.45">
      <c r="D278" s="18" t="s">
        <v>570</v>
      </c>
      <c r="E278" s="4" t="str">
        <f>[1]Mitigation!H15103</f>
        <v>irn.mit.vat.cost.gso.all.2</v>
      </c>
      <c r="F278" s="4" t="str">
        <f t="shared" si="21"/>
        <v>N/A</v>
      </c>
      <c r="G278" s="4" t="str">
        <f t="shared" si="22"/>
        <v>irn.mit.vat_cost_.all.gso.all.usdliter.2</v>
      </c>
      <c r="H278" s="4" t="s">
        <v>19</v>
      </c>
      <c r="I278" s="4" t="s">
        <v>127</v>
      </c>
      <c r="J278" s="4"/>
      <c r="K278" s="4" t="s">
        <v>121</v>
      </c>
      <c r="L278" s="4"/>
      <c r="M278" s="4"/>
      <c r="N278" s="4" t="s">
        <v>46</v>
      </c>
      <c r="O278" s="4"/>
      <c r="P278" s="4"/>
      <c r="Q278" s="4" t="s">
        <v>63</v>
      </c>
      <c r="R278" s="4"/>
      <c r="S278" s="4"/>
      <c r="T278" s="4"/>
      <c r="U278" s="4"/>
      <c r="V278" s="15" t="str">
        <f t="shared" si="23"/>
        <v>2</v>
      </c>
    </row>
    <row r="279" spans="4:22" x14ac:dyDescent="0.45">
      <c r="D279" s="18" t="s">
        <v>571</v>
      </c>
      <c r="E279" s="4" t="str">
        <f>[1]Mitigation!H15104</f>
        <v>irn.mit.rp.gso.all.2</v>
      </c>
      <c r="F279" s="4" t="str">
        <f t="shared" si="21"/>
        <v>N/A</v>
      </c>
      <c r="G279" s="4" t="str">
        <f t="shared" si="22"/>
        <v>irn.mit.rp_gso_.all.gso.all.usdliter.2</v>
      </c>
      <c r="H279" s="4" t="s">
        <v>19</v>
      </c>
      <c r="I279" s="4" t="s">
        <v>128</v>
      </c>
      <c r="J279" s="4"/>
      <c r="K279" s="4" t="s">
        <v>121</v>
      </c>
      <c r="L279" s="4"/>
      <c r="M279" s="4"/>
      <c r="N279" s="4" t="s">
        <v>46</v>
      </c>
      <c r="O279" s="4"/>
      <c r="P279" s="4"/>
      <c r="Q279" s="4" t="s">
        <v>63</v>
      </c>
      <c r="R279" s="4"/>
      <c r="S279" s="4"/>
      <c r="T279" s="4"/>
      <c r="U279" s="4"/>
      <c r="V279" s="15" t="str">
        <f t="shared" si="23"/>
        <v>2</v>
      </c>
    </row>
    <row r="280" spans="4:22" x14ac:dyDescent="0.45">
      <c r="D280" s="18" t="s">
        <v>572</v>
      </c>
      <c r="E280" s="4" t="str">
        <f>[1]Mitigation!H15105</f>
        <v>irn.mit.tgap.gso.all.2</v>
      </c>
      <c r="F280" s="4" t="str">
        <f t="shared" si="21"/>
        <v>N/A</v>
      </c>
      <c r="G280" s="4" t="str">
        <f t="shared" si="22"/>
        <v>irn.mit.tgap_gso_.all.gso.all.usdliter.2</v>
      </c>
      <c r="H280" s="4" t="s">
        <v>19</v>
      </c>
      <c r="I280" s="4" t="s">
        <v>129</v>
      </c>
      <c r="J280" s="4"/>
      <c r="K280" s="4" t="s">
        <v>121</v>
      </c>
      <c r="L280" s="4"/>
      <c r="M280" s="4"/>
      <c r="N280" s="4" t="s">
        <v>46</v>
      </c>
      <c r="O280" s="4"/>
      <c r="P280" s="4"/>
      <c r="Q280" s="4" t="s">
        <v>63</v>
      </c>
      <c r="R280" s="4"/>
      <c r="S280" s="4"/>
      <c r="T280" s="4"/>
      <c r="U280" s="4"/>
      <c r="V280" s="15" t="str">
        <f t="shared" si="23"/>
        <v>2</v>
      </c>
    </row>
    <row r="281" spans="4:22" x14ac:dyDescent="0.45">
      <c r="D281" s="18" t="s">
        <v>573</v>
      </c>
      <c r="E281" s="4" t="str">
        <f>[1]Mitigation!H15106</f>
        <v>irn.mit.txo.all.gso.a.1</v>
      </c>
      <c r="F281" s="4" t="str">
        <f t="shared" si="21"/>
        <v>N/A</v>
      </c>
      <c r="G281" s="4" t="str">
        <f t="shared" si="22"/>
        <v>irn.mit.txo_.all.gso.all.usdliter.1</v>
      </c>
      <c r="H281" s="4" t="s">
        <v>19</v>
      </c>
      <c r="I281" s="4" t="s">
        <v>114</v>
      </c>
      <c r="J281" s="4"/>
      <c r="K281" s="4" t="s">
        <v>121</v>
      </c>
      <c r="L281" s="4"/>
      <c r="M281" s="4"/>
      <c r="N281" s="4" t="s">
        <v>46</v>
      </c>
      <c r="O281" s="4"/>
      <c r="P281" s="4"/>
      <c r="Q281" s="4" t="s">
        <v>63</v>
      </c>
      <c r="R281" s="4"/>
      <c r="S281" s="4"/>
      <c r="T281" s="4"/>
      <c r="U281" s="4"/>
      <c r="V281" s="15" t="str">
        <f t="shared" si="23"/>
        <v>1</v>
      </c>
    </row>
    <row r="282" spans="4:22" x14ac:dyDescent="0.45">
      <c r="D282" s="18" t="s">
        <v>574</v>
      </c>
      <c r="E282" s="4" t="str">
        <f>[1]Mitigation!H15107</f>
        <v>irn.mit.txo.co2e.gso.all.1</v>
      </c>
      <c r="F282" s="4" t="str">
        <f t="shared" si="21"/>
        <v>N/A</v>
      </c>
      <c r="G282" s="4" t="str">
        <f t="shared" si="22"/>
        <v>irn.mit.txo_co2e_.all.gso.all.usdtonco2.1</v>
      </c>
      <c r="H282" s="4" t="s">
        <v>19</v>
      </c>
      <c r="I282" s="4" t="s">
        <v>130</v>
      </c>
      <c r="J282" s="4"/>
      <c r="K282" s="4" t="s">
        <v>131</v>
      </c>
      <c r="L282" s="4"/>
      <c r="M282" s="4"/>
      <c r="N282" s="4" t="s">
        <v>46</v>
      </c>
      <c r="O282" s="4"/>
      <c r="P282" s="4"/>
      <c r="Q282" s="4" t="s">
        <v>63</v>
      </c>
      <c r="R282" s="4"/>
      <c r="S282" s="4"/>
      <c r="T282" s="4"/>
      <c r="U282" s="4"/>
      <c r="V282" s="15" t="str">
        <f t="shared" si="23"/>
        <v>1</v>
      </c>
    </row>
    <row r="283" spans="4:22" x14ac:dyDescent="0.45">
      <c r="D283" s="18" t="s">
        <v>575</v>
      </c>
      <c r="E283" s="4" t="str">
        <f>[1]Mitigation!H15108</f>
        <v>irn.mit.pig.gso.all.2</v>
      </c>
      <c r="F283" s="4" t="str">
        <f t="shared" si="21"/>
        <v>N/A</v>
      </c>
      <c r="G283" s="4" t="str">
        <f t="shared" si="22"/>
        <v>irn.mit.pig_gso_.all.gso.all.usdliter.2</v>
      </c>
      <c r="H283" s="4" t="s">
        <v>19</v>
      </c>
      <c r="I283" s="4" t="s">
        <v>132</v>
      </c>
      <c r="J283" s="4"/>
      <c r="K283" s="4" t="s">
        <v>121</v>
      </c>
      <c r="L283" s="4"/>
      <c r="M283" s="4"/>
      <c r="N283" s="4" t="s">
        <v>46</v>
      </c>
      <c r="O283" s="4"/>
      <c r="P283" s="4"/>
      <c r="Q283" s="4" t="s">
        <v>63</v>
      </c>
      <c r="R283" s="4"/>
      <c r="S283" s="4"/>
      <c r="T283" s="4"/>
      <c r="U283" s="4"/>
      <c r="V283" s="15" t="str">
        <f t="shared" si="23"/>
        <v>2</v>
      </c>
    </row>
    <row r="284" spans="4:22" x14ac:dyDescent="0.45">
      <c r="D284" s="18" t="s">
        <v>576</v>
      </c>
      <c r="E284" s="4" t="str">
        <f>[1]Mitigation!H15110</f>
        <v>irn.mit.pig.co2e.gso.all.2</v>
      </c>
      <c r="F284" s="4" t="str">
        <f t="shared" si="21"/>
        <v>N/A</v>
      </c>
      <c r="G284" s="4" t="str">
        <f t="shared" si="22"/>
        <v>irn.mit.pig_co2e_.all.gso.all.usdtonco2.2</v>
      </c>
      <c r="H284" s="4" t="s">
        <v>19</v>
      </c>
      <c r="I284" s="4" t="s">
        <v>133</v>
      </c>
      <c r="J284" s="4"/>
      <c r="K284" s="4" t="s">
        <v>131</v>
      </c>
      <c r="L284" s="4"/>
      <c r="M284" s="4"/>
      <c r="N284" s="4" t="s">
        <v>46</v>
      </c>
      <c r="O284" s="4"/>
      <c r="P284" s="4"/>
      <c r="Q284" s="4" t="s">
        <v>63</v>
      </c>
      <c r="R284" s="4"/>
      <c r="S284" s="4"/>
      <c r="T284" s="4"/>
      <c r="U284" s="4"/>
      <c r="V284" s="15" t="str">
        <f t="shared" si="23"/>
        <v>2</v>
      </c>
    </row>
    <row r="285" spans="4:22" x14ac:dyDescent="0.45">
      <c r="D285" s="18" t="s">
        <v>577</v>
      </c>
      <c r="E285" s="4" t="str">
        <f>[1]Mitigation!H15111</f>
        <v>irn.mit.eff.price.die.all.2</v>
      </c>
      <c r="F285" s="4" t="str">
        <f t="shared" si="21"/>
        <v>N/A</v>
      </c>
      <c r="G285" s="4" t="str">
        <f t="shared" si="22"/>
        <v>irn.mit.eff_price_.all.die.all.usdliter.2</v>
      </c>
      <c r="H285" s="4" t="s">
        <v>19</v>
      </c>
      <c r="I285" s="4" t="s">
        <v>120</v>
      </c>
      <c r="J285" s="4"/>
      <c r="K285" s="4" t="s">
        <v>121</v>
      </c>
      <c r="L285" s="4"/>
      <c r="M285" s="4"/>
      <c r="N285" s="4" t="s">
        <v>46</v>
      </c>
      <c r="O285" s="4"/>
      <c r="P285" s="4"/>
      <c r="Q285" s="4" t="s">
        <v>64</v>
      </c>
      <c r="R285" s="4"/>
      <c r="S285" s="4"/>
      <c r="T285" s="4"/>
      <c r="U285" s="4"/>
      <c r="V285" s="15" t="str">
        <f t="shared" si="23"/>
        <v>2</v>
      </c>
    </row>
    <row r="286" spans="4:22" x14ac:dyDescent="0.45">
      <c r="D286" s="18" t="s">
        <v>578</v>
      </c>
      <c r="E286" s="4" t="str">
        <f>[1]Mitigation!H15112</f>
        <v>irn.mit.sup.cost.die.all.2</v>
      </c>
      <c r="F286" s="4" t="str">
        <f t="shared" si="21"/>
        <v>N/A</v>
      </c>
      <c r="G286" s="4" t="str">
        <f t="shared" si="22"/>
        <v>irn.mit.sup_cost_.all.die.all.usdliter.2</v>
      </c>
      <c r="H286" s="4" t="s">
        <v>19</v>
      </c>
      <c r="I286" s="4" t="s">
        <v>111</v>
      </c>
      <c r="J286" s="4"/>
      <c r="K286" s="4" t="s">
        <v>121</v>
      </c>
      <c r="L286" s="4"/>
      <c r="M286" s="4"/>
      <c r="N286" s="4" t="s">
        <v>46</v>
      </c>
      <c r="O286" s="4"/>
      <c r="P286" s="4"/>
      <c r="Q286" s="4" t="s">
        <v>64</v>
      </c>
      <c r="R286" s="4"/>
      <c r="S286" s="4"/>
      <c r="T286" s="4"/>
      <c r="U286" s="4"/>
      <c r="V286" s="15" t="str">
        <f t="shared" si="23"/>
        <v>2</v>
      </c>
    </row>
    <row r="287" spans="4:22" x14ac:dyDescent="0.45">
      <c r="D287" s="18" t="s">
        <v>579</v>
      </c>
      <c r="E287" s="4" t="str">
        <f>[1]Mitigation!H15113</f>
        <v>irn.mit.airpol.cost.die.all.2</v>
      </c>
      <c r="F287" s="4" t="str">
        <f t="shared" si="21"/>
        <v>N/A</v>
      </c>
      <c r="G287" s="4" t="str">
        <f t="shared" si="22"/>
        <v>irn.mit.airpol_cost_.all.die.all.usdliter.2</v>
      </c>
      <c r="H287" s="4" t="s">
        <v>19</v>
      </c>
      <c r="I287" s="4" t="s">
        <v>122</v>
      </c>
      <c r="J287" s="4"/>
      <c r="K287" s="4" t="s">
        <v>121</v>
      </c>
      <c r="L287" s="4"/>
      <c r="M287" s="4"/>
      <c r="N287" s="4" t="s">
        <v>46</v>
      </c>
      <c r="O287" s="4"/>
      <c r="P287" s="4"/>
      <c r="Q287" s="4" t="s">
        <v>64</v>
      </c>
      <c r="R287" s="4"/>
      <c r="S287" s="4"/>
      <c r="T287" s="4"/>
      <c r="U287" s="4"/>
      <c r="V287" s="15" t="str">
        <f t="shared" si="23"/>
        <v>2</v>
      </c>
    </row>
    <row r="288" spans="4:22" x14ac:dyDescent="0.45">
      <c r="D288" s="18" t="s">
        <v>580</v>
      </c>
      <c r="E288" s="4" t="str">
        <f>[1]Mitigation!H15114</f>
        <v>irn.mit.acc.cost.die.all.2</v>
      </c>
      <c r="F288" s="4" t="str">
        <f t="shared" si="21"/>
        <v>N/A</v>
      </c>
      <c r="G288" s="4" t="str">
        <f t="shared" si="22"/>
        <v>irn.mit.acc_cost_.all.die.all.usdliter.2</v>
      </c>
      <c r="H288" s="4" t="s">
        <v>19</v>
      </c>
      <c r="I288" s="4" t="s">
        <v>123</v>
      </c>
      <c r="J288" s="4"/>
      <c r="K288" s="4" t="s">
        <v>121</v>
      </c>
      <c r="L288" s="4"/>
      <c r="M288" s="4"/>
      <c r="N288" s="4" t="s">
        <v>46</v>
      </c>
      <c r="O288" s="4"/>
      <c r="P288" s="4"/>
      <c r="Q288" s="4" t="s">
        <v>64</v>
      </c>
      <c r="R288" s="4"/>
      <c r="S288" s="4"/>
      <c r="T288" s="4"/>
      <c r="U288" s="4"/>
      <c r="V288" s="15" t="str">
        <f t="shared" si="23"/>
        <v>2</v>
      </c>
    </row>
    <row r="289" spans="4:22" x14ac:dyDescent="0.45">
      <c r="D289" s="18" t="s">
        <v>581</v>
      </c>
      <c r="E289" s="4" t="str">
        <f>[1]Mitigation!H15115</f>
        <v>irn.mit.con.cost.die.all.2</v>
      </c>
      <c r="F289" s="4" t="str">
        <f t="shared" si="21"/>
        <v>N/A</v>
      </c>
      <c r="G289" s="4" t="str">
        <f t="shared" si="22"/>
        <v>irn.mit.con_cost_.all.die.all.usdliter.2</v>
      </c>
      <c r="H289" s="4" t="s">
        <v>19</v>
      </c>
      <c r="I289" s="4" t="s">
        <v>124</v>
      </c>
      <c r="J289" s="4"/>
      <c r="K289" s="4" t="s">
        <v>121</v>
      </c>
      <c r="L289" s="4"/>
      <c r="M289" s="4"/>
      <c r="N289" s="4" t="s">
        <v>46</v>
      </c>
      <c r="O289" s="4"/>
      <c r="P289" s="4"/>
      <c r="Q289" s="4" t="s">
        <v>64</v>
      </c>
      <c r="R289" s="4"/>
      <c r="S289" s="4"/>
      <c r="T289" s="4"/>
      <c r="U289" s="4"/>
      <c r="V289" s="15" t="str">
        <f t="shared" si="23"/>
        <v>2</v>
      </c>
    </row>
    <row r="290" spans="4:22" x14ac:dyDescent="0.45">
      <c r="D290" s="18" t="s">
        <v>582</v>
      </c>
      <c r="E290" s="4" t="str">
        <f>[1]Mitigation!H15116</f>
        <v>irn.mit.rdm.cost.die.all.2</v>
      </c>
      <c r="F290" s="4" t="str">
        <f t="shared" si="21"/>
        <v>N/A</v>
      </c>
      <c r="G290" s="4" t="str">
        <f t="shared" si="22"/>
        <v>irn.mit.rdm_cost_.all.die.all.usdliter.2</v>
      </c>
      <c r="H290" s="4" t="s">
        <v>19</v>
      </c>
      <c r="I290" s="4" t="s">
        <v>125</v>
      </c>
      <c r="J290" s="4"/>
      <c r="K290" s="4" t="s">
        <v>121</v>
      </c>
      <c r="L290" s="4"/>
      <c r="M290" s="4"/>
      <c r="N290" s="4" t="s">
        <v>46</v>
      </c>
      <c r="O290" s="4"/>
      <c r="P290" s="4"/>
      <c r="Q290" s="4" t="s">
        <v>64</v>
      </c>
      <c r="R290" s="4"/>
      <c r="S290" s="4"/>
      <c r="T290" s="4"/>
      <c r="U290" s="4"/>
      <c r="V290" s="15" t="str">
        <f t="shared" si="23"/>
        <v>2</v>
      </c>
    </row>
    <row r="291" spans="4:22" x14ac:dyDescent="0.45">
      <c r="D291" s="18" t="s">
        <v>583</v>
      </c>
      <c r="E291" s="4" t="str">
        <f>[1]Mitigation!H15117</f>
        <v>irn.mit.scc.cost.die.all.2</v>
      </c>
      <c r="F291" s="4" t="str">
        <f t="shared" si="21"/>
        <v>N/A</v>
      </c>
      <c r="G291" s="4" t="str">
        <f t="shared" si="22"/>
        <v>irn.mit.scc_cost_.all.die.all.usdliter.2</v>
      </c>
      <c r="H291" s="4" t="s">
        <v>19</v>
      </c>
      <c r="I291" s="4" t="s">
        <v>126</v>
      </c>
      <c r="J291" s="4"/>
      <c r="K291" s="4" t="s">
        <v>121</v>
      </c>
      <c r="L291" s="4"/>
      <c r="M291" s="4"/>
      <c r="N291" s="4" t="s">
        <v>46</v>
      </c>
      <c r="O291" s="4"/>
      <c r="P291" s="4"/>
      <c r="Q291" s="4" t="s">
        <v>64</v>
      </c>
      <c r="R291" s="4"/>
      <c r="S291" s="4"/>
      <c r="T291" s="4"/>
      <c r="U291" s="4"/>
      <c r="V291" s="15" t="str">
        <f t="shared" si="23"/>
        <v>2</v>
      </c>
    </row>
    <row r="292" spans="4:22" x14ac:dyDescent="0.45">
      <c r="D292" s="18" t="s">
        <v>584</v>
      </c>
      <c r="E292" s="4" t="str">
        <f>[1]Mitigation!H15118</f>
        <v>irn.mit.vat.cost.die.all.2</v>
      </c>
      <c r="F292" s="4" t="str">
        <f t="shared" si="21"/>
        <v>N/A</v>
      </c>
      <c r="G292" s="4" t="str">
        <f t="shared" si="22"/>
        <v>irn.mit.vat_cost_.all.die.all.usdliter.2</v>
      </c>
      <c r="H292" s="4" t="s">
        <v>19</v>
      </c>
      <c r="I292" s="4" t="s">
        <v>127</v>
      </c>
      <c r="J292" s="4"/>
      <c r="K292" s="4" t="s">
        <v>121</v>
      </c>
      <c r="L292" s="4"/>
      <c r="M292" s="4"/>
      <c r="N292" s="4" t="s">
        <v>46</v>
      </c>
      <c r="O292" s="4"/>
      <c r="P292" s="4"/>
      <c r="Q292" s="4" t="s">
        <v>64</v>
      </c>
      <c r="R292" s="4"/>
      <c r="S292" s="4"/>
      <c r="T292" s="4"/>
      <c r="U292" s="4"/>
      <c r="V292" s="15" t="str">
        <f t="shared" si="23"/>
        <v>2</v>
      </c>
    </row>
    <row r="293" spans="4:22" x14ac:dyDescent="0.45">
      <c r="D293" s="18" t="s">
        <v>585</v>
      </c>
      <c r="E293" s="4" t="str">
        <f>[1]Mitigation!H15119</f>
        <v>irn.mit.rp.die.all.2</v>
      </c>
      <c r="F293" s="4" t="str">
        <f t="shared" si="21"/>
        <v>N/A</v>
      </c>
      <c r="G293" s="4" t="str">
        <f t="shared" si="22"/>
        <v>irn.mit.rp_die_.all.die.all.usdliter.2</v>
      </c>
      <c r="H293" s="4" t="s">
        <v>19</v>
      </c>
      <c r="I293" s="4" t="s">
        <v>134</v>
      </c>
      <c r="J293" s="4"/>
      <c r="K293" s="4" t="s">
        <v>121</v>
      </c>
      <c r="L293" s="4"/>
      <c r="M293" s="4"/>
      <c r="N293" s="4" t="s">
        <v>46</v>
      </c>
      <c r="O293" s="4"/>
      <c r="P293" s="4"/>
      <c r="Q293" s="4" t="s">
        <v>64</v>
      </c>
      <c r="R293" s="4"/>
      <c r="S293" s="4"/>
      <c r="T293" s="4"/>
      <c r="U293" s="4"/>
      <c r="V293" s="15" t="str">
        <f t="shared" si="23"/>
        <v>2</v>
      </c>
    </row>
    <row r="294" spans="4:22" x14ac:dyDescent="0.45">
      <c r="D294" s="18" t="s">
        <v>586</v>
      </c>
      <c r="E294" s="4" t="str">
        <f>[1]Mitigation!H15120</f>
        <v>irn.mit.tgap.die.all.2</v>
      </c>
      <c r="F294" s="4" t="str">
        <f t="shared" si="21"/>
        <v>N/A</v>
      </c>
      <c r="G294" s="4" t="str">
        <f t="shared" si="22"/>
        <v>irn.mit.tgap_die_.all.die.all.usdliter.2</v>
      </c>
      <c r="H294" s="4" t="s">
        <v>19</v>
      </c>
      <c r="I294" s="4" t="s">
        <v>135</v>
      </c>
      <c r="J294" s="4"/>
      <c r="K294" s="4" t="s">
        <v>121</v>
      </c>
      <c r="L294" s="4"/>
      <c r="M294" s="4"/>
      <c r="N294" s="4" t="s">
        <v>46</v>
      </c>
      <c r="O294" s="4"/>
      <c r="P294" s="4"/>
      <c r="Q294" s="4" t="s">
        <v>64</v>
      </c>
      <c r="R294" s="4"/>
      <c r="S294" s="4"/>
      <c r="T294" s="4"/>
      <c r="U294" s="4"/>
      <c r="V294" s="15" t="str">
        <f t="shared" si="23"/>
        <v>2</v>
      </c>
    </row>
    <row r="295" spans="4:22" x14ac:dyDescent="0.45">
      <c r="D295" s="18" t="s">
        <v>587</v>
      </c>
      <c r="E295" s="4" t="str">
        <f>[1]Mitigation!H15121</f>
        <v>irn.mit.txo.all.die.a.1</v>
      </c>
      <c r="F295" s="4" t="str">
        <f t="shared" si="21"/>
        <v>N/A</v>
      </c>
      <c r="G295" s="4" t="str">
        <f t="shared" si="22"/>
        <v>irn.mit.txo_.all.die.all.usdliter.1</v>
      </c>
      <c r="H295" s="4" t="s">
        <v>19</v>
      </c>
      <c r="I295" s="4" t="s">
        <v>114</v>
      </c>
      <c r="J295" s="4"/>
      <c r="K295" s="4" t="s">
        <v>121</v>
      </c>
      <c r="L295" s="4"/>
      <c r="M295" s="4"/>
      <c r="N295" s="4" t="s">
        <v>46</v>
      </c>
      <c r="O295" s="4"/>
      <c r="P295" s="4"/>
      <c r="Q295" s="4" t="s">
        <v>64</v>
      </c>
      <c r="R295" s="4"/>
      <c r="S295" s="4"/>
      <c r="T295" s="4"/>
      <c r="U295" s="4"/>
      <c r="V295" s="15" t="str">
        <f t="shared" si="23"/>
        <v>1</v>
      </c>
    </row>
    <row r="296" spans="4:22" x14ac:dyDescent="0.45">
      <c r="D296" s="18" t="s">
        <v>588</v>
      </c>
      <c r="E296" s="4" t="str">
        <f>[1]Mitigation!H15122</f>
        <v>irn.mit.txo.co2e.die.all.1</v>
      </c>
      <c r="F296" s="4" t="str">
        <f t="shared" si="21"/>
        <v>N/A</v>
      </c>
      <c r="G296" s="4" t="str">
        <f t="shared" si="22"/>
        <v>irn.mit.txo_co2e_.all.die.all.usdtonco2.1</v>
      </c>
      <c r="H296" s="4" t="s">
        <v>19</v>
      </c>
      <c r="I296" s="4" t="s">
        <v>130</v>
      </c>
      <c r="J296" s="4"/>
      <c r="K296" s="4" t="s">
        <v>131</v>
      </c>
      <c r="L296" s="4"/>
      <c r="M296" s="4"/>
      <c r="N296" s="4" t="s">
        <v>46</v>
      </c>
      <c r="O296" s="4"/>
      <c r="P296" s="4"/>
      <c r="Q296" s="4" t="s">
        <v>64</v>
      </c>
      <c r="R296" s="4"/>
      <c r="S296" s="4"/>
      <c r="T296" s="4"/>
      <c r="U296" s="4"/>
      <c r="V296" s="15" t="str">
        <f t="shared" si="23"/>
        <v>1</v>
      </c>
    </row>
    <row r="297" spans="4:22" x14ac:dyDescent="0.45">
      <c r="D297" s="18" t="s">
        <v>589</v>
      </c>
      <c r="E297" s="4" t="str">
        <f>[1]Mitigation!H15123</f>
        <v>irn.mit.pig.die.all.2</v>
      </c>
      <c r="F297" s="4" t="str">
        <f t="shared" si="21"/>
        <v>N/A</v>
      </c>
      <c r="G297" s="4" t="str">
        <f t="shared" si="22"/>
        <v>irn.mit.pig_die_.all.die.all.usdliter.2</v>
      </c>
      <c r="H297" s="4" t="s">
        <v>19</v>
      </c>
      <c r="I297" s="4" t="s">
        <v>136</v>
      </c>
      <c r="J297" s="4"/>
      <c r="K297" s="4" t="s">
        <v>121</v>
      </c>
      <c r="L297" s="4"/>
      <c r="M297" s="4"/>
      <c r="N297" s="4" t="s">
        <v>46</v>
      </c>
      <c r="O297" s="4"/>
      <c r="P297" s="4"/>
      <c r="Q297" s="4" t="s">
        <v>64</v>
      </c>
      <c r="R297" s="4"/>
      <c r="S297" s="4"/>
      <c r="T297" s="4"/>
      <c r="U297" s="4"/>
      <c r="V297" s="15" t="str">
        <f t="shared" si="23"/>
        <v>2</v>
      </c>
    </row>
    <row r="298" spans="4:22" x14ac:dyDescent="0.45">
      <c r="D298" s="18" t="s">
        <v>590</v>
      </c>
      <c r="E298" s="4" t="str">
        <f>[1]Mitigation!H15125</f>
        <v>irn.mit.pig.co2e.die.all.2</v>
      </c>
      <c r="F298" s="4" t="str">
        <f t="shared" si="21"/>
        <v>N/A</v>
      </c>
      <c r="G298" s="4" t="str">
        <f t="shared" si="22"/>
        <v>irn.mit.pig_co2e_.all.die.all.usdtonco2.2</v>
      </c>
      <c r="H298" s="4" t="s">
        <v>19</v>
      </c>
      <c r="I298" s="4" t="s">
        <v>133</v>
      </c>
      <c r="J298" s="4"/>
      <c r="K298" s="4" t="s">
        <v>131</v>
      </c>
      <c r="L298" s="4"/>
      <c r="M298" s="4"/>
      <c r="N298" s="4" t="s">
        <v>46</v>
      </c>
      <c r="O298" s="4"/>
      <c r="P298" s="4"/>
      <c r="Q298" s="4" t="s">
        <v>64</v>
      </c>
      <c r="R298" s="4"/>
      <c r="S298" s="4"/>
      <c r="T298" s="4"/>
      <c r="U298" s="4"/>
      <c r="V298" s="15" t="str">
        <f t="shared" si="23"/>
        <v>2</v>
      </c>
    </row>
    <row r="299" spans="4:22" x14ac:dyDescent="0.45">
      <c r="D299" s="18" t="s">
        <v>591</v>
      </c>
      <c r="E299" s="4" t="str">
        <f>[1]Mitigation!H15126</f>
        <v>irn.mit.eff.price.lpg.all.2</v>
      </c>
      <c r="F299" s="4" t="str">
        <f t="shared" si="21"/>
        <v>N/A</v>
      </c>
      <c r="G299" s="4" t="str">
        <f t="shared" si="22"/>
        <v>irn.mit.eff_price_.all.lpg.all.usdliter.2</v>
      </c>
      <c r="H299" s="4" t="s">
        <v>19</v>
      </c>
      <c r="I299" s="4" t="s">
        <v>120</v>
      </c>
      <c r="J299" s="4"/>
      <c r="K299" s="4" t="s">
        <v>121</v>
      </c>
      <c r="L299" s="4"/>
      <c r="M299" s="4"/>
      <c r="N299" s="4" t="s">
        <v>46</v>
      </c>
      <c r="O299" s="4"/>
      <c r="P299" s="4"/>
      <c r="Q299" s="4" t="s">
        <v>65</v>
      </c>
      <c r="R299" s="4"/>
      <c r="S299" s="4"/>
      <c r="T299" s="4"/>
      <c r="U299" s="4"/>
      <c r="V299" s="15" t="str">
        <f t="shared" si="23"/>
        <v>2</v>
      </c>
    </row>
    <row r="300" spans="4:22" x14ac:dyDescent="0.45">
      <c r="D300" s="18" t="s">
        <v>592</v>
      </c>
      <c r="E300" s="4" t="str">
        <f>[1]Mitigation!H15127</f>
        <v>irn.mit.sup.cost.lpg.all.2</v>
      </c>
      <c r="F300" s="4" t="str">
        <f t="shared" si="21"/>
        <v>N/A</v>
      </c>
      <c r="G300" s="4" t="str">
        <f t="shared" si="22"/>
        <v>irn.mit.sup_cost_.all.lpg.all.usdliter.2</v>
      </c>
      <c r="H300" s="4" t="s">
        <v>19</v>
      </c>
      <c r="I300" s="4" t="s">
        <v>111</v>
      </c>
      <c r="J300" s="4"/>
      <c r="K300" s="4" t="s">
        <v>121</v>
      </c>
      <c r="L300" s="4"/>
      <c r="M300" s="4"/>
      <c r="N300" s="4" t="s">
        <v>46</v>
      </c>
      <c r="O300" s="4"/>
      <c r="P300" s="4"/>
      <c r="Q300" s="4" t="s">
        <v>65</v>
      </c>
      <c r="R300" s="4"/>
      <c r="S300" s="4"/>
      <c r="T300" s="4"/>
      <c r="U300" s="4"/>
      <c r="V300" s="15" t="str">
        <f t="shared" si="23"/>
        <v>2</v>
      </c>
    </row>
    <row r="301" spans="4:22" x14ac:dyDescent="0.45">
      <c r="D301" s="18" t="s">
        <v>593</v>
      </c>
      <c r="E301" s="4" t="str">
        <f>[1]Mitigation!H15128</f>
        <v>irn.mit.airpol.cost.lpg.all.2</v>
      </c>
      <c r="F301" s="4" t="str">
        <f t="shared" si="21"/>
        <v>N/A</v>
      </c>
      <c r="G301" s="4" t="str">
        <f t="shared" si="22"/>
        <v>irn.mit.airpol_cost_.all.lpg.all.usdliter.2</v>
      </c>
      <c r="H301" s="4" t="s">
        <v>19</v>
      </c>
      <c r="I301" s="4" t="s">
        <v>122</v>
      </c>
      <c r="J301" s="4"/>
      <c r="K301" s="4" t="s">
        <v>121</v>
      </c>
      <c r="L301" s="4"/>
      <c r="M301" s="4"/>
      <c r="N301" s="4" t="s">
        <v>46</v>
      </c>
      <c r="O301" s="4"/>
      <c r="P301" s="4"/>
      <c r="Q301" s="4" t="s">
        <v>65</v>
      </c>
      <c r="R301" s="4"/>
      <c r="S301" s="4"/>
      <c r="T301" s="4"/>
      <c r="U301" s="4"/>
      <c r="V301" s="15" t="str">
        <f t="shared" si="23"/>
        <v>2</v>
      </c>
    </row>
    <row r="302" spans="4:22" x14ac:dyDescent="0.45">
      <c r="D302" s="18" t="s">
        <v>594</v>
      </c>
      <c r="E302" s="4" t="str">
        <f>[1]Mitigation!H15129</f>
        <v>irn.mit.scc.cost.lpg.all.2</v>
      </c>
      <c r="F302" s="4" t="str">
        <f t="shared" si="21"/>
        <v>N/A</v>
      </c>
      <c r="G302" s="4" t="str">
        <f t="shared" si="22"/>
        <v>irn.mit.scc_cost_.all.lpg.all.usdliter.2</v>
      </c>
      <c r="H302" s="4" t="s">
        <v>19</v>
      </c>
      <c r="I302" s="4" t="s">
        <v>126</v>
      </c>
      <c r="J302" s="4"/>
      <c r="K302" s="4" t="s">
        <v>121</v>
      </c>
      <c r="L302" s="4"/>
      <c r="M302" s="4"/>
      <c r="N302" s="4" t="s">
        <v>46</v>
      </c>
      <c r="O302" s="4"/>
      <c r="P302" s="4"/>
      <c r="Q302" s="4" t="s">
        <v>65</v>
      </c>
      <c r="R302" s="4"/>
      <c r="S302" s="4"/>
      <c r="T302" s="4"/>
      <c r="U302" s="4"/>
      <c r="V302" s="15" t="str">
        <f t="shared" si="23"/>
        <v>2</v>
      </c>
    </row>
    <row r="303" spans="4:22" x14ac:dyDescent="0.45">
      <c r="D303" s="18" t="s">
        <v>595</v>
      </c>
      <c r="E303" s="4" t="str">
        <f>[1]Mitigation!H15130</f>
        <v>irn.mit.vat.cost.lpg.all.2</v>
      </c>
      <c r="F303" s="4" t="str">
        <f t="shared" si="21"/>
        <v>N/A</v>
      </c>
      <c r="G303" s="4" t="str">
        <f t="shared" si="22"/>
        <v>irn.mit.vat_cost_.all.lpg.all.usdliter.2</v>
      </c>
      <c r="H303" s="4" t="s">
        <v>19</v>
      </c>
      <c r="I303" s="4" t="s">
        <v>127</v>
      </c>
      <c r="J303" s="4"/>
      <c r="K303" s="4" t="s">
        <v>121</v>
      </c>
      <c r="L303" s="4"/>
      <c r="M303" s="4"/>
      <c r="N303" s="4" t="s">
        <v>46</v>
      </c>
      <c r="O303" s="4"/>
      <c r="P303" s="4"/>
      <c r="Q303" s="4" t="s">
        <v>65</v>
      </c>
      <c r="R303" s="4"/>
      <c r="S303" s="4"/>
      <c r="T303" s="4"/>
      <c r="U303" s="4"/>
      <c r="V303" s="15" t="str">
        <f t="shared" si="23"/>
        <v>2</v>
      </c>
    </row>
    <row r="304" spans="4:22" x14ac:dyDescent="0.45">
      <c r="D304" s="18" t="s">
        <v>596</v>
      </c>
      <c r="E304" s="4" t="str">
        <f>[1]Mitigation!H15131</f>
        <v>irn.mit.rp.lpg.all.2</v>
      </c>
      <c r="F304" s="4" t="str">
        <f t="shared" si="21"/>
        <v>N/A</v>
      </c>
      <c r="G304" s="4" t="str">
        <f t="shared" si="22"/>
        <v>irn.mit.rp_lpg_.all.lpg.all.usdliter.2</v>
      </c>
      <c r="H304" s="4" t="s">
        <v>19</v>
      </c>
      <c r="I304" s="4" t="s">
        <v>137</v>
      </c>
      <c r="J304" s="4"/>
      <c r="K304" s="4" t="s">
        <v>121</v>
      </c>
      <c r="L304" s="4"/>
      <c r="M304" s="4"/>
      <c r="N304" s="4" t="s">
        <v>46</v>
      </c>
      <c r="O304" s="4"/>
      <c r="P304" s="4"/>
      <c r="Q304" s="4" t="s">
        <v>65</v>
      </c>
      <c r="R304" s="4"/>
      <c r="S304" s="4"/>
      <c r="T304" s="4"/>
      <c r="U304" s="4"/>
      <c r="V304" s="15" t="str">
        <f t="shared" si="23"/>
        <v>2</v>
      </c>
    </row>
    <row r="305" spans="4:22" x14ac:dyDescent="0.45">
      <c r="D305" s="18" t="s">
        <v>597</v>
      </c>
      <c r="E305" s="4" t="str">
        <f>[1]Mitigation!H15132</f>
        <v>irn.mit.tgap.lpg.all.2</v>
      </c>
      <c r="F305" s="4" t="str">
        <f t="shared" si="21"/>
        <v>N/A</v>
      </c>
      <c r="G305" s="4" t="str">
        <f t="shared" si="22"/>
        <v>irn.mit.tgap_lpg_.all.lpg.all.usdliter.2</v>
      </c>
      <c r="H305" s="4" t="s">
        <v>19</v>
      </c>
      <c r="I305" s="4" t="s">
        <v>138</v>
      </c>
      <c r="J305" s="4"/>
      <c r="K305" s="4" t="s">
        <v>121</v>
      </c>
      <c r="L305" s="4"/>
      <c r="M305" s="4"/>
      <c r="N305" s="4" t="s">
        <v>46</v>
      </c>
      <c r="O305" s="4"/>
      <c r="P305" s="4"/>
      <c r="Q305" s="4" t="s">
        <v>65</v>
      </c>
      <c r="R305" s="4"/>
      <c r="S305" s="4"/>
      <c r="T305" s="4"/>
      <c r="U305" s="4"/>
      <c r="V305" s="15" t="str">
        <f t="shared" si="23"/>
        <v>2</v>
      </c>
    </row>
    <row r="306" spans="4:22" x14ac:dyDescent="0.45">
      <c r="D306" s="18" t="s">
        <v>598</v>
      </c>
      <c r="E306" s="4" t="str">
        <f>[1]Mitigation!H15133</f>
        <v>irn.mit.txo.all.lpg.a.1</v>
      </c>
      <c r="F306" s="4" t="str">
        <f t="shared" si="21"/>
        <v>N/A</v>
      </c>
      <c r="G306" s="4" t="str">
        <f t="shared" si="22"/>
        <v>irn.mit.txo_.all.lpg.all.usdliter.1</v>
      </c>
      <c r="H306" s="4" t="s">
        <v>19</v>
      </c>
      <c r="I306" s="4" t="s">
        <v>114</v>
      </c>
      <c r="J306" s="4"/>
      <c r="K306" s="4" t="s">
        <v>121</v>
      </c>
      <c r="L306" s="4"/>
      <c r="M306" s="4"/>
      <c r="N306" s="4" t="s">
        <v>46</v>
      </c>
      <c r="O306" s="4"/>
      <c r="P306" s="4"/>
      <c r="Q306" s="4" t="s">
        <v>65</v>
      </c>
      <c r="R306" s="4"/>
      <c r="S306" s="4"/>
      <c r="T306" s="4"/>
      <c r="U306" s="4"/>
      <c r="V306" s="15" t="str">
        <f t="shared" si="23"/>
        <v>1</v>
      </c>
    </row>
    <row r="307" spans="4:22" x14ac:dyDescent="0.45">
      <c r="D307" s="18" t="s">
        <v>599</v>
      </c>
      <c r="E307" s="4" t="str">
        <f>[1]Mitigation!H15134</f>
        <v>irn.mit.txo.co2e.lpg.all.1</v>
      </c>
      <c r="F307" s="4" t="str">
        <f t="shared" si="21"/>
        <v>N/A</v>
      </c>
      <c r="G307" s="4" t="str">
        <f t="shared" si="22"/>
        <v>irn.mit.txo_co2e_.all.lpg.all.usdtonco2.1</v>
      </c>
      <c r="H307" s="4" t="s">
        <v>19</v>
      </c>
      <c r="I307" s="4" t="s">
        <v>130</v>
      </c>
      <c r="J307" s="4"/>
      <c r="K307" s="4" t="s">
        <v>131</v>
      </c>
      <c r="L307" s="4"/>
      <c r="M307" s="4"/>
      <c r="N307" s="4" t="s">
        <v>46</v>
      </c>
      <c r="O307" s="4"/>
      <c r="P307" s="4"/>
      <c r="Q307" s="4" t="s">
        <v>65</v>
      </c>
      <c r="R307" s="4"/>
      <c r="S307" s="4"/>
      <c r="T307" s="4"/>
      <c r="U307" s="4"/>
      <c r="V307" s="15" t="str">
        <f t="shared" si="23"/>
        <v>1</v>
      </c>
    </row>
    <row r="308" spans="4:22" x14ac:dyDescent="0.45">
      <c r="D308" s="18" t="s">
        <v>600</v>
      </c>
      <c r="E308" s="4" t="str">
        <f>[1]Mitigation!H15135</f>
        <v>irn.mit.pig.lpg.all.2</v>
      </c>
      <c r="F308" s="4" t="str">
        <f t="shared" si="21"/>
        <v>N/A</v>
      </c>
      <c r="G308" s="4" t="str">
        <f t="shared" si="22"/>
        <v>irn.mit.pig_lpg_.all.lpg.all.usdliter.2</v>
      </c>
      <c r="H308" s="4" t="s">
        <v>19</v>
      </c>
      <c r="I308" s="4" t="s">
        <v>139</v>
      </c>
      <c r="J308" s="4"/>
      <c r="K308" s="4" t="s">
        <v>121</v>
      </c>
      <c r="L308" s="4"/>
      <c r="M308" s="4"/>
      <c r="N308" s="4" t="s">
        <v>46</v>
      </c>
      <c r="O308" s="4"/>
      <c r="P308" s="4"/>
      <c r="Q308" s="4" t="s">
        <v>65</v>
      </c>
      <c r="R308" s="4"/>
      <c r="S308" s="4"/>
      <c r="T308" s="4"/>
      <c r="U308" s="4"/>
      <c r="V308" s="15" t="str">
        <f t="shared" si="23"/>
        <v>2</v>
      </c>
    </row>
    <row r="309" spans="4:22" x14ac:dyDescent="0.45">
      <c r="D309" s="18" t="s">
        <v>601</v>
      </c>
      <c r="E309" s="4" t="str">
        <f>[1]Mitigation!H15137</f>
        <v>irn.mit.pig.co2e.lpg.all.2</v>
      </c>
      <c r="F309" s="4" t="str">
        <f t="shared" si="21"/>
        <v>N/A</v>
      </c>
      <c r="G309" s="4" t="str">
        <f t="shared" si="22"/>
        <v>irn.mit.pig_co2e_.all.lpg.all.usdtonco2.2</v>
      </c>
      <c r="H309" s="4" t="s">
        <v>19</v>
      </c>
      <c r="I309" s="4" t="s">
        <v>133</v>
      </c>
      <c r="J309" s="4"/>
      <c r="K309" s="4" t="s">
        <v>131</v>
      </c>
      <c r="L309" s="4"/>
      <c r="M309" s="4"/>
      <c r="N309" s="4" t="s">
        <v>46</v>
      </c>
      <c r="O309" s="4"/>
      <c r="P309" s="4"/>
      <c r="Q309" s="4" t="s">
        <v>65</v>
      </c>
      <c r="R309" s="4"/>
      <c r="S309" s="4"/>
      <c r="T309" s="4"/>
      <c r="U309" s="4"/>
      <c r="V309" s="15" t="str">
        <f t="shared" si="23"/>
        <v>2</v>
      </c>
    </row>
    <row r="310" spans="4:22" x14ac:dyDescent="0.45">
      <c r="D310" s="18" t="s">
        <v>602</v>
      </c>
      <c r="E310" s="4" t="str">
        <f>[1]Mitigation!H15138</f>
        <v>irn.mit.eff.price.ker.all.2</v>
      </c>
      <c r="F310" s="4" t="str">
        <f t="shared" si="21"/>
        <v>N/A</v>
      </c>
      <c r="G310" s="4" t="str">
        <f t="shared" si="22"/>
        <v>irn.mit.eff_price_.all.ker.all.usdliter.2</v>
      </c>
      <c r="H310" s="4" t="s">
        <v>19</v>
      </c>
      <c r="I310" s="4" t="s">
        <v>120</v>
      </c>
      <c r="J310" s="4"/>
      <c r="K310" s="4" t="s">
        <v>121</v>
      </c>
      <c r="L310" s="4"/>
      <c r="M310" s="4"/>
      <c r="N310" s="4" t="s">
        <v>46</v>
      </c>
      <c r="O310" s="4"/>
      <c r="P310" s="4"/>
      <c r="Q310" s="4" t="s">
        <v>66</v>
      </c>
      <c r="R310" s="4"/>
      <c r="S310" s="4"/>
      <c r="T310" s="4"/>
      <c r="U310" s="4"/>
      <c r="V310" s="15" t="str">
        <f t="shared" si="23"/>
        <v>2</v>
      </c>
    </row>
    <row r="311" spans="4:22" x14ac:dyDescent="0.45">
      <c r="D311" s="18" t="s">
        <v>603</v>
      </c>
      <c r="E311" s="4" t="str">
        <f>[1]Mitigation!H15139</f>
        <v>irn.mit.sup.cost.ker.all.2</v>
      </c>
      <c r="F311" s="4" t="str">
        <f t="shared" si="21"/>
        <v>N/A</v>
      </c>
      <c r="G311" s="4" t="str">
        <f t="shared" si="22"/>
        <v>irn.mit.sup_cost_.all.ker.all.usdliter.2</v>
      </c>
      <c r="H311" s="4" t="s">
        <v>19</v>
      </c>
      <c r="I311" s="4" t="s">
        <v>111</v>
      </c>
      <c r="J311" s="4"/>
      <c r="K311" s="4" t="s">
        <v>121</v>
      </c>
      <c r="L311" s="4"/>
      <c r="M311" s="4"/>
      <c r="N311" s="4" t="s">
        <v>46</v>
      </c>
      <c r="O311" s="4"/>
      <c r="P311" s="4"/>
      <c r="Q311" s="4" t="s">
        <v>66</v>
      </c>
      <c r="R311" s="4"/>
      <c r="S311" s="4"/>
      <c r="T311" s="4"/>
      <c r="U311" s="4"/>
      <c r="V311" s="15" t="str">
        <f t="shared" si="23"/>
        <v>2</v>
      </c>
    </row>
    <row r="312" spans="4:22" x14ac:dyDescent="0.45">
      <c r="D312" s="18" t="s">
        <v>604</v>
      </c>
      <c r="E312" s="4" t="str">
        <f>[1]Mitigation!H15140</f>
        <v>irn.mit.airpol.cost.ker.all.2</v>
      </c>
      <c r="F312" s="4" t="str">
        <f t="shared" si="21"/>
        <v>N/A</v>
      </c>
      <c r="G312" s="4" t="str">
        <f t="shared" si="22"/>
        <v>irn.mit.airpol_cost_.all.ker.all.usdliter.2</v>
      </c>
      <c r="H312" s="4" t="s">
        <v>19</v>
      </c>
      <c r="I312" s="4" t="s">
        <v>122</v>
      </c>
      <c r="J312" s="4"/>
      <c r="K312" s="4" t="s">
        <v>121</v>
      </c>
      <c r="L312" s="4"/>
      <c r="M312" s="4"/>
      <c r="N312" s="4" t="s">
        <v>46</v>
      </c>
      <c r="O312" s="4"/>
      <c r="P312" s="4"/>
      <c r="Q312" s="4" t="s">
        <v>66</v>
      </c>
      <c r="R312" s="4"/>
      <c r="S312" s="4"/>
      <c r="T312" s="4"/>
      <c r="U312" s="4"/>
      <c r="V312" s="15" t="str">
        <f t="shared" si="23"/>
        <v>2</v>
      </c>
    </row>
    <row r="313" spans="4:22" x14ac:dyDescent="0.45">
      <c r="D313" s="18" t="s">
        <v>605</v>
      </c>
      <c r="E313" s="4" t="str">
        <f>[1]Mitigation!H15141</f>
        <v>irn.mit.scc.cost.ker.all.2</v>
      </c>
      <c r="F313" s="4" t="str">
        <f t="shared" si="21"/>
        <v>N/A</v>
      </c>
      <c r="G313" s="4" t="str">
        <f t="shared" si="22"/>
        <v>irn.mit.scc_cost_.all.ker.all.usdliter.2</v>
      </c>
      <c r="H313" s="4" t="s">
        <v>19</v>
      </c>
      <c r="I313" s="4" t="s">
        <v>126</v>
      </c>
      <c r="J313" s="4"/>
      <c r="K313" s="4" t="s">
        <v>121</v>
      </c>
      <c r="L313" s="4"/>
      <c r="M313" s="4"/>
      <c r="N313" s="4" t="s">
        <v>46</v>
      </c>
      <c r="O313" s="4"/>
      <c r="P313" s="4"/>
      <c r="Q313" s="4" t="s">
        <v>66</v>
      </c>
      <c r="R313" s="4"/>
      <c r="S313" s="4"/>
      <c r="T313" s="4"/>
      <c r="U313" s="4"/>
      <c r="V313" s="15" t="str">
        <f t="shared" si="23"/>
        <v>2</v>
      </c>
    </row>
    <row r="314" spans="4:22" x14ac:dyDescent="0.45">
      <c r="D314" s="18" t="s">
        <v>606</v>
      </c>
      <c r="E314" s="4" t="str">
        <f>[1]Mitigation!H15142</f>
        <v>irn.mit.vat.cost.ker.all.2</v>
      </c>
      <c r="F314" s="4" t="str">
        <f t="shared" si="21"/>
        <v>N/A</v>
      </c>
      <c r="G314" s="4" t="str">
        <f t="shared" si="22"/>
        <v>irn.mit.vat_cost_.all.ker.all.usdliter.2</v>
      </c>
      <c r="H314" s="4" t="s">
        <v>19</v>
      </c>
      <c r="I314" s="4" t="s">
        <v>127</v>
      </c>
      <c r="J314" s="4"/>
      <c r="K314" s="4" t="s">
        <v>121</v>
      </c>
      <c r="L314" s="4"/>
      <c r="M314" s="4"/>
      <c r="N314" s="4" t="s">
        <v>46</v>
      </c>
      <c r="O314" s="4"/>
      <c r="P314" s="4"/>
      <c r="Q314" s="4" t="s">
        <v>66</v>
      </c>
      <c r="R314" s="4"/>
      <c r="S314" s="4"/>
      <c r="T314" s="4"/>
      <c r="U314" s="4"/>
      <c r="V314" s="15" t="str">
        <f t="shared" si="23"/>
        <v>2</v>
      </c>
    </row>
    <row r="315" spans="4:22" x14ac:dyDescent="0.45">
      <c r="D315" s="18" t="s">
        <v>607</v>
      </c>
      <c r="E315" s="4" t="str">
        <f>[1]Mitigation!H15143</f>
        <v>irn.mit.rp.ker.all.2</v>
      </c>
      <c r="F315" s="4" t="str">
        <f t="shared" si="21"/>
        <v>N/A</v>
      </c>
      <c r="G315" s="4" t="str">
        <f t="shared" si="22"/>
        <v>irn.mit.rp_ker_.all.ker.all.usdliter.2</v>
      </c>
      <c r="H315" s="4" t="s">
        <v>19</v>
      </c>
      <c r="I315" s="4" t="s">
        <v>140</v>
      </c>
      <c r="J315" s="4"/>
      <c r="K315" s="4" t="s">
        <v>121</v>
      </c>
      <c r="L315" s="4"/>
      <c r="M315" s="4"/>
      <c r="N315" s="4" t="s">
        <v>46</v>
      </c>
      <c r="O315" s="4"/>
      <c r="P315" s="4"/>
      <c r="Q315" s="4" t="s">
        <v>66</v>
      </c>
      <c r="R315" s="4"/>
      <c r="S315" s="4"/>
      <c r="T315" s="4"/>
      <c r="U315" s="4"/>
      <c r="V315" s="15" t="str">
        <f t="shared" si="23"/>
        <v>2</v>
      </c>
    </row>
    <row r="316" spans="4:22" x14ac:dyDescent="0.45">
      <c r="D316" s="18" t="s">
        <v>608</v>
      </c>
      <c r="E316" s="4" t="str">
        <f>[1]Mitigation!H15144</f>
        <v>irn.mit.tgap.ker.all.2</v>
      </c>
      <c r="F316" s="4" t="str">
        <f t="shared" si="21"/>
        <v>N/A</v>
      </c>
      <c r="G316" s="4" t="str">
        <f t="shared" si="22"/>
        <v>irn.mit.tgap_ker_.all.ker.all.usdliter.2</v>
      </c>
      <c r="H316" s="4" t="s">
        <v>19</v>
      </c>
      <c r="I316" s="4" t="s">
        <v>141</v>
      </c>
      <c r="J316" s="4"/>
      <c r="K316" s="4" t="s">
        <v>121</v>
      </c>
      <c r="L316" s="4"/>
      <c r="M316" s="4"/>
      <c r="N316" s="4" t="s">
        <v>46</v>
      </c>
      <c r="O316" s="4"/>
      <c r="P316" s="4"/>
      <c r="Q316" s="4" t="s">
        <v>66</v>
      </c>
      <c r="R316" s="4"/>
      <c r="S316" s="4"/>
      <c r="T316" s="4"/>
      <c r="U316" s="4"/>
      <c r="V316" s="15" t="str">
        <f t="shared" si="23"/>
        <v>2</v>
      </c>
    </row>
    <row r="317" spans="4:22" x14ac:dyDescent="0.45">
      <c r="D317" s="18" t="s">
        <v>609</v>
      </c>
      <c r="E317" s="4" t="str">
        <f>[1]Mitigation!H15145</f>
        <v>irn.mit.txo.all.ker.a.1</v>
      </c>
      <c r="F317" s="4" t="str">
        <f t="shared" si="21"/>
        <v>N/A</v>
      </c>
      <c r="G317" s="4" t="str">
        <f t="shared" si="22"/>
        <v>irn.mit.txo_.all.ker.all.usdliter.1</v>
      </c>
      <c r="H317" s="4" t="s">
        <v>19</v>
      </c>
      <c r="I317" s="4" t="s">
        <v>114</v>
      </c>
      <c r="J317" s="4"/>
      <c r="K317" s="4" t="s">
        <v>121</v>
      </c>
      <c r="L317" s="4"/>
      <c r="M317" s="4"/>
      <c r="N317" s="4" t="s">
        <v>46</v>
      </c>
      <c r="O317" s="4"/>
      <c r="P317" s="4"/>
      <c r="Q317" s="4" t="s">
        <v>66</v>
      </c>
      <c r="R317" s="4"/>
      <c r="S317" s="4"/>
      <c r="T317" s="4"/>
      <c r="U317" s="4"/>
      <c r="V317" s="15" t="str">
        <f t="shared" si="23"/>
        <v>1</v>
      </c>
    </row>
    <row r="318" spans="4:22" x14ac:dyDescent="0.45">
      <c r="D318" s="18" t="s">
        <v>610</v>
      </c>
      <c r="E318" s="4" t="str">
        <f>[1]Mitigation!H15146</f>
        <v>irn.mit.txo.co2e.ker.all.1</v>
      </c>
      <c r="F318" s="4" t="str">
        <f t="shared" si="21"/>
        <v>N/A</v>
      </c>
      <c r="G318" s="4" t="str">
        <f t="shared" si="22"/>
        <v>irn.mit.txo_co2e_.all.ker.all.usdtonco2.1</v>
      </c>
      <c r="H318" s="4" t="s">
        <v>19</v>
      </c>
      <c r="I318" s="4" t="s">
        <v>130</v>
      </c>
      <c r="J318" s="4"/>
      <c r="K318" s="4" t="s">
        <v>131</v>
      </c>
      <c r="L318" s="4"/>
      <c r="M318" s="4"/>
      <c r="N318" s="4" t="s">
        <v>46</v>
      </c>
      <c r="O318" s="4"/>
      <c r="P318" s="4"/>
      <c r="Q318" s="4" t="s">
        <v>66</v>
      </c>
      <c r="R318" s="4"/>
      <c r="S318" s="4"/>
      <c r="T318" s="4"/>
      <c r="U318" s="4"/>
      <c r="V318" s="15" t="str">
        <f t="shared" si="23"/>
        <v>1</v>
      </c>
    </row>
    <row r="319" spans="4:22" x14ac:dyDescent="0.45">
      <c r="D319" s="18" t="s">
        <v>611</v>
      </c>
      <c r="E319" s="4" t="str">
        <f>[1]Mitigation!H15147</f>
        <v>irn.mit.pig.ker.all.2</v>
      </c>
      <c r="F319" s="4" t="str">
        <f t="shared" si="21"/>
        <v>N/A</v>
      </c>
      <c r="G319" s="4" t="str">
        <f t="shared" si="22"/>
        <v>irn.mit.pig_ker_.all.ker.all.usdliter.2</v>
      </c>
      <c r="H319" s="4" t="s">
        <v>19</v>
      </c>
      <c r="I319" s="4" t="s">
        <v>142</v>
      </c>
      <c r="J319" s="4"/>
      <c r="K319" s="4" t="s">
        <v>121</v>
      </c>
      <c r="L319" s="4"/>
      <c r="M319" s="4"/>
      <c r="N319" s="4" t="s">
        <v>46</v>
      </c>
      <c r="O319" s="4"/>
      <c r="P319" s="4"/>
      <c r="Q319" s="4" t="s">
        <v>66</v>
      </c>
      <c r="R319" s="4"/>
      <c r="S319" s="4"/>
      <c r="T319" s="4"/>
      <c r="U319" s="4"/>
      <c r="V319" s="15" t="str">
        <f t="shared" si="23"/>
        <v>2</v>
      </c>
    </row>
    <row r="320" spans="4:22" x14ac:dyDescent="0.45">
      <c r="D320" s="18" t="s">
        <v>612</v>
      </c>
      <c r="E320" s="4" t="str">
        <f>[1]Mitigation!H15149</f>
        <v>irn.mit.pig.co2e.ker.all.2</v>
      </c>
      <c r="F320" s="4" t="str">
        <f t="shared" si="21"/>
        <v>N/A</v>
      </c>
      <c r="G320" s="4" t="str">
        <f t="shared" si="22"/>
        <v>irn.mit.pig_co2e_.all.ker.all.usdtonco2.2</v>
      </c>
      <c r="H320" s="4" t="s">
        <v>19</v>
      </c>
      <c r="I320" s="4" t="s">
        <v>133</v>
      </c>
      <c r="J320" s="4"/>
      <c r="K320" s="4" t="s">
        <v>131</v>
      </c>
      <c r="L320" s="4"/>
      <c r="M320" s="4"/>
      <c r="N320" s="4" t="s">
        <v>46</v>
      </c>
      <c r="O320" s="4"/>
      <c r="P320" s="4"/>
      <c r="Q320" s="4" t="s">
        <v>66</v>
      </c>
      <c r="R320" s="4"/>
      <c r="S320" s="4"/>
      <c r="T320" s="4"/>
      <c r="U320" s="4"/>
      <c r="V320" s="15" t="str">
        <f t="shared" si="23"/>
        <v>2</v>
      </c>
    </row>
    <row r="321" spans="4:22" x14ac:dyDescent="0.45">
      <c r="D321" s="18" t="s">
        <v>613</v>
      </c>
      <c r="E321" s="4" t="str">
        <f>[1]Mitigation!H15150</f>
        <v>irn.mit.eff.price.coa.ind.2</v>
      </c>
      <c r="F321" s="4" t="str">
        <f t="shared" si="21"/>
        <v>N/A</v>
      </c>
      <c r="G321" s="4" t="str">
        <f t="shared" si="22"/>
        <v>irn.mit.eff_price_.all.coa.all.usdGJ.2</v>
      </c>
      <c r="H321" s="4" t="s">
        <v>19</v>
      </c>
      <c r="I321" s="4" t="s">
        <v>120</v>
      </c>
      <c r="J321" s="4"/>
      <c r="K321" s="4" t="s">
        <v>143</v>
      </c>
      <c r="L321" s="4"/>
      <c r="M321" s="4"/>
      <c r="N321" s="4" t="s">
        <v>29</v>
      </c>
      <c r="O321" s="4"/>
      <c r="P321" s="4"/>
      <c r="Q321" s="4" t="s">
        <v>60</v>
      </c>
      <c r="R321" s="4"/>
      <c r="S321" s="4"/>
      <c r="T321" s="4"/>
      <c r="U321" s="4"/>
      <c r="V321" s="15" t="str">
        <f t="shared" si="23"/>
        <v>2</v>
      </c>
    </row>
    <row r="322" spans="4:22" x14ac:dyDescent="0.45">
      <c r="D322" s="18" t="s">
        <v>614</v>
      </c>
      <c r="E322" s="4" t="str">
        <f>[1]Mitigation!H15151</f>
        <v>irn.mit.sup.cost.coa.ind.2</v>
      </c>
      <c r="F322" s="4" t="str">
        <f t="shared" si="21"/>
        <v>N/A</v>
      </c>
      <c r="G322" s="4" t="str">
        <f t="shared" si="22"/>
        <v>irn.mit.sup_cost_.all.coa.all.usdGJ.2</v>
      </c>
      <c r="H322" s="4" t="s">
        <v>19</v>
      </c>
      <c r="I322" s="4" t="s">
        <v>111</v>
      </c>
      <c r="J322" s="4"/>
      <c r="K322" s="4" t="s">
        <v>143</v>
      </c>
      <c r="L322" s="4"/>
      <c r="M322" s="4"/>
      <c r="N322" s="4" t="s">
        <v>29</v>
      </c>
      <c r="O322" s="4"/>
      <c r="P322" s="4"/>
      <c r="Q322" s="4" t="s">
        <v>60</v>
      </c>
      <c r="R322" s="4"/>
      <c r="S322" s="4"/>
      <c r="T322" s="4"/>
      <c r="U322" s="4"/>
      <c r="V322" s="15" t="str">
        <f t="shared" si="23"/>
        <v>2</v>
      </c>
    </row>
    <row r="323" spans="4:22" x14ac:dyDescent="0.45">
      <c r="D323" s="18" t="s">
        <v>615</v>
      </c>
      <c r="E323" s="4" t="str">
        <f>[1]Mitigation!H15152</f>
        <v>irn.mit.airpol.cost.coa.ind.2</v>
      </c>
      <c r="F323" s="4" t="str">
        <f t="shared" si="21"/>
        <v>N/A</v>
      </c>
      <c r="G323" s="4" t="str">
        <f t="shared" si="22"/>
        <v>irn.mit.airpol_cost_.all.coa.all.usdGJ.2</v>
      </c>
      <c r="H323" s="4" t="s">
        <v>19</v>
      </c>
      <c r="I323" s="4" t="s">
        <v>122</v>
      </c>
      <c r="J323" s="4"/>
      <c r="K323" s="4" t="s">
        <v>143</v>
      </c>
      <c r="L323" s="4"/>
      <c r="M323" s="4"/>
      <c r="N323" s="4" t="s">
        <v>29</v>
      </c>
      <c r="O323" s="4"/>
      <c r="P323" s="4"/>
      <c r="Q323" s="4" t="s">
        <v>60</v>
      </c>
      <c r="R323" s="4"/>
      <c r="S323" s="4"/>
      <c r="T323" s="4"/>
      <c r="U323" s="4"/>
      <c r="V323" s="15" t="str">
        <f t="shared" si="23"/>
        <v>2</v>
      </c>
    </row>
    <row r="324" spans="4:22" x14ac:dyDescent="0.45">
      <c r="D324" s="18" t="s">
        <v>616</v>
      </c>
      <c r="E324" s="4" t="str">
        <f>[1]Mitigation!H15153</f>
        <v>irn.mit.scc.cost.coa.ind.2</v>
      </c>
      <c r="F324" s="4" t="str">
        <f t="shared" si="21"/>
        <v>N/A</v>
      </c>
      <c r="G324" s="4" t="str">
        <f t="shared" si="22"/>
        <v>irn.mit.scc_cost_.all.coa.all.usdGJ.2</v>
      </c>
      <c r="H324" s="4" t="s">
        <v>19</v>
      </c>
      <c r="I324" s="4" t="s">
        <v>126</v>
      </c>
      <c r="J324" s="4"/>
      <c r="K324" s="4" t="s">
        <v>143</v>
      </c>
      <c r="L324" s="4"/>
      <c r="M324" s="4"/>
      <c r="N324" s="4" t="s">
        <v>29</v>
      </c>
      <c r="O324" s="4"/>
      <c r="P324" s="4"/>
      <c r="Q324" s="4" t="s">
        <v>60</v>
      </c>
      <c r="R324" s="4"/>
      <c r="S324" s="4"/>
      <c r="T324" s="4"/>
      <c r="U324" s="4"/>
      <c r="V324" s="15" t="str">
        <f t="shared" si="23"/>
        <v>2</v>
      </c>
    </row>
    <row r="325" spans="4:22" x14ac:dyDescent="0.45">
      <c r="D325" s="18" t="s">
        <v>617</v>
      </c>
      <c r="E325" s="4" t="str">
        <f>[1]Mitigation!H15154</f>
        <v>irn.mit.vat.cost.coa.ind.2</v>
      </c>
      <c r="F325" s="4" t="str">
        <f t="shared" si="21"/>
        <v>N/A</v>
      </c>
      <c r="G325" s="4" t="str">
        <f t="shared" si="22"/>
        <v>irn.mit.vat_cost_.all.coa.all.usdGJ.2</v>
      </c>
      <c r="H325" s="4" t="s">
        <v>19</v>
      </c>
      <c r="I325" s="4" t="s">
        <v>127</v>
      </c>
      <c r="J325" s="4"/>
      <c r="K325" s="4" t="s">
        <v>143</v>
      </c>
      <c r="L325" s="4"/>
      <c r="M325" s="4"/>
      <c r="N325" s="4" t="s">
        <v>29</v>
      </c>
      <c r="O325" s="4"/>
      <c r="P325" s="4"/>
      <c r="Q325" s="4" t="s">
        <v>60</v>
      </c>
      <c r="R325" s="4"/>
      <c r="S325" s="4"/>
      <c r="T325" s="4"/>
      <c r="U325" s="4"/>
      <c r="V325" s="15" t="str">
        <f t="shared" si="23"/>
        <v>2</v>
      </c>
    </row>
    <row r="326" spans="4:22" x14ac:dyDescent="0.45">
      <c r="D326" s="18" t="s">
        <v>618</v>
      </c>
      <c r="E326" s="4" t="str">
        <f>[1]Mitigation!H15155</f>
        <v>irn.mit.rp.coa.ind.2</v>
      </c>
      <c r="F326" s="4" t="str">
        <f t="shared" si="21"/>
        <v>N/A</v>
      </c>
      <c r="G326" s="4" t="str">
        <f t="shared" si="22"/>
        <v>irn.mit.rp_coa_.all.coa.all.usdGJ.2</v>
      </c>
      <c r="H326" s="4" t="s">
        <v>19</v>
      </c>
      <c r="I326" s="4" t="s">
        <v>144</v>
      </c>
      <c r="J326" s="4"/>
      <c r="K326" s="4" t="s">
        <v>143</v>
      </c>
      <c r="L326" s="4"/>
      <c r="M326" s="4"/>
      <c r="N326" s="4" t="s">
        <v>29</v>
      </c>
      <c r="O326" s="4"/>
      <c r="P326" s="4"/>
      <c r="Q326" s="4" t="s">
        <v>60</v>
      </c>
      <c r="R326" s="4"/>
      <c r="S326" s="4"/>
      <c r="T326" s="4"/>
      <c r="U326" s="4"/>
      <c r="V326" s="15" t="str">
        <f t="shared" si="23"/>
        <v>2</v>
      </c>
    </row>
    <row r="327" spans="4:22" x14ac:dyDescent="0.45">
      <c r="D327" s="18" t="s">
        <v>619</v>
      </c>
      <c r="E327" s="4" t="str">
        <f>[1]Mitigation!H15156</f>
        <v>irn.mit.tgap.coa.ind.2</v>
      </c>
      <c r="F327" s="4" t="str">
        <f t="shared" si="21"/>
        <v>N/A</v>
      </c>
      <c r="G327" s="4" t="str">
        <f t="shared" si="22"/>
        <v>irn.mit.tgap_coa_.all.coa.all.usdGJ.2</v>
      </c>
      <c r="H327" s="4" t="s">
        <v>19</v>
      </c>
      <c r="I327" s="4" t="s">
        <v>145</v>
      </c>
      <c r="J327" s="4"/>
      <c r="K327" s="4" t="s">
        <v>143</v>
      </c>
      <c r="L327" s="4"/>
      <c r="M327" s="4"/>
      <c r="N327" s="4" t="s">
        <v>29</v>
      </c>
      <c r="O327" s="4"/>
      <c r="P327" s="4"/>
      <c r="Q327" s="4" t="s">
        <v>60</v>
      </c>
      <c r="R327" s="4"/>
      <c r="S327" s="4"/>
      <c r="T327" s="4"/>
      <c r="U327" s="4"/>
      <c r="V327" s="15" t="str">
        <f t="shared" si="23"/>
        <v>2</v>
      </c>
    </row>
    <row r="328" spans="4:22" x14ac:dyDescent="0.45">
      <c r="D328" s="18" t="s">
        <v>620</v>
      </c>
      <c r="E328" s="4" t="str">
        <f>[1]Mitigation!H15157</f>
        <v>irn.mit.txo.ind.coa.a.1</v>
      </c>
      <c r="F328" s="4" t="str">
        <f t="shared" si="21"/>
        <v>N/A</v>
      </c>
      <c r="G328" s="4" t="str">
        <f t="shared" si="22"/>
        <v>irn.mit.txo_ind_.all.coa.all.usdGJ.1</v>
      </c>
      <c r="H328" s="4" t="s">
        <v>19</v>
      </c>
      <c r="I328" s="4" t="s">
        <v>146</v>
      </c>
      <c r="J328" s="4"/>
      <c r="K328" s="4" t="s">
        <v>143</v>
      </c>
      <c r="L328" s="4"/>
      <c r="M328" s="4"/>
      <c r="N328" s="4" t="s">
        <v>29</v>
      </c>
      <c r="O328" s="4"/>
      <c r="P328" s="4"/>
      <c r="Q328" s="4" t="s">
        <v>60</v>
      </c>
      <c r="R328" s="4"/>
      <c r="S328" s="4"/>
      <c r="T328" s="4"/>
      <c r="U328" s="4"/>
      <c r="V328" s="15" t="str">
        <f t="shared" si="23"/>
        <v>1</v>
      </c>
    </row>
    <row r="329" spans="4:22" x14ac:dyDescent="0.45">
      <c r="D329" s="18" t="s">
        <v>621</v>
      </c>
      <c r="E329" s="4" t="str">
        <f>[1]Mitigation!H15158</f>
        <v>irn.mit.txo.co2e.coa.ind.1</v>
      </c>
      <c r="F329" s="4" t="str">
        <f t="shared" si="21"/>
        <v>N/A</v>
      </c>
      <c r="G329" s="4" t="str">
        <f t="shared" si="22"/>
        <v>irn.mit.txo_co2e_.all.coa.all.usdtonco2.1</v>
      </c>
      <c r="H329" s="4" t="s">
        <v>19</v>
      </c>
      <c r="I329" s="4" t="s">
        <v>130</v>
      </c>
      <c r="J329" s="4"/>
      <c r="K329" s="4" t="s">
        <v>131</v>
      </c>
      <c r="L329" s="4"/>
      <c r="M329" s="4"/>
      <c r="N329" s="4" t="s">
        <v>29</v>
      </c>
      <c r="O329" s="4"/>
      <c r="P329" s="4"/>
      <c r="Q329" s="4" t="s">
        <v>60</v>
      </c>
      <c r="R329" s="4"/>
      <c r="S329" s="4"/>
      <c r="T329" s="4"/>
      <c r="U329" s="4"/>
      <c r="V329" s="15" t="str">
        <f t="shared" si="23"/>
        <v>1</v>
      </c>
    </row>
    <row r="330" spans="4:22" x14ac:dyDescent="0.45">
      <c r="D330" s="18" t="s">
        <v>622</v>
      </c>
      <c r="E330" s="4" t="str">
        <f>[1]Mitigation!H15159</f>
        <v>irn.mit.pig.coa.ind.2</v>
      </c>
      <c r="F330" s="4" t="str">
        <f t="shared" si="21"/>
        <v>N/A</v>
      </c>
      <c r="G330" s="4" t="str">
        <f t="shared" si="22"/>
        <v>irn.mit.pig_coa_.all.coa.all.usdGJ.2</v>
      </c>
      <c r="H330" s="4" t="s">
        <v>19</v>
      </c>
      <c r="I330" s="4" t="s">
        <v>147</v>
      </c>
      <c r="J330" s="4"/>
      <c r="K330" s="4" t="s">
        <v>143</v>
      </c>
      <c r="L330" s="4"/>
      <c r="M330" s="4"/>
      <c r="N330" s="4" t="s">
        <v>29</v>
      </c>
      <c r="O330" s="4"/>
      <c r="P330" s="4"/>
      <c r="Q330" s="4" t="s">
        <v>60</v>
      </c>
      <c r="R330" s="4"/>
      <c r="S330" s="4"/>
      <c r="T330" s="4"/>
      <c r="U330" s="4"/>
      <c r="V330" s="15" t="str">
        <f t="shared" si="23"/>
        <v>2</v>
      </c>
    </row>
    <row r="331" spans="4:22" x14ac:dyDescent="0.45">
      <c r="D331" s="18" t="s">
        <v>623</v>
      </c>
      <c r="E331" s="4" t="str">
        <f>[1]Mitigation!H15161</f>
        <v>irn.mit.pig.co2e.coa.ind.2</v>
      </c>
      <c r="F331" s="4" t="str">
        <f t="shared" si="21"/>
        <v>N/A</v>
      </c>
      <c r="G331" s="4" t="str">
        <f t="shared" si="22"/>
        <v>irn.mit.pig_co2e_.all.coa.all.usdtonco2.2</v>
      </c>
      <c r="H331" s="4" t="s">
        <v>19</v>
      </c>
      <c r="I331" s="4" t="s">
        <v>133</v>
      </c>
      <c r="J331" s="4"/>
      <c r="K331" s="4" t="s">
        <v>131</v>
      </c>
      <c r="L331" s="4"/>
      <c r="M331" s="4"/>
      <c r="N331" s="4" t="s">
        <v>29</v>
      </c>
      <c r="O331" s="4"/>
      <c r="P331" s="4"/>
      <c r="Q331" s="4" t="s">
        <v>60</v>
      </c>
      <c r="R331" s="4"/>
      <c r="S331" s="4"/>
      <c r="T331" s="4"/>
      <c r="U331" s="4"/>
      <c r="V331" s="15" t="str">
        <f t="shared" si="23"/>
        <v>2</v>
      </c>
    </row>
    <row r="332" spans="4:22" x14ac:dyDescent="0.45">
      <c r="D332" s="18" t="s">
        <v>624</v>
      </c>
      <c r="E332" s="4" t="str">
        <f>[1]Mitigation!H15162</f>
        <v>irn.mit.eff.price.coa.res.2</v>
      </c>
      <c r="F332" s="4" t="str">
        <f t="shared" si="21"/>
        <v>N/A</v>
      </c>
      <c r="G332" s="4" t="str">
        <f t="shared" si="22"/>
        <v>irn.mit.eff_price_.all.coa.all.usdGJ.2</v>
      </c>
      <c r="H332" s="4" t="s">
        <v>19</v>
      </c>
      <c r="I332" s="4" t="s">
        <v>120</v>
      </c>
      <c r="J332" s="4"/>
      <c r="K332" s="4" t="s">
        <v>143</v>
      </c>
      <c r="L332" s="4"/>
      <c r="M332" s="4"/>
      <c r="N332" s="4" t="s">
        <v>28</v>
      </c>
      <c r="O332" s="4"/>
      <c r="P332" s="4"/>
      <c r="Q332" s="4" t="s">
        <v>60</v>
      </c>
      <c r="R332" s="4"/>
      <c r="S332" s="4"/>
      <c r="T332" s="4"/>
      <c r="U332" s="4"/>
      <c r="V332" s="15" t="str">
        <f t="shared" si="23"/>
        <v>2</v>
      </c>
    </row>
    <row r="333" spans="4:22" x14ac:dyDescent="0.45">
      <c r="D333" s="18" t="s">
        <v>625</v>
      </c>
      <c r="E333" s="4" t="str">
        <f>[1]Mitigation!H15163</f>
        <v>irn.mit.sup.cost.coa.res.2</v>
      </c>
      <c r="F333" s="4" t="str">
        <f t="shared" si="21"/>
        <v>N/A</v>
      </c>
      <c r="G333" s="4" t="str">
        <f t="shared" si="22"/>
        <v>irn.mit.sup_cost_.all.coa.all.usdGJ.2</v>
      </c>
      <c r="H333" s="4" t="s">
        <v>19</v>
      </c>
      <c r="I333" s="4" t="s">
        <v>111</v>
      </c>
      <c r="J333" s="4"/>
      <c r="K333" s="4" t="s">
        <v>143</v>
      </c>
      <c r="L333" s="4"/>
      <c r="M333" s="4"/>
      <c r="N333" s="4" t="s">
        <v>28</v>
      </c>
      <c r="O333" s="4"/>
      <c r="P333" s="4"/>
      <c r="Q333" s="4" t="s">
        <v>60</v>
      </c>
      <c r="R333" s="4"/>
      <c r="S333" s="4"/>
      <c r="T333" s="4"/>
      <c r="U333" s="4"/>
      <c r="V333" s="15" t="str">
        <f t="shared" si="23"/>
        <v>2</v>
      </c>
    </row>
    <row r="334" spans="4:22" x14ac:dyDescent="0.45">
      <c r="D334" s="18" t="s">
        <v>626</v>
      </c>
      <c r="E334" s="4" t="str">
        <f>[1]Mitigation!H15164</f>
        <v>irn.mit.airpol.cost.coa.res.2</v>
      </c>
      <c r="F334" s="4" t="str">
        <f t="shared" si="21"/>
        <v>N/A</v>
      </c>
      <c r="G334" s="4" t="str">
        <f t="shared" si="22"/>
        <v>irn.mit.airpol_cost_.all.coa.all.usdGJ.2</v>
      </c>
      <c r="H334" s="4" t="s">
        <v>19</v>
      </c>
      <c r="I334" s="4" t="s">
        <v>122</v>
      </c>
      <c r="J334" s="4"/>
      <c r="K334" s="4" t="s">
        <v>143</v>
      </c>
      <c r="L334" s="4"/>
      <c r="M334" s="4"/>
      <c r="N334" s="4" t="s">
        <v>28</v>
      </c>
      <c r="O334" s="4"/>
      <c r="P334" s="4"/>
      <c r="Q334" s="4" t="s">
        <v>60</v>
      </c>
      <c r="R334" s="4"/>
      <c r="S334" s="4"/>
      <c r="T334" s="4"/>
      <c r="U334" s="4"/>
      <c r="V334" s="15" t="str">
        <f t="shared" si="23"/>
        <v>2</v>
      </c>
    </row>
    <row r="335" spans="4:22" x14ac:dyDescent="0.45">
      <c r="D335" s="18" t="s">
        <v>627</v>
      </c>
      <c r="E335" s="4" t="str">
        <f>[1]Mitigation!H15165</f>
        <v>irn.mit.scc.cost.coa.res.2</v>
      </c>
      <c r="F335" s="4" t="str">
        <f t="shared" si="21"/>
        <v>N/A</v>
      </c>
      <c r="G335" s="4" t="str">
        <f t="shared" si="22"/>
        <v>irn.mit.scc_cost_.all.coa.all.usdGJ.2</v>
      </c>
      <c r="H335" s="4" t="s">
        <v>19</v>
      </c>
      <c r="I335" s="4" t="s">
        <v>126</v>
      </c>
      <c r="J335" s="4"/>
      <c r="K335" s="4" t="s">
        <v>143</v>
      </c>
      <c r="L335" s="4"/>
      <c r="M335" s="4"/>
      <c r="N335" s="4" t="s">
        <v>28</v>
      </c>
      <c r="O335" s="4"/>
      <c r="P335" s="4"/>
      <c r="Q335" s="4" t="s">
        <v>60</v>
      </c>
      <c r="R335" s="4"/>
      <c r="S335" s="4"/>
      <c r="T335" s="4"/>
      <c r="U335" s="4"/>
      <c r="V335" s="15" t="str">
        <f t="shared" si="23"/>
        <v>2</v>
      </c>
    </row>
    <row r="336" spans="4:22" x14ac:dyDescent="0.45">
      <c r="D336" s="18" t="s">
        <v>628</v>
      </c>
      <c r="E336" s="4" t="str">
        <f>[1]Mitigation!H15166</f>
        <v>irn.mit.vat.cost.coa.res.2</v>
      </c>
      <c r="F336" s="4" t="str">
        <f t="shared" ref="F336:F399" si="24">IF(MTAct,E336&amp;"_"&amp;MSTScenarioID,"N/A")</f>
        <v>N/A</v>
      </c>
      <c r="G336" s="4" t="str">
        <f t="shared" ref="G336:G399" si="25">IF(D336="","",LOWER(_Country_code)&amp;"."&amp;H336&amp;"."&amp;IF(I336="","all",I336)&amp;"_"&amp;J336&amp;"."&amp;IF(R336="","all",R336)&amp;"."&amp;IF(Q336="","all",Q336)&amp;"."&amp;IF(U336="","all",U336)&amp;"."&amp;IF(K336="","all",K336)&amp;"."&amp;IF(V336="","all",V336))</f>
        <v>irn.mit.vat_cost_.all.coa.all.usdGJ.2</v>
      </c>
      <c r="H336" s="4" t="s">
        <v>19</v>
      </c>
      <c r="I336" s="4" t="s">
        <v>127</v>
      </c>
      <c r="J336" s="4"/>
      <c r="K336" s="4" t="s">
        <v>143</v>
      </c>
      <c r="L336" s="4"/>
      <c r="M336" s="4"/>
      <c r="N336" s="4" t="s">
        <v>28</v>
      </c>
      <c r="O336" s="4"/>
      <c r="P336" s="4"/>
      <c r="Q336" s="4" t="s">
        <v>60</v>
      </c>
      <c r="R336" s="4"/>
      <c r="S336" s="4"/>
      <c r="T336" s="4"/>
      <c r="U336" s="4"/>
      <c r="V336" s="15" t="str">
        <f t="shared" ref="V336:V399" si="26">RIGHT(E336,1)</f>
        <v>2</v>
      </c>
    </row>
    <row r="337" spans="4:22" x14ac:dyDescent="0.45">
      <c r="D337" s="18" t="s">
        <v>629</v>
      </c>
      <c r="E337" s="4" t="str">
        <f>[1]Mitigation!H15167</f>
        <v>irn.mit.rp.coa.res.2</v>
      </c>
      <c r="F337" s="4" t="str">
        <f t="shared" si="24"/>
        <v>N/A</v>
      </c>
      <c r="G337" s="4" t="str">
        <f t="shared" si="25"/>
        <v>irn.mit.rp_coa_.all.coa.all.usdGJ.2</v>
      </c>
      <c r="H337" s="4" t="s">
        <v>19</v>
      </c>
      <c r="I337" s="4" t="s">
        <v>144</v>
      </c>
      <c r="J337" s="4"/>
      <c r="K337" s="4" t="s">
        <v>143</v>
      </c>
      <c r="L337" s="4"/>
      <c r="M337" s="4"/>
      <c r="N337" s="4" t="s">
        <v>28</v>
      </c>
      <c r="O337" s="4"/>
      <c r="P337" s="4"/>
      <c r="Q337" s="4" t="s">
        <v>60</v>
      </c>
      <c r="R337" s="4"/>
      <c r="S337" s="4"/>
      <c r="T337" s="4"/>
      <c r="U337" s="4"/>
      <c r="V337" s="15" t="str">
        <f t="shared" si="26"/>
        <v>2</v>
      </c>
    </row>
    <row r="338" spans="4:22" x14ac:dyDescent="0.45">
      <c r="D338" s="18" t="s">
        <v>630</v>
      </c>
      <c r="E338" s="4" t="str">
        <f>[1]Mitigation!H15168</f>
        <v>irn.mit.tgap.coa.res.2</v>
      </c>
      <c r="F338" s="4" t="str">
        <f t="shared" si="24"/>
        <v>N/A</v>
      </c>
      <c r="G338" s="4" t="str">
        <f t="shared" si="25"/>
        <v>irn.mit.tgap_coa_.all.coa.all.usdGJ.2</v>
      </c>
      <c r="H338" s="4" t="s">
        <v>19</v>
      </c>
      <c r="I338" s="4" t="s">
        <v>145</v>
      </c>
      <c r="J338" s="4"/>
      <c r="K338" s="4" t="s">
        <v>143</v>
      </c>
      <c r="L338" s="4"/>
      <c r="M338" s="4"/>
      <c r="N338" s="4" t="s">
        <v>28</v>
      </c>
      <c r="O338" s="4"/>
      <c r="P338" s="4"/>
      <c r="Q338" s="4" t="s">
        <v>60</v>
      </c>
      <c r="R338" s="4"/>
      <c r="S338" s="4"/>
      <c r="T338" s="4"/>
      <c r="U338" s="4"/>
      <c r="V338" s="15" t="str">
        <f t="shared" si="26"/>
        <v>2</v>
      </c>
    </row>
    <row r="339" spans="4:22" x14ac:dyDescent="0.45">
      <c r="D339" s="18" t="s">
        <v>631</v>
      </c>
      <c r="E339" s="4" t="str">
        <f>[1]Mitigation!H15169</f>
        <v>irn.mit.txo.res.coa.a.1</v>
      </c>
      <c r="F339" s="4" t="str">
        <f t="shared" si="24"/>
        <v>N/A</v>
      </c>
      <c r="G339" s="4" t="str">
        <f t="shared" si="25"/>
        <v>irn.mit.txo_res_.all.coa.all.usdGJ.1</v>
      </c>
      <c r="H339" s="4" t="s">
        <v>19</v>
      </c>
      <c r="I339" s="4" t="s">
        <v>148</v>
      </c>
      <c r="J339" s="4"/>
      <c r="K339" s="4" t="s">
        <v>143</v>
      </c>
      <c r="L339" s="4"/>
      <c r="M339" s="4"/>
      <c r="N339" s="4" t="s">
        <v>28</v>
      </c>
      <c r="O339" s="4"/>
      <c r="P339" s="4"/>
      <c r="Q339" s="4" t="s">
        <v>60</v>
      </c>
      <c r="R339" s="4"/>
      <c r="S339" s="4"/>
      <c r="T339" s="4"/>
      <c r="U339" s="4"/>
      <c r="V339" s="15" t="str">
        <f t="shared" si="26"/>
        <v>1</v>
      </c>
    </row>
    <row r="340" spans="4:22" x14ac:dyDescent="0.45">
      <c r="D340" s="18" t="s">
        <v>632</v>
      </c>
      <c r="E340" s="4" t="str">
        <f>[1]Mitigation!H15170</f>
        <v>irn.mit.txo.co2e.coa.res.1</v>
      </c>
      <c r="F340" s="4" t="str">
        <f t="shared" si="24"/>
        <v>N/A</v>
      </c>
      <c r="G340" s="4" t="str">
        <f t="shared" si="25"/>
        <v>irn.mit.txo_co2e_.all.coa.all.usdtonco2.1</v>
      </c>
      <c r="H340" s="4" t="s">
        <v>19</v>
      </c>
      <c r="I340" s="4" t="s">
        <v>130</v>
      </c>
      <c r="J340" s="4"/>
      <c r="K340" s="4" t="s">
        <v>131</v>
      </c>
      <c r="L340" s="4"/>
      <c r="M340" s="4"/>
      <c r="N340" s="4" t="s">
        <v>28</v>
      </c>
      <c r="O340" s="4"/>
      <c r="P340" s="4"/>
      <c r="Q340" s="4" t="s">
        <v>60</v>
      </c>
      <c r="R340" s="4"/>
      <c r="S340" s="4"/>
      <c r="T340" s="4"/>
      <c r="U340" s="4"/>
      <c r="V340" s="15" t="str">
        <f t="shared" si="26"/>
        <v>1</v>
      </c>
    </row>
    <row r="341" spans="4:22" x14ac:dyDescent="0.45">
      <c r="D341" s="18" t="s">
        <v>633</v>
      </c>
      <c r="E341" s="4" t="str">
        <f>[1]Mitigation!H15171</f>
        <v>irn.mit.pig.coa.res.2</v>
      </c>
      <c r="F341" s="4" t="str">
        <f t="shared" si="24"/>
        <v>N/A</v>
      </c>
      <c r="G341" s="4" t="str">
        <f t="shared" si="25"/>
        <v>irn.mit.pig_coa_.all.coa.all.usdGJ.2</v>
      </c>
      <c r="H341" s="4" t="s">
        <v>19</v>
      </c>
      <c r="I341" s="4" t="s">
        <v>147</v>
      </c>
      <c r="J341" s="4"/>
      <c r="K341" s="4" t="s">
        <v>143</v>
      </c>
      <c r="L341" s="4"/>
      <c r="M341" s="4"/>
      <c r="N341" s="4" t="s">
        <v>28</v>
      </c>
      <c r="O341" s="4"/>
      <c r="P341" s="4"/>
      <c r="Q341" s="4" t="s">
        <v>60</v>
      </c>
      <c r="R341" s="4"/>
      <c r="S341" s="4"/>
      <c r="T341" s="4"/>
      <c r="U341" s="4"/>
      <c r="V341" s="15" t="str">
        <f t="shared" si="26"/>
        <v>2</v>
      </c>
    </row>
    <row r="342" spans="4:22" x14ac:dyDescent="0.45">
      <c r="D342" s="18" t="s">
        <v>634</v>
      </c>
      <c r="E342" s="4" t="str">
        <f>[1]Mitigation!H15173</f>
        <v>irn.mit.pig.co2e.coa.res.2</v>
      </c>
      <c r="F342" s="4" t="str">
        <f t="shared" si="24"/>
        <v>N/A</v>
      </c>
      <c r="G342" s="4" t="str">
        <f t="shared" si="25"/>
        <v>irn.mit.pig_co2e_.all.coa.all.usdtonco2.2</v>
      </c>
      <c r="H342" s="4" t="s">
        <v>19</v>
      </c>
      <c r="I342" s="4" t="s">
        <v>133</v>
      </c>
      <c r="J342" s="4"/>
      <c r="K342" s="4" t="s">
        <v>131</v>
      </c>
      <c r="L342" s="4"/>
      <c r="M342" s="4"/>
      <c r="N342" s="4" t="s">
        <v>28</v>
      </c>
      <c r="O342" s="4"/>
      <c r="P342" s="4"/>
      <c r="Q342" s="4" t="s">
        <v>60</v>
      </c>
      <c r="R342" s="4"/>
      <c r="S342" s="4"/>
      <c r="T342" s="4"/>
      <c r="U342" s="4"/>
      <c r="V342" s="15" t="str">
        <f t="shared" si="26"/>
        <v>2</v>
      </c>
    </row>
    <row r="343" spans="4:22" x14ac:dyDescent="0.45">
      <c r="D343" s="18" t="s">
        <v>635</v>
      </c>
      <c r="E343" s="4" t="str">
        <f>[1]Mitigation!H15174</f>
        <v>irn.mit.eff.price.coa.pow.2</v>
      </c>
      <c r="F343" s="4" t="str">
        <f t="shared" si="24"/>
        <v>N/A</v>
      </c>
      <c r="G343" s="4" t="str">
        <f t="shared" si="25"/>
        <v>irn.mit.eff_price_.all.coa.all.usdGJ.2</v>
      </c>
      <c r="H343" s="4" t="s">
        <v>19</v>
      </c>
      <c r="I343" s="4" t="s">
        <v>120</v>
      </c>
      <c r="J343" s="4"/>
      <c r="K343" s="4" t="s">
        <v>143</v>
      </c>
      <c r="L343" s="4"/>
      <c r="M343" s="4"/>
      <c r="N343" s="4" t="s">
        <v>26</v>
      </c>
      <c r="O343" s="4"/>
      <c r="P343" s="4"/>
      <c r="Q343" s="4" t="s">
        <v>60</v>
      </c>
      <c r="R343" s="4"/>
      <c r="S343" s="4"/>
      <c r="T343" s="4"/>
      <c r="U343" s="4"/>
      <c r="V343" s="15" t="str">
        <f t="shared" si="26"/>
        <v>2</v>
      </c>
    </row>
    <row r="344" spans="4:22" x14ac:dyDescent="0.45">
      <c r="D344" s="18" t="s">
        <v>636</v>
      </c>
      <c r="E344" s="4" t="str">
        <f>[1]Mitigation!H15175</f>
        <v>irn.mit.sup.cost.coa.pow.2</v>
      </c>
      <c r="F344" s="4" t="str">
        <f t="shared" si="24"/>
        <v>N/A</v>
      </c>
      <c r="G344" s="4" t="str">
        <f t="shared" si="25"/>
        <v>irn.mit.sup_cost_.all.coa.all.usdGJ.2</v>
      </c>
      <c r="H344" s="4" t="s">
        <v>19</v>
      </c>
      <c r="I344" s="4" t="s">
        <v>111</v>
      </c>
      <c r="J344" s="4"/>
      <c r="K344" s="4" t="s">
        <v>143</v>
      </c>
      <c r="L344" s="4"/>
      <c r="M344" s="4"/>
      <c r="N344" s="4" t="s">
        <v>26</v>
      </c>
      <c r="O344" s="4"/>
      <c r="P344" s="4"/>
      <c r="Q344" s="4" t="s">
        <v>60</v>
      </c>
      <c r="R344" s="4"/>
      <c r="S344" s="4"/>
      <c r="T344" s="4"/>
      <c r="U344" s="4"/>
      <c r="V344" s="15" t="str">
        <f t="shared" si="26"/>
        <v>2</v>
      </c>
    </row>
    <row r="345" spans="4:22" x14ac:dyDescent="0.45">
      <c r="D345" s="18" t="s">
        <v>637</v>
      </c>
      <c r="E345" s="4" t="str">
        <f>[1]Mitigation!H15176</f>
        <v>irn.mit.airpol.cost.coa.pow.2</v>
      </c>
      <c r="F345" s="4" t="str">
        <f t="shared" si="24"/>
        <v>N/A</v>
      </c>
      <c r="G345" s="4" t="str">
        <f t="shared" si="25"/>
        <v>irn.mit.airpol_cost_.all.coa.all.usdGJ.2</v>
      </c>
      <c r="H345" s="4" t="s">
        <v>19</v>
      </c>
      <c r="I345" s="4" t="s">
        <v>122</v>
      </c>
      <c r="J345" s="4"/>
      <c r="K345" s="4" t="s">
        <v>143</v>
      </c>
      <c r="L345" s="4"/>
      <c r="M345" s="4"/>
      <c r="N345" s="4" t="s">
        <v>26</v>
      </c>
      <c r="O345" s="4"/>
      <c r="P345" s="4"/>
      <c r="Q345" s="4" t="s">
        <v>60</v>
      </c>
      <c r="R345" s="4"/>
      <c r="S345" s="4"/>
      <c r="T345" s="4"/>
      <c r="U345" s="4"/>
      <c r="V345" s="15" t="str">
        <f t="shared" si="26"/>
        <v>2</v>
      </c>
    </row>
    <row r="346" spans="4:22" x14ac:dyDescent="0.45">
      <c r="D346" s="18" t="s">
        <v>638</v>
      </c>
      <c r="E346" s="4" t="str">
        <f>[1]Mitigation!H15177</f>
        <v>irn.mit.scc.cost.coa.pow.2</v>
      </c>
      <c r="F346" s="4" t="str">
        <f t="shared" si="24"/>
        <v>N/A</v>
      </c>
      <c r="G346" s="4" t="str">
        <f t="shared" si="25"/>
        <v>irn.mit.scc_cost_.all.coa.all.usdGJ.2</v>
      </c>
      <c r="H346" s="4" t="s">
        <v>19</v>
      </c>
      <c r="I346" s="4" t="s">
        <v>126</v>
      </c>
      <c r="J346" s="4"/>
      <c r="K346" s="4" t="s">
        <v>143</v>
      </c>
      <c r="L346" s="4"/>
      <c r="M346" s="4"/>
      <c r="N346" s="4" t="s">
        <v>26</v>
      </c>
      <c r="O346" s="4"/>
      <c r="P346" s="4"/>
      <c r="Q346" s="4" t="s">
        <v>60</v>
      </c>
      <c r="R346" s="4"/>
      <c r="S346" s="4"/>
      <c r="T346" s="4"/>
      <c r="U346" s="4"/>
      <c r="V346" s="15" t="str">
        <f t="shared" si="26"/>
        <v>2</v>
      </c>
    </row>
    <row r="347" spans="4:22" x14ac:dyDescent="0.45">
      <c r="D347" s="18" t="s">
        <v>639</v>
      </c>
      <c r="E347" s="4" t="str">
        <f>[1]Mitigation!H15178</f>
        <v>irn.mit.vat.cost.coa.pow.2</v>
      </c>
      <c r="F347" s="4" t="str">
        <f t="shared" si="24"/>
        <v>N/A</v>
      </c>
      <c r="G347" s="4" t="str">
        <f t="shared" si="25"/>
        <v>irn.mit.vat_cost_.all.coa.all.usdGJ.2</v>
      </c>
      <c r="H347" s="4" t="s">
        <v>19</v>
      </c>
      <c r="I347" s="4" t="s">
        <v>127</v>
      </c>
      <c r="J347" s="4"/>
      <c r="K347" s="4" t="s">
        <v>143</v>
      </c>
      <c r="L347" s="4"/>
      <c r="M347" s="4"/>
      <c r="N347" s="4" t="s">
        <v>26</v>
      </c>
      <c r="O347" s="4"/>
      <c r="P347" s="4"/>
      <c r="Q347" s="4" t="s">
        <v>60</v>
      </c>
      <c r="R347" s="4"/>
      <c r="S347" s="4"/>
      <c r="T347" s="4"/>
      <c r="U347" s="4"/>
      <c r="V347" s="15" t="str">
        <f t="shared" si="26"/>
        <v>2</v>
      </c>
    </row>
    <row r="348" spans="4:22" x14ac:dyDescent="0.45">
      <c r="D348" s="18" t="s">
        <v>640</v>
      </c>
      <c r="E348" s="4" t="str">
        <f>[1]Mitigation!H15179</f>
        <v>irn.mit.rp.coa.pow.2</v>
      </c>
      <c r="F348" s="4" t="str">
        <f t="shared" si="24"/>
        <v>N/A</v>
      </c>
      <c r="G348" s="4" t="str">
        <f t="shared" si="25"/>
        <v>irn.mit.rp_coa_.all.coa.all.usdGJ.2</v>
      </c>
      <c r="H348" s="4" t="s">
        <v>19</v>
      </c>
      <c r="I348" s="4" t="s">
        <v>144</v>
      </c>
      <c r="J348" s="4"/>
      <c r="K348" s="4" t="s">
        <v>143</v>
      </c>
      <c r="L348" s="4"/>
      <c r="M348" s="4"/>
      <c r="N348" s="4" t="s">
        <v>26</v>
      </c>
      <c r="O348" s="4"/>
      <c r="P348" s="4"/>
      <c r="Q348" s="4" t="s">
        <v>60</v>
      </c>
      <c r="R348" s="4"/>
      <c r="S348" s="4"/>
      <c r="T348" s="4"/>
      <c r="U348" s="4"/>
      <c r="V348" s="15" t="str">
        <f t="shared" si="26"/>
        <v>2</v>
      </c>
    </row>
    <row r="349" spans="4:22" x14ac:dyDescent="0.45">
      <c r="D349" s="18" t="s">
        <v>641</v>
      </c>
      <c r="E349" s="4" t="str">
        <f>[1]Mitigation!H15180</f>
        <v>irn.mit.tgap.coa.pow.2</v>
      </c>
      <c r="F349" s="4" t="str">
        <f t="shared" si="24"/>
        <v>N/A</v>
      </c>
      <c r="G349" s="4" t="str">
        <f t="shared" si="25"/>
        <v>irn.mit.tgap_coa_.all.coa.all.usdGJ.2</v>
      </c>
      <c r="H349" s="4" t="s">
        <v>19</v>
      </c>
      <c r="I349" s="4" t="s">
        <v>145</v>
      </c>
      <c r="J349" s="4"/>
      <c r="K349" s="4" t="s">
        <v>143</v>
      </c>
      <c r="L349" s="4"/>
      <c r="M349" s="4"/>
      <c r="N349" s="4" t="s">
        <v>26</v>
      </c>
      <c r="O349" s="4"/>
      <c r="P349" s="4"/>
      <c r="Q349" s="4" t="s">
        <v>60</v>
      </c>
      <c r="R349" s="4"/>
      <c r="S349" s="4"/>
      <c r="T349" s="4"/>
      <c r="U349" s="4"/>
      <c r="V349" s="15" t="str">
        <f t="shared" si="26"/>
        <v>2</v>
      </c>
    </row>
    <row r="350" spans="4:22" x14ac:dyDescent="0.45">
      <c r="D350" s="18" t="s">
        <v>642</v>
      </c>
      <c r="E350" s="4" t="str">
        <f>[1]Mitigation!H15181</f>
        <v>irn.mit.txo.pow.coa.a.1</v>
      </c>
      <c r="F350" s="4" t="str">
        <f t="shared" si="24"/>
        <v>N/A</v>
      </c>
      <c r="G350" s="4" t="str">
        <f t="shared" si="25"/>
        <v>irn.mit.txo_pow_.all.coa.all.usdGJ.1</v>
      </c>
      <c r="H350" s="4" t="s">
        <v>19</v>
      </c>
      <c r="I350" s="4" t="s">
        <v>149</v>
      </c>
      <c r="J350" s="4"/>
      <c r="K350" s="4" t="s">
        <v>143</v>
      </c>
      <c r="L350" s="4"/>
      <c r="M350" s="4"/>
      <c r="N350" s="4" t="s">
        <v>26</v>
      </c>
      <c r="O350" s="4"/>
      <c r="P350" s="4"/>
      <c r="Q350" s="4" t="s">
        <v>60</v>
      </c>
      <c r="R350" s="4"/>
      <c r="S350" s="4"/>
      <c r="T350" s="4"/>
      <c r="U350" s="4"/>
      <c r="V350" s="15" t="str">
        <f t="shared" si="26"/>
        <v>1</v>
      </c>
    </row>
    <row r="351" spans="4:22" x14ac:dyDescent="0.45">
      <c r="D351" s="18" t="s">
        <v>643</v>
      </c>
      <c r="E351" s="4" t="str">
        <f>[1]Mitigation!H15182</f>
        <v>irn.mit.txo.co2e.coa.pow.1</v>
      </c>
      <c r="F351" s="4" t="str">
        <f t="shared" si="24"/>
        <v>N/A</v>
      </c>
      <c r="G351" s="4" t="str">
        <f t="shared" si="25"/>
        <v>irn.mit.txo_co2e_.all.coa.all.usdtonco2.1</v>
      </c>
      <c r="H351" s="4" t="s">
        <v>19</v>
      </c>
      <c r="I351" s="4" t="s">
        <v>130</v>
      </c>
      <c r="J351" s="4"/>
      <c r="K351" s="4" t="s">
        <v>131</v>
      </c>
      <c r="L351" s="4"/>
      <c r="M351" s="4"/>
      <c r="N351" s="4" t="s">
        <v>26</v>
      </c>
      <c r="O351" s="4"/>
      <c r="P351" s="4"/>
      <c r="Q351" s="4" t="s">
        <v>60</v>
      </c>
      <c r="R351" s="4"/>
      <c r="S351" s="4"/>
      <c r="T351" s="4"/>
      <c r="U351" s="4"/>
      <c r="V351" s="15" t="str">
        <f t="shared" si="26"/>
        <v>1</v>
      </c>
    </row>
    <row r="352" spans="4:22" x14ac:dyDescent="0.45">
      <c r="D352" s="18" t="s">
        <v>644</v>
      </c>
      <c r="E352" s="4" t="str">
        <f>[1]Mitigation!H15183</f>
        <v>irn.mit.pig.coa.pow.2</v>
      </c>
      <c r="F352" s="4" t="str">
        <f t="shared" si="24"/>
        <v>N/A</v>
      </c>
      <c r="G352" s="4" t="str">
        <f t="shared" si="25"/>
        <v>irn.mit.pig_coa_.all.coa.all.usdGJ.2</v>
      </c>
      <c r="H352" s="4" t="s">
        <v>19</v>
      </c>
      <c r="I352" s="4" t="s">
        <v>147</v>
      </c>
      <c r="J352" s="4"/>
      <c r="K352" s="4" t="s">
        <v>143</v>
      </c>
      <c r="L352" s="4"/>
      <c r="M352" s="4"/>
      <c r="N352" s="4" t="s">
        <v>26</v>
      </c>
      <c r="O352" s="4"/>
      <c r="P352" s="4"/>
      <c r="Q352" s="4" t="s">
        <v>60</v>
      </c>
      <c r="R352" s="4"/>
      <c r="S352" s="4"/>
      <c r="T352" s="4"/>
      <c r="U352" s="4"/>
      <c r="V352" s="15" t="str">
        <f t="shared" si="26"/>
        <v>2</v>
      </c>
    </row>
    <row r="353" spans="4:22" x14ac:dyDescent="0.45">
      <c r="D353" s="18" t="s">
        <v>645</v>
      </c>
      <c r="E353" s="4" t="str">
        <f>[1]Mitigation!H15185</f>
        <v>irn.mit.pig.co2e.coa.pow.2</v>
      </c>
      <c r="F353" s="4" t="str">
        <f t="shared" si="24"/>
        <v>N/A</v>
      </c>
      <c r="G353" s="4" t="str">
        <f t="shared" si="25"/>
        <v>irn.mit.pig_co2e_.all.coa.all.usdtonco2.2</v>
      </c>
      <c r="H353" s="4" t="s">
        <v>19</v>
      </c>
      <c r="I353" s="4" t="s">
        <v>133</v>
      </c>
      <c r="J353" s="4"/>
      <c r="K353" s="4" t="s">
        <v>131</v>
      </c>
      <c r="L353" s="4"/>
      <c r="M353" s="4"/>
      <c r="N353" s="4" t="s">
        <v>26</v>
      </c>
      <c r="O353" s="4"/>
      <c r="P353" s="4"/>
      <c r="Q353" s="4" t="s">
        <v>60</v>
      </c>
      <c r="R353" s="4"/>
      <c r="S353" s="4"/>
      <c r="T353" s="4"/>
      <c r="U353" s="4"/>
      <c r="V353" s="15" t="str">
        <f t="shared" si="26"/>
        <v>2</v>
      </c>
    </row>
    <row r="354" spans="4:22" x14ac:dyDescent="0.45">
      <c r="D354" s="18" t="s">
        <v>646</v>
      </c>
      <c r="E354" s="4" t="str">
        <f>[1]Mitigation!H15186</f>
        <v>irn.mit.eff.price.nga.ind.2</v>
      </c>
      <c r="F354" s="4" t="str">
        <f t="shared" si="24"/>
        <v>N/A</v>
      </c>
      <c r="G354" s="4" t="str">
        <f t="shared" si="25"/>
        <v>irn.mit.eff_price_.all.nga.all.usdGJ.2</v>
      </c>
      <c r="H354" s="4" t="s">
        <v>19</v>
      </c>
      <c r="I354" s="4" t="s">
        <v>120</v>
      </c>
      <c r="J354" s="4"/>
      <c r="K354" s="4" t="s">
        <v>143</v>
      </c>
      <c r="L354" s="4"/>
      <c r="M354" s="4"/>
      <c r="N354" s="4" t="s">
        <v>29</v>
      </c>
      <c r="O354" s="4"/>
      <c r="P354" s="4"/>
      <c r="Q354" s="4" t="s">
        <v>61</v>
      </c>
      <c r="R354" s="4"/>
      <c r="S354" s="4"/>
      <c r="T354" s="4"/>
      <c r="U354" s="4"/>
      <c r="V354" s="15" t="str">
        <f t="shared" si="26"/>
        <v>2</v>
      </c>
    </row>
    <row r="355" spans="4:22" x14ac:dyDescent="0.45">
      <c r="D355" s="18" t="s">
        <v>647</v>
      </c>
      <c r="E355" s="4" t="str">
        <f>[1]Mitigation!H15187</f>
        <v>irn.mit.sup.cost.nga.ind.2</v>
      </c>
      <c r="F355" s="4" t="str">
        <f t="shared" si="24"/>
        <v>N/A</v>
      </c>
      <c r="G355" s="4" t="str">
        <f t="shared" si="25"/>
        <v>irn.mit.sup_cost_.all.nga.all.usdGJ.2</v>
      </c>
      <c r="H355" s="4" t="s">
        <v>19</v>
      </c>
      <c r="I355" s="4" t="s">
        <v>111</v>
      </c>
      <c r="J355" s="4"/>
      <c r="K355" s="4" t="s">
        <v>143</v>
      </c>
      <c r="L355" s="4"/>
      <c r="M355" s="4"/>
      <c r="N355" s="4" t="s">
        <v>29</v>
      </c>
      <c r="O355" s="4"/>
      <c r="P355" s="4"/>
      <c r="Q355" s="4" t="s">
        <v>61</v>
      </c>
      <c r="R355" s="4"/>
      <c r="S355" s="4"/>
      <c r="T355" s="4"/>
      <c r="U355" s="4"/>
      <c r="V355" s="15" t="str">
        <f t="shared" si="26"/>
        <v>2</v>
      </c>
    </row>
    <row r="356" spans="4:22" x14ac:dyDescent="0.45">
      <c r="D356" s="18" t="s">
        <v>648</v>
      </c>
      <c r="E356" s="4" t="str">
        <f>[1]Mitigation!H15188</f>
        <v>irn.mit.airpol.cost.nga.ind.2</v>
      </c>
      <c r="F356" s="4" t="str">
        <f t="shared" si="24"/>
        <v>N/A</v>
      </c>
      <c r="G356" s="4" t="str">
        <f t="shared" si="25"/>
        <v>irn.mit.airpol_cost_.all.nga.all.usdGJ.2</v>
      </c>
      <c r="H356" s="4" t="s">
        <v>19</v>
      </c>
      <c r="I356" s="4" t="s">
        <v>122</v>
      </c>
      <c r="J356" s="4"/>
      <c r="K356" s="4" t="s">
        <v>143</v>
      </c>
      <c r="L356" s="4"/>
      <c r="M356" s="4"/>
      <c r="N356" s="4" t="s">
        <v>29</v>
      </c>
      <c r="O356" s="4"/>
      <c r="P356" s="4"/>
      <c r="Q356" s="4" t="s">
        <v>61</v>
      </c>
      <c r="R356" s="4"/>
      <c r="S356" s="4"/>
      <c r="T356" s="4"/>
      <c r="U356" s="4"/>
      <c r="V356" s="15" t="str">
        <f t="shared" si="26"/>
        <v>2</v>
      </c>
    </row>
    <row r="357" spans="4:22" x14ac:dyDescent="0.45">
      <c r="D357" s="18" t="s">
        <v>649</v>
      </c>
      <c r="E357" s="4" t="str">
        <f>[1]Mitigation!H15189</f>
        <v>irn.mit.scc.cost.nga.ind.2</v>
      </c>
      <c r="F357" s="4" t="str">
        <f t="shared" si="24"/>
        <v>N/A</v>
      </c>
      <c r="G357" s="4" t="str">
        <f t="shared" si="25"/>
        <v>irn.mit.scc_cost_.all.nga.all.usdGJ.2</v>
      </c>
      <c r="H357" s="4" t="s">
        <v>19</v>
      </c>
      <c r="I357" s="4" t="s">
        <v>126</v>
      </c>
      <c r="J357" s="4"/>
      <c r="K357" s="4" t="s">
        <v>143</v>
      </c>
      <c r="L357" s="4"/>
      <c r="M357" s="4"/>
      <c r="N357" s="4" t="s">
        <v>29</v>
      </c>
      <c r="O357" s="4"/>
      <c r="P357" s="4"/>
      <c r="Q357" s="4" t="s">
        <v>61</v>
      </c>
      <c r="R357" s="4"/>
      <c r="S357" s="4"/>
      <c r="T357" s="4"/>
      <c r="U357" s="4"/>
      <c r="V357" s="15" t="str">
        <f t="shared" si="26"/>
        <v>2</v>
      </c>
    </row>
    <row r="358" spans="4:22" x14ac:dyDescent="0.45">
      <c r="D358" s="18" t="s">
        <v>650</v>
      </c>
      <c r="E358" s="4" t="str">
        <f>[1]Mitigation!H15190</f>
        <v>irn.mit.vat.cost.nga.ind.2</v>
      </c>
      <c r="F358" s="4" t="str">
        <f t="shared" si="24"/>
        <v>N/A</v>
      </c>
      <c r="G358" s="4" t="str">
        <f t="shared" si="25"/>
        <v>irn.mit.vat_cost_.all.nga.all.usdGJ.2</v>
      </c>
      <c r="H358" s="4" t="s">
        <v>19</v>
      </c>
      <c r="I358" s="4" t="s">
        <v>127</v>
      </c>
      <c r="J358" s="4"/>
      <c r="K358" s="4" t="s">
        <v>143</v>
      </c>
      <c r="L358" s="4"/>
      <c r="M358" s="4"/>
      <c r="N358" s="4" t="s">
        <v>29</v>
      </c>
      <c r="O358" s="4"/>
      <c r="P358" s="4"/>
      <c r="Q358" s="4" t="s">
        <v>61</v>
      </c>
      <c r="R358" s="4"/>
      <c r="S358" s="4"/>
      <c r="T358" s="4"/>
      <c r="U358" s="4"/>
      <c r="V358" s="15" t="str">
        <f t="shared" si="26"/>
        <v>2</v>
      </c>
    </row>
    <row r="359" spans="4:22" x14ac:dyDescent="0.45">
      <c r="D359" s="18" t="s">
        <v>651</v>
      </c>
      <c r="E359" s="4" t="str">
        <f>[1]Mitigation!H15191</f>
        <v>irn.mit.rp.nga.ind.2</v>
      </c>
      <c r="F359" s="4" t="str">
        <f t="shared" si="24"/>
        <v>N/A</v>
      </c>
      <c r="G359" s="4" t="str">
        <f t="shared" si="25"/>
        <v>irn.mit.rp_nga_.all.nga.all.usdGJ.2</v>
      </c>
      <c r="H359" s="4" t="s">
        <v>19</v>
      </c>
      <c r="I359" s="4" t="s">
        <v>150</v>
      </c>
      <c r="J359" s="4"/>
      <c r="K359" s="4" t="s">
        <v>143</v>
      </c>
      <c r="L359" s="4"/>
      <c r="M359" s="4"/>
      <c r="N359" s="4" t="s">
        <v>29</v>
      </c>
      <c r="O359" s="4"/>
      <c r="P359" s="4"/>
      <c r="Q359" s="4" t="s">
        <v>61</v>
      </c>
      <c r="R359" s="4"/>
      <c r="S359" s="4"/>
      <c r="T359" s="4"/>
      <c r="U359" s="4"/>
      <c r="V359" s="15" t="str">
        <f t="shared" si="26"/>
        <v>2</v>
      </c>
    </row>
    <row r="360" spans="4:22" x14ac:dyDescent="0.45">
      <c r="D360" s="18" t="s">
        <v>652</v>
      </c>
      <c r="E360" s="4" t="str">
        <f>[1]Mitigation!H15192</f>
        <v>irn.mit.tgap.nga.ind.2</v>
      </c>
      <c r="F360" s="4" t="str">
        <f t="shared" si="24"/>
        <v>N/A</v>
      </c>
      <c r="G360" s="4" t="str">
        <f t="shared" si="25"/>
        <v>irn.mit.tgap_nga_.all.nga.all.usdGJ.2</v>
      </c>
      <c r="H360" s="4" t="s">
        <v>19</v>
      </c>
      <c r="I360" s="4" t="s">
        <v>151</v>
      </c>
      <c r="J360" s="4"/>
      <c r="K360" s="4" t="s">
        <v>143</v>
      </c>
      <c r="L360" s="4"/>
      <c r="M360" s="4"/>
      <c r="N360" s="4" t="s">
        <v>29</v>
      </c>
      <c r="O360" s="4"/>
      <c r="P360" s="4"/>
      <c r="Q360" s="4" t="s">
        <v>61</v>
      </c>
      <c r="R360" s="4"/>
      <c r="S360" s="4"/>
      <c r="T360" s="4"/>
      <c r="U360" s="4"/>
      <c r="V360" s="15" t="str">
        <f t="shared" si="26"/>
        <v>2</v>
      </c>
    </row>
    <row r="361" spans="4:22" x14ac:dyDescent="0.45">
      <c r="D361" s="18" t="s">
        <v>653</v>
      </c>
      <c r="E361" s="4" t="str">
        <f>[1]Mitigation!H15193</f>
        <v>irn.mit.txo.ind.nga.a.1</v>
      </c>
      <c r="F361" s="4" t="str">
        <f t="shared" si="24"/>
        <v>N/A</v>
      </c>
      <c r="G361" s="4" t="str">
        <f t="shared" si="25"/>
        <v>irn.mit.txo_ind_.all.nga.all.usdGJ.1</v>
      </c>
      <c r="H361" s="4" t="s">
        <v>19</v>
      </c>
      <c r="I361" s="4" t="s">
        <v>146</v>
      </c>
      <c r="J361" s="4"/>
      <c r="K361" s="4" t="s">
        <v>143</v>
      </c>
      <c r="L361" s="4"/>
      <c r="M361" s="4"/>
      <c r="N361" s="4" t="s">
        <v>29</v>
      </c>
      <c r="O361" s="4"/>
      <c r="P361" s="4"/>
      <c r="Q361" s="4" t="s">
        <v>61</v>
      </c>
      <c r="R361" s="4"/>
      <c r="S361" s="4"/>
      <c r="T361" s="4"/>
      <c r="U361" s="4"/>
      <c r="V361" s="15" t="str">
        <f t="shared" si="26"/>
        <v>1</v>
      </c>
    </row>
    <row r="362" spans="4:22" x14ac:dyDescent="0.45">
      <c r="D362" s="18" t="s">
        <v>654</v>
      </c>
      <c r="E362" s="4" t="str">
        <f>[1]Mitigation!H15194</f>
        <v>irn.mit.txo.co2e.nga.ind.1</v>
      </c>
      <c r="F362" s="4" t="str">
        <f t="shared" si="24"/>
        <v>N/A</v>
      </c>
      <c r="G362" s="4" t="str">
        <f t="shared" si="25"/>
        <v>irn.mit.txo_co2e_.all.nga.all.usdtonco2.1</v>
      </c>
      <c r="H362" s="4" t="s">
        <v>19</v>
      </c>
      <c r="I362" s="4" t="s">
        <v>130</v>
      </c>
      <c r="J362" s="4"/>
      <c r="K362" s="4" t="s">
        <v>131</v>
      </c>
      <c r="L362" s="4"/>
      <c r="M362" s="4"/>
      <c r="N362" s="4" t="s">
        <v>29</v>
      </c>
      <c r="O362" s="4"/>
      <c r="P362" s="4"/>
      <c r="Q362" s="4" t="s">
        <v>61</v>
      </c>
      <c r="R362" s="4"/>
      <c r="S362" s="4"/>
      <c r="T362" s="4"/>
      <c r="U362" s="4"/>
      <c r="V362" s="15" t="str">
        <f t="shared" si="26"/>
        <v>1</v>
      </c>
    </row>
    <row r="363" spans="4:22" x14ac:dyDescent="0.45">
      <c r="D363" s="18" t="s">
        <v>655</v>
      </c>
      <c r="E363" s="4" t="str">
        <f>[1]Mitigation!H15195</f>
        <v>irn.mit.pig.nga.ind.2</v>
      </c>
      <c r="F363" s="4" t="str">
        <f t="shared" si="24"/>
        <v>N/A</v>
      </c>
      <c r="G363" s="4" t="str">
        <f t="shared" si="25"/>
        <v>irn.mit.pig_nga_.all.nga.all.usdGJ.2</v>
      </c>
      <c r="H363" s="4" t="s">
        <v>19</v>
      </c>
      <c r="I363" s="4" t="s">
        <v>152</v>
      </c>
      <c r="J363" s="4"/>
      <c r="K363" s="4" t="s">
        <v>143</v>
      </c>
      <c r="L363" s="4"/>
      <c r="M363" s="4"/>
      <c r="N363" s="4" t="s">
        <v>29</v>
      </c>
      <c r="O363" s="4"/>
      <c r="P363" s="4"/>
      <c r="Q363" s="4" t="s">
        <v>61</v>
      </c>
      <c r="R363" s="4"/>
      <c r="S363" s="4"/>
      <c r="T363" s="4"/>
      <c r="U363" s="4"/>
      <c r="V363" s="15" t="str">
        <f t="shared" si="26"/>
        <v>2</v>
      </c>
    </row>
    <row r="364" spans="4:22" x14ac:dyDescent="0.45">
      <c r="D364" s="18" t="s">
        <v>656</v>
      </c>
      <c r="E364" s="4" t="str">
        <f>[1]Mitigation!H15197</f>
        <v>irn.mit.pig.co2e.nga.ind.2</v>
      </c>
      <c r="F364" s="4" t="str">
        <f t="shared" si="24"/>
        <v>N/A</v>
      </c>
      <c r="G364" s="4" t="str">
        <f t="shared" si="25"/>
        <v>irn.mit.pig_co2e_.all.nga.all.usdtonco2.2</v>
      </c>
      <c r="H364" s="4" t="s">
        <v>19</v>
      </c>
      <c r="I364" s="4" t="s">
        <v>133</v>
      </c>
      <c r="J364" s="4"/>
      <c r="K364" s="4" t="s">
        <v>131</v>
      </c>
      <c r="L364" s="4"/>
      <c r="M364" s="4"/>
      <c r="N364" s="4" t="s">
        <v>29</v>
      </c>
      <c r="O364" s="4"/>
      <c r="P364" s="4"/>
      <c r="Q364" s="4" t="s">
        <v>61</v>
      </c>
      <c r="R364" s="4"/>
      <c r="S364" s="4"/>
      <c r="T364" s="4"/>
      <c r="U364" s="4"/>
      <c r="V364" s="15" t="str">
        <f t="shared" si="26"/>
        <v>2</v>
      </c>
    </row>
    <row r="365" spans="4:22" x14ac:dyDescent="0.45">
      <c r="D365" s="18" t="s">
        <v>657</v>
      </c>
      <c r="E365" s="4" t="str">
        <f>[1]Mitigation!H15198</f>
        <v>irn.mit.eff.price.nga.res.2</v>
      </c>
      <c r="F365" s="4" t="str">
        <f t="shared" si="24"/>
        <v>N/A</v>
      </c>
      <c r="G365" s="4" t="str">
        <f t="shared" si="25"/>
        <v>irn.mit.eff_price_.all.nga.all.usdGJ.2</v>
      </c>
      <c r="H365" s="4" t="s">
        <v>19</v>
      </c>
      <c r="I365" s="4" t="s">
        <v>120</v>
      </c>
      <c r="J365" s="4"/>
      <c r="K365" s="4" t="s">
        <v>143</v>
      </c>
      <c r="L365" s="4"/>
      <c r="M365" s="4"/>
      <c r="N365" s="4" t="s">
        <v>28</v>
      </c>
      <c r="O365" s="4"/>
      <c r="P365" s="4"/>
      <c r="Q365" s="4" t="s">
        <v>61</v>
      </c>
      <c r="R365" s="4"/>
      <c r="S365" s="4"/>
      <c r="T365" s="4"/>
      <c r="U365" s="4"/>
      <c r="V365" s="15" t="str">
        <f t="shared" si="26"/>
        <v>2</v>
      </c>
    </row>
    <row r="366" spans="4:22" x14ac:dyDescent="0.45">
      <c r="D366" s="18" t="s">
        <v>658</v>
      </c>
      <c r="E366" s="4" t="str">
        <f>[1]Mitigation!H15199</f>
        <v>irn.mit.sup.cost.nga.res.2</v>
      </c>
      <c r="F366" s="4" t="str">
        <f t="shared" si="24"/>
        <v>N/A</v>
      </c>
      <c r="G366" s="4" t="str">
        <f t="shared" si="25"/>
        <v>irn.mit.sup_cost_.all.nga.all.usdGJ.2</v>
      </c>
      <c r="H366" s="4" t="s">
        <v>19</v>
      </c>
      <c r="I366" s="4" t="s">
        <v>111</v>
      </c>
      <c r="J366" s="4"/>
      <c r="K366" s="4" t="s">
        <v>143</v>
      </c>
      <c r="L366" s="4"/>
      <c r="M366" s="4"/>
      <c r="N366" s="4" t="s">
        <v>28</v>
      </c>
      <c r="O366" s="4"/>
      <c r="P366" s="4"/>
      <c r="Q366" s="4" t="s">
        <v>61</v>
      </c>
      <c r="R366" s="4"/>
      <c r="S366" s="4"/>
      <c r="T366" s="4"/>
      <c r="U366" s="4"/>
      <c r="V366" s="15" t="str">
        <f t="shared" si="26"/>
        <v>2</v>
      </c>
    </row>
    <row r="367" spans="4:22" x14ac:dyDescent="0.45">
      <c r="D367" s="18" t="s">
        <v>659</v>
      </c>
      <c r="E367" s="4" t="str">
        <f>[1]Mitigation!H15200</f>
        <v>irn.mit.airpol.cost.nga.res.2</v>
      </c>
      <c r="F367" s="4" t="str">
        <f t="shared" si="24"/>
        <v>N/A</v>
      </c>
      <c r="G367" s="4" t="str">
        <f t="shared" si="25"/>
        <v>irn.mit.airpol_cost_.all.nga.all.usdGJ.2</v>
      </c>
      <c r="H367" s="4" t="s">
        <v>19</v>
      </c>
      <c r="I367" s="4" t="s">
        <v>122</v>
      </c>
      <c r="J367" s="4"/>
      <c r="K367" s="4" t="s">
        <v>143</v>
      </c>
      <c r="L367" s="4"/>
      <c r="M367" s="4"/>
      <c r="N367" s="4" t="s">
        <v>28</v>
      </c>
      <c r="O367" s="4"/>
      <c r="P367" s="4"/>
      <c r="Q367" s="4" t="s">
        <v>61</v>
      </c>
      <c r="R367" s="4"/>
      <c r="S367" s="4"/>
      <c r="T367" s="4"/>
      <c r="U367" s="4"/>
      <c r="V367" s="15" t="str">
        <f t="shared" si="26"/>
        <v>2</v>
      </c>
    </row>
    <row r="368" spans="4:22" x14ac:dyDescent="0.45">
      <c r="D368" s="18" t="s">
        <v>660</v>
      </c>
      <c r="E368" s="4" t="str">
        <f>[1]Mitigation!H15201</f>
        <v>irn.mit.scc.cost.nga.res.2</v>
      </c>
      <c r="F368" s="4" t="str">
        <f t="shared" si="24"/>
        <v>N/A</v>
      </c>
      <c r="G368" s="4" t="str">
        <f t="shared" si="25"/>
        <v>irn.mit.scc_cost_.all.nga.all.usdGJ.2</v>
      </c>
      <c r="H368" s="4" t="s">
        <v>19</v>
      </c>
      <c r="I368" s="4" t="s">
        <v>126</v>
      </c>
      <c r="J368" s="4"/>
      <c r="K368" s="4" t="s">
        <v>143</v>
      </c>
      <c r="L368" s="4"/>
      <c r="M368" s="4"/>
      <c r="N368" s="4" t="s">
        <v>28</v>
      </c>
      <c r="O368" s="4"/>
      <c r="P368" s="4"/>
      <c r="Q368" s="4" t="s">
        <v>61</v>
      </c>
      <c r="R368" s="4"/>
      <c r="S368" s="4"/>
      <c r="T368" s="4"/>
      <c r="U368" s="4"/>
      <c r="V368" s="15" t="str">
        <f t="shared" si="26"/>
        <v>2</v>
      </c>
    </row>
    <row r="369" spans="4:22" x14ac:dyDescent="0.45">
      <c r="D369" s="18" t="s">
        <v>661</v>
      </c>
      <c r="E369" s="4" t="str">
        <f>[1]Mitigation!H15202</f>
        <v>irn.mit.vat.cost.nga.res.2</v>
      </c>
      <c r="F369" s="4" t="str">
        <f t="shared" si="24"/>
        <v>N/A</v>
      </c>
      <c r="G369" s="4" t="str">
        <f t="shared" si="25"/>
        <v>irn.mit.vat_cost_.all.nga.all.usdGJ.2</v>
      </c>
      <c r="H369" s="4" t="s">
        <v>19</v>
      </c>
      <c r="I369" s="4" t="s">
        <v>127</v>
      </c>
      <c r="J369" s="4"/>
      <c r="K369" s="4" t="s">
        <v>143</v>
      </c>
      <c r="L369" s="4"/>
      <c r="M369" s="4"/>
      <c r="N369" s="4" t="s">
        <v>28</v>
      </c>
      <c r="O369" s="4"/>
      <c r="P369" s="4"/>
      <c r="Q369" s="4" t="s">
        <v>61</v>
      </c>
      <c r="R369" s="4"/>
      <c r="S369" s="4"/>
      <c r="T369" s="4"/>
      <c r="U369" s="4"/>
      <c r="V369" s="15" t="str">
        <f t="shared" si="26"/>
        <v>2</v>
      </c>
    </row>
    <row r="370" spans="4:22" x14ac:dyDescent="0.45">
      <c r="D370" s="18" t="s">
        <v>662</v>
      </c>
      <c r="E370" s="4" t="str">
        <f>[1]Mitigation!H15203</f>
        <v>irn.mit.rp.nga.res.2</v>
      </c>
      <c r="F370" s="4" t="str">
        <f t="shared" si="24"/>
        <v>N/A</v>
      </c>
      <c r="G370" s="4" t="str">
        <f t="shared" si="25"/>
        <v>irn.mit.rp_nga_.all.nga.all.usdGJ.2</v>
      </c>
      <c r="H370" s="4" t="s">
        <v>19</v>
      </c>
      <c r="I370" s="4" t="s">
        <v>150</v>
      </c>
      <c r="J370" s="4"/>
      <c r="K370" s="4" t="s">
        <v>143</v>
      </c>
      <c r="L370" s="4"/>
      <c r="M370" s="4"/>
      <c r="N370" s="4" t="s">
        <v>28</v>
      </c>
      <c r="O370" s="4"/>
      <c r="P370" s="4"/>
      <c r="Q370" s="4" t="s">
        <v>61</v>
      </c>
      <c r="R370" s="4"/>
      <c r="S370" s="4"/>
      <c r="T370" s="4"/>
      <c r="U370" s="4"/>
      <c r="V370" s="15" t="str">
        <f t="shared" si="26"/>
        <v>2</v>
      </c>
    </row>
    <row r="371" spans="4:22" x14ac:dyDescent="0.45">
      <c r="D371" s="18" t="s">
        <v>663</v>
      </c>
      <c r="E371" s="4" t="str">
        <f>[1]Mitigation!H15204</f>
        <v>irn.mit.tgap.nga.res.2</v>
      </c>
      <c r="F371" s="4" t="str">
        <f t="shared" si="24"/>
        <v>N/A</v>
      </c>
      <c r="G371" s="4" t="str">
        <f t="shared" si="25"/>
        <v>irn.mit.tgap_nga_.all.nga.all.usdGJ.2</v>
      </c>
      <c r="H371" s="4" t="s">
        <v>19</v>
      </c>
      <c r="I371" s="4" t="s">
        <v>151</v>
      </c>
      <c r="J371" s="4"/>
      <c r="K371" s="4" t="s">
        <v>143</v>
      </c>
      <c r="L371" s="4"/>
      <c r="M371" s="4"/>
      <c r="N371" s="4" t="s">
        <v>28</v>
      </c>
      <c r="O371" s="4"/>
      <c r="P371" s="4"/>
      <c r="Q371" s="4" t="s">
        <v>61</v>
      </c>
      <c r="R371" s="4"/>
      <c r="S371" s="4"/>
      <c r="T371" s="4"/>
      <c r="U371" s="4"/>
      <c r="V371" s="15" t="str">
        <f t="shared" si="26"/>
        <v>2</v>
      </c>
    </row>
    <row r="372" spans="4:22" x14ac:dyDescent="0.45">
      <c r="D372" s="18" t="s">
        <v>664</v>
      </c>
      <c r="E372" s="4" t="str">
        <f>[1]Mitigation!H15205</f>
        <v>irn.mit.txo.res.nga.a.1</v>
      </c>
      <c r="F372" s="4" t="str">
        <f t="shared" si="24"/>
        <v>N/A</v>
      </c>
      <c r="G372" s="4" t="str">
        <f t="shared" si="25"/>
        <v>irn.mit.txo_res_.all.nga.all.usdGJ.1</v>
      </c>
      <c r="H372" s="4" t="s">
        <v>19</v>
      </c>
      <c r="I372" s="4" t="s">
        <v>148</v>
      </c>
      <c r="J372" s="4"/>
      <c r="K372" s="4" t="s">
        <v>143</v>
      </c>
      <c r="L372" s="4"/>
      <c r="M372" s="4"/>
      <c r="N372" s="4" t="s">
        <v>28</v>
      </c>
      <c r="O372" s="4"/>
      <c r="P372" s="4"/>
      <c r="Q372" s="4" t="s">
        <v>61</v>
      </c>
      <c r="R372" s="4"/>
      <c r="S372" s="4"/>
      <c r="T372" s="4"/>
      <c r="U372" s="4"/>
      <c r="V372" s="15" t="str">
        <f t="shared" si="26"/>
        <v>1</v>
      </c>
    </row>
    <row r="373" spans="4:22" x14ac:dyDescent="0.45">
      <c r="D373" s="18" t="s">
        <v>665</v>
      </c>
      <c r="E373" s="4" t="str">
        <f>[1]Mitigation!H15206</f>
        <v>irn.mit.txo.co2e.nga.res.1</v>
      </c>
      <c r="F373" s="4" t="str">
        <f t="shared" si="24"/>
        <v>N/A</v>
      </c>
      <c r="G373" s="4" t="str">
        <f t="shared" si="25"/>
        <v>irn.mit.txo_co2e_.all.nga.all.usdtonco2.1</v>
      </c>
      <c r="H373" s="4" t="s">
        <v>19</v>
      </c>
      <c r="I373" s="4" t="s">
        <v>130</v>
      </c>
      <c r="J373" s="4"/>
      <c r="K373" s="4" t="s">
        <v>131</v>
      </c>
      <c r="L373" s="4"/>
      <c r="M373" s="4"/>
      <c r="N373" s="4" t="s">
        <v>28</v>
      </c>
      <c r="O373" s="4"/>
      <c r="P373" s="4"/>
      <c r="Q373" s="4" t="s">
        <v>61</v>
      </c>
      <c r="R373" s="4"/>
      <c r="S373" s="4"/>
      <c r="T373" s="4"/>
      <c r="U373" s="4"/>
      <c r="V373" s="15" t="str">
        <f t="shared" si="26"/>
        <v>1</v>
      </c>
    </row>
    <row r="374" spans="4:22" x14ac:dyDescent="0.45">
      <c r="D374" s="18" t="s">
        <v>666</v>
      </c>
      <c r="E374" s="4" t="str">
        <f>[1]Mitigation!H15207</f>
        <v>irn.mit.pig.nga.res.2</v>
      </c>
      <c r="F374" s="4" t="str">
        <f t="shared" si="24"/>
        <v>N/A</v>
      </c>
      <c r="G374" s="4" t="str">
        <f t="shared" si="25"/>
        <v>irn.mit.pig_nga_.all.nga.all.usdGJ.2</v>
      </c>
      <c r="H374" s="4" t="s">
        <v>19</v>
      </c>
      <c r="I374" s="4" t="s">
        <v>152</v>
      </c>
      <c r="J374" s="4"/>
      <c r="K374" s="4" t="s">
        <v>143</v>
      </c>
      <c r="L374" s="4"/>
      <c r="M374" s="4"/>
      <c r="N374" s="4" t="s">
        <v>28</v>
      </c>
      <c r="O374" s="4"/>
      <c r="P374" s="4"/>
      <c r="Q374" s="4" t="s">
        <v>61</v>
      </c>
      <c r="R374" s="4"/>
      <c r="S374" s="4"/>
      <c r="T374" s="4"/>
      <c r="U374" s="4"/>
      <c r="V374" s="15" t="str">
        <f t="shared" si="26"/>
        <v>2</v>
      </c>
    </row>
    <row r="375" spans="4:22" x14ac:dyDescent="0.45">
      <c r="D375" s="18" t="s">
        <v>667</v>
      </c>
      <c r="E375" s="4" t="str">
        <f>[1]Mitigation!H15209</f>
        <v>irn.mit.pig.co2e.nga.res.2</v>
      </c>
      <c r="F375" s="4" t="str">
        <f t="shared" si="24"/>
        <v>N/A</v>
      </c>
      <c r="G375" s="4" t="str">
        <f t="shared" si="25"/>
        <v>irn.mit.pig_co2e_.all.nga.all.usdtonco2.2</v>
      </c>
      <c r="H375" s="4" t="s">
        <v>19</v>
      </c>
      <c r="I375" s="4" t="s">
        <v>133</v>
      </c>
      <c r="J375" s="4"/>
      <c r="K375" s="4" t="s">
        <v>131</v>
      </c>
      <c r="L375" s="4"/>
      <c r="M375" s="4"/>
      <c r="N375" s="4" t="s">
        <v>28</v>
      </c>
      <c r="O375" s="4"/>
      <c r="P375" s="4"/>
      <c r="Q375" s="4" t="s">
        <v>61</v>
      </c>
      <c r="R375" s="4"/>
      <c r="S375" s="4"/>
      <c r="T375" s="4"/>
      <c r="U375" s="4"/>
      <c r="V375" s="15" t="str">
        <f t="shared" si="26"/>
        <v>2</v>
      </c>
    </row>
    <row r="376" spans="4:22" x14ac:dyDescent="0.45">
      <c r="D376" s="18" t="s">
        <v>668</v>
      </c>
      <c r="E376" s="4" t="str">
        <f>[1]Mitigation!H15210</f>
        <v>irn.mit.eff.price.nga.pow.2</v>
      </c>
      <c r="F376" s="4" t="str">
        <f t="shared" si="24"/>
        <v>N/A</v>
      </c>
      <c r="G376" s="4" t="str">
        <f t="shared" si="25"/>
        <v>irn.mit.eff_price_.all.nga.all.usdGJ.2</v>
      </c>
      <c r="H376" s="4" t="s">
        <v>19</v>
      </c>
      <c r="I376" s="4" t="s">
        <v>120</v>
      </c>
      <c r="J376" s="4"/>
      <c r="K376" s="4" t="s">
        <v>143</v>
      </c>
      <c r="L376" s="4"/>
      <c r="M376" s="4"/>
      <c r="N376" s="4" t="s">
        <v>26</v>
      </c>
      <c r="O376" s="4"/>
      <c r="P376" s="4"/>
      <c r="Q376" s="4" t="s">
        <v>61</v>
      </c>
      <c r="R376" s="4"/>
      <c r="S376" s="4"/>
      <c r="T376" s="4"/>
      <c r="U376" s="4"/>
      <c r="V376" s="15" t="str">
        <f t="shared" si="26"/>
        <v>2</v>
      </c>
    </row>
    <row r="377" spans="4:22" x14ac:dyDescent="0.45">
      <c r="D377" s="18" t="s">
        <v>669</v>
      </c>
      <c r="E377" s="4" t="str">
        <f>[1]Mitigation!H15211</f>
        <v>irn.mit.sup.cost.nga.pow.2</v>
      </c>
      <c r="F377" s="4" t="str">
        <f t="shared" si="24"/>
        <v>N/A</v>
      </c>
      <c r="G377" s="4" t="str">
        <f t="shared" si="25"/>
        <v>irn.mit.sup_cost_.all.nga.all.usdGJ.2</v>
      </c>
      <c r="H377" s="4" t="s">
        <v>19</v>
      </c>
      <c r="I377" s="4" t="s">
        <v>111</v>
      </c>
      <c r="J377" s="4"/>
      <c r="K377" s="4" t="s">
        <v>143</v>
      </c>
      <c r="L377" s="4"/>
      <c r="M377" s="4"/>
      <c r="N377" s="4" t="s">
        <v>26</v>
      </c>
      <c r="O377" s="4"/>
      <c r="P377" s="4"/>
      <c r="Q377" s="4" t="s">
        <v>61</v>
      </c>
      <c r="R377" s="4"/>
      <c r="S377" s="4"/>
      <c r="T377" s="4"/>
      <c r="U377" s="4"/>
      <c r="V377" s="15" t="str">
        <f t="shared" si="26"/>
        <v>2</v>
      </c>
    </row>
    <row r="378" spans="4:22" x14ac:dyDescent="0.45">
      <c r="D378" s="18" t="s">
        <v>670</v>
      </c>
      <c r="E378" s="4" t="str">
        <f>[1]Mitigation!H15212</f>
        <v>irn.mit.airpol.cost.nga.pow.2</v>
      </c>
      <c r="F378" s="4" t="str">
        <f t="shared" si="24"/>
        <v>N/A</v>
      </c>
      <c r="G378" s="4" t="str">
        <f t="shared" si="25"/>
        <v>irn.mit.airpol_cost_.all.nga.all.usdGJ.2</v>
      </c>
      <c r="H378" s="4" t="s">
        <v>19</v>
      </c>
      <c r="I378" s="4" t="s">
        <v>122</v>
      </c>
      <c r="J378" s="4"/>
      <c r="K378" s="4" t="s">
        <v>143</v>
      </c>
      <c r="L378" s="4"/>
      <c r="M378" s="4"/>
      <c r="N378" s="4" t="s">
        <v>26</v>
      </c>
      <c r="O378" s="4"/>
      <c r="P378" s="4"/>
      <c r="Q378" s="4" t="s">
        <v>61</v>
      </c>
      <c r="R378" s="4"/>
      <c r="S378" s="4"/>
      <c r="T378" s="4"/>
      <c r="U378" s="4"/>
      <c r="V378" s="15" t="str">
        <f t="shared" si="26"/>
        <v>2</v>
      </c>
    </row>
    <row r="379" spans="4:22" x14ac:dyDescent="0.45">
      <c r="D379" s="18" t="s">
        <v>671</v>
      </c>
      <c r="E379" s="4" t="str">
        <f>[1]Mitigation!H15213</f>
        <v>irn.mit.scc.cost.nga.pow.2</v>
      </c>
      <c r="F379" s="4" t="str">
        <f t="shared" si="24"/>
        <v>N/A</v>
      </c>
      <c r="G379" s="4" t="str">
        <f t="shared" si="25"/>
        <v>irn.mit.scc_cost_.all.nga.all.usdGJ.2</v>
      </c>
      <c r="H379" s="4" t="s">
        <v>19</v>
      </c>
      <c r="I379" s="4" t="s">
        <v>126</v>
      </c>
      <c r="J379" s="4"/>
      <c r="K379" s="4" t="s">
        <v>143</v>
      </c>
      <c r="L379" s="4"/>
      <c r="M379" s="4"/>
      <c r="N379" s="4" t="s">
        <v>26</v>
      </c>
      <c r="O379" s="4"/>
      <c r="P379" s="4"/>
      <c r="Q379" s="4" t="s">
        <v>61</v>
      </c>
      <c r="R379" s="4"/>
      <c r="S379" s="4"/>
      <c r="T379" s="4"/>
      <c r="U379" s="4"/>
      <c r="V379" s="15" t="str">
        <f t="shared" si="26"/>
        <v>2</v>
      </c>
    </row>
    <row r="380" spans="4:22" x14ac:dyDescent="0.45">
      <c r="D380" s="18" t="s">
        <v>672</v>
      </c>
      <c r="E380" s="4" t="str">
        <f>[1]Mitigation!H15214</f>
        <v>irn.mit.vat.cost.nga.pow.2</v>
      </c>
      <c r="F380" s="4" t="str">
        <f t="shared" si="24"/>
        <v>N/A</v>
      </c>
      <c r="G380" s="4" t="str">
        <f t="shared" si="25"/>
        <v>irn.mit.vat_cost_.all.nga.all.usdGJ.2</v>
      </c>
      <c r="H380" s="4" t="s">
        <v>19</v>
      </c>
      <c r="I380" s="4" t="s">
        <v>127</v>
      </c>
      <c r="J380" s="4"/>
      <c r="K380" s="4" t="s">
        <v>143</v>
      </c>
      <c r="L380" s="4"/>
      <c r="M380" s="4"/>
      <c r="N380" s="4" t="s">
        <v>26</v>
      </c>
      <c r="O380" s="4"/>
      <c r="P380" s="4"/>
      <c r="Q380" s="4" t="s">
        <v>61</v>
      </c>
      <c r="R380" s="4"/>
      <c r="S380" s="4"/>
      <c r="T380" s="4"/>
      <c r="U380" s="4"/>
      <c r="V380" s="15" t="str">
        <f t="shared" si="26"/>
        <v>2</v>
      </c>
    </row>
    <row r="381" spans="4:22" x14ac:dyDescent="0.45">
      <c r="D381" s="18" t="s">
        <v>673</v>
      </c>
      <c r="E381" s="4" t="str">
        <f>[1]Mitigation!H15215</f>
        <v>irn.mit.rp.nga.pow.2</v>
      </c>
      <c r="F381" s="4" t="str">
        <f t="shared" si="24"/>
        <v>N/A</v>
      </c>
      <c r="G381" s="4" t="str">
        <f t="shared" si="25"/>
        <v>irn.mit.rp_nga_.all.nga.all.usdGJ.2</v>
      </c>
      <c r="H381" s="4" t="s">
        <v>19</v>
      </c>
      <c r="I381" s="4" t="s">
        <v>150</v>
      </c>
      <c r="J381" s="4"/>
      <c r="K381" s="4" t="s">
        <v>143</v>
      </c>
      <c r="L381" s="4"/>
      <c r="M381" s="4"/>
      <c r="N381" s="4" t="s">
        <v>26</v>
      </c>
      <c r="O381" s="4"/>
      <c r="P381" s="4"/>
      <c r="Q381" s="4" t="s">
        <v>61</v>
      </c>
      <c r="R381" s="4"/>
      <c r="S381" s="4"/>
      <c r="T381" s="4"/>
      <c r="U381" s="4"/>
      <c r="V381" s="15" t="str">
        <f t="shared" si="26"/>
        <v>2</v>
      </c>
    </row>
    <row r="382" spans="4:22" x14ac:dyDescent="0.45">
      <c r="D382" s="18" t="s">
        <v>674</v>
      </c>
      <c r="E382" s="4" t="str">
        <f>[1]Mitigation!H15216</f>
        <v>irn.mit.tgap.nga.pow.2</v>
      </c>
      <c r="F382" s="4" t="str">
        <f t="shared" si="24"/>
        <v>N/A</v>
      </c>
      <c r="G382" s="4" t="str">
        <f t="shared" si="25"/>
        <v>irn.mit.tgap_nga_.all.nga.all.usdGJ.2</v>
      </c>
      <c r="H382" s="4" t="s">
        <v>19</v>
      </c>
      <c r="I382" s="4" t="s">
        <v>151</v>
      </c>
      <c r="J382" s="4"/>
      <c r="K382" s="4" t="s">
        <v>143</v>
      </c>
      <c r="L382" s="4"/>
      <c r="M382" s="4"/>
      <c r="N382" s="4" t="s">
        <v>26</v>
      </c>
      <c r="O382" s="4"/>
      <c r="P382" s="4"/>
      <c r="Q382" s="4" t="s">
        <v>61</v>
      </c>
      <c r="R382" s="4"/>
      <c r="S382" s="4"/>
      <c r="T382" s="4"/>
      <c r="U382" s="4"/>
      <c r="V382" s="15" t="str">
        <f t="shared" si="26"/>
        <v>2</v>
      </c>
    </row>
    <row r="383" spans="4:22" x14ac:dyDescent="0.45">
      <c r="D383" s="18" t="s">
        <v>675</v>
      </c>
      <c r="E383" s="4" t="str">
        <f>[1]Mitigation!H15217</f>
        <v>irn.mit.txo.pow.nga.a.1</v>
      </c>
      <c r="F383" s="4" t="str">
        <f t="shared" si="24"/>
        <v>N/A</v>
      </c>
      <c r="G383" s="4" t="str">
        <f t="shared" si="25"/>
        <v>irn.mit.txo_pow_.all.nga.all.usdGJ.1</v>
      </c>
      <c r="H383" s="4" t="s">
        <v>19</v>
      </c>
      <c r="I383" s="4" t="s">
        <v>149</v>
      </c>
      <c r="J383" s="4"/>
      <c r="K383" s="4" t="s">
        <v>143</v>
      </c>
      <c r="L383" s="4"/>
      <c r="M383" s="4"/>
      <c r="N383" s="4" t="s">
        <v>26</v>
      </c>
      <c r="O383" s="4"/>
      <c r="P383" s="4"/>
      <c r="Q383" s="4" t="s">
        <v>61</v>
      </c>
      <c r="R383" s="4"/>
      <c r="S383" s="4"/>
      <c r="T383" s="4"/>
      <c r="U383" s="4"/>
      <c r="V383" s="15" t="str">
        <f t="shared" si="26"/>
        <v>1</v>
      </c>
    </row>
    <row r="384" spans="4:22" x14ac:dyDescent="0.45">
      <c r="D384" s="18" t="s">
        <v>676</v>
      </c>
      <c r="E384" s="4" t="str">
        <f>[1]Mitigation!H15218</f>
        <v>irn.mit.txo.co2e.nga.pow.1</v>
      </c>
      <c r="F384" s="4" t="str">
        <f t="shared" si="24"/>
        <v>N/A</v>
      </c>
      <c r="G384" s="4" t="str">
        <f t="shared" si="25"/>
        <v>irn.mit.txo_co2e_.all.nga.all.usdtonco2.1</v>
      </c>
      <c r="H384" s="4" t="s">
        <v>19</v>
      </c>
      <c r="I384" s="4" t="s">
        <v>130</v>
      </c>
      <c r="J384" s="4"/>
      <c r="K384" s="4" t="s">
        <v>131</v>
      </c>
      <c r="L384" s="4"/>
      <c r="M384" s="4"/>
      <c r="N384" s="4" t="s">
        <v>26</v>
      </c>
      <c r="O384" s="4"/>
      <c r="P384" s="4"/>
      <c r="Q384" s="4" t="s">
        <v>61</v>
      </c>
      <c r="R384" s="4"/>
      <c r="S384" s="4"/>
      <c r="T384" s="4"/>
      <c r="U384" s="4"/>
      <c r="V384" s="15" t="str">
        <f t="shared" si="26"/>
        <v>1</v>
      </c>
    </row>
    <row r="385" spans="4:22" x14ac:dyDescent="0.45">
      <c r="D385" s="18" t="s">
        <v>677</v>
      </c>
      <c r="E385" s="4" t="str">
        <f>[1]Mitigation!H15219</f>
        <v>irn.mit.pig.nga.pow.2</v>
      </c>
      <c r="F385" s="4" t="str">
        <f t="shared" si="24"/>
        <v>N/A</v>
      </c>
      <c r="G385" s="4" t="str">
        <f t="shared" si="25"/>
        <v>irn.mit.pig_nga_.all.nga.all.usdGJ.2</v>
      </c>
      <c r="H385" s="4" t="s">
        <v>19</v>
      </c>
      <c r="I385" s="4" t="s">
        <v>152</v>
      </c>
      <c r="J385" s="4"/>
      <c r="K385" s="4" t="s">
        <v>143</v>
      </c>
      <c r="L385" s="4"/>
      <c r="M385" s="4"/>
      <c r="N385" s="4" t="s">
        <v>26</v>
      </c>
      <c r="O385" s="4"/>
      <c r="P385" s="4"/>
      <c r="Q385" s="4" t="s">
        <v>61</v>
      </c>
      <c r="R385" s="4"/>
      <c r="S385" s="4"/>
      <c r="T385" s="4"/>
      <c r="U385" s="4"/>
      <c r="V385" s="15" t="str">
        <f t="shared" si="26"/>
        <v>2</v>
      </c>
    </row>
    <row r="386" spans="4:22" x14ac:dyDescent="0.45">
      <c r="D386" s="18" t="s">
        <v>678</v>
      </c>
      <c r="E386" s="4" t="str">
        <f>[1]Mitigation!H15221</f>
        <v>irn.mit.pig.co2e.nga.pow.2</v>
      </c>
      <c r="F386" s="4" t="str">
        <f t="shared" si="24"/>
        <v>N/A</v>
      </c>
      <c r="G386" s="4" t="str">
        <f t="shared" si="25"/>
        <v>irn.mit.pig_co2e_.all.nga.all.usdtonco2.2</v>
      </c>
      <c r="H386" s="4" t="s">
        <v>19</v>
      </c>
      <c r="I386" s="4" t="s">
        <v>133</v>
      </c>
      <c r="J386" s="4"/>
      <c r="K386" s="4" t="s">
        <v>131</v>
      </c>
      <c r="L386" s="4"/>
      <c r="M386" s="4"/>
      <c r="N386" s="4" t="s">
        <v>26</v>
      </c>
      <c r="O386" s="4"/>
      <c r="P386" s="4"/>
      <c r="Q386" s="4" t="s">
        <v>61</v>
      </c>
      <c r="R386" s="4"/>
      <c r="S386" s="4"/>
      <c r="T386" s="4"/>
      <c r="U386" s="4"/>
      <c r="V386" s="15" t="str">
        <f t="shared" si="26"/>
        <v>2</v>
      </c>
    </row>
    <row r="387" spans="4:22" x14ac:dyDescent="0.45">
      <c r="D387" s="18" t="s">
        <v>679</v>
      </c>
      <c r="E387" s="4" t="str">
        <f>[1]Mitigation!H15222</f>
        <v>irn.mit.eff.price.ecy.ind.2</v>
      </c>
      <c r="F387" s="4" t="str">
        <f t="shared" si="24"/>
        <v>N/A</v>
      </c>
      <c r="G387" s="4" t="str">
        <f t="shared" si="25"/>
        <v>irn.mit.eff_price_.all.ecy.all.usdkwh.2</v>
      </c>
      <c r="H387" s="4" t="s">
        <v>19</v>
      </c>
      <c r="I387" s="4" t="s">
        <v>120</v>
      </c>
      <c r="J387" s="4"/>
      <c r="K387" s="4" t="s">
        <v>100</v>
      </c>
      <c r="L387" s="4"/>
      <c r="M387" s="4"/>
      <c r="N387" s="4" t="s">
        <v>29</v>
      </c>
      <c r="O387" s="4"/>
      <c r="P387" s="4"/>
      <c r="Q387" s="4" t="s">
        <v>101</v>
      </c>
      <c r="R387" s="4"/>
      <c r="S387" s="4"/>
      <c r="T387" s="4"/>
      <c r="U387" s="4"/>
      <c r="V387" s="15" t="str">
        <f t="shared" si="26"/>
        <v>2</v>
      </c>
    </row>
    <row r="388" spans="4:22" x14ac:dyDescent="0.45">
      <c r="D388" s="18" t="s">
        <v>680</v>
      </c>
      <c r="E388" s="4" t="str">
        <f>[1]Mitigation!H15223</f>
        <v>irn.mit.sup.cost.ecy.ind.2</v>
      </c>
      <c r="F388" s="4" t="str">
        <f t="shared" si="24"/>
        <v>N/A</v>
      </c>
      <c r="G388" s="4" t="str">
        <f t="shared" si="25"/>
        <v>irn.mit.sup_cost_.all.ecy.all.usdkwh.2</v>
      </c>
      <c r="H388" s="4" t="s">
        <v>19</v>
      </c>
      <c r="I388" s="4" t="s">
        <v>111</v>
      </c>
      <c r="J388" s="4"/>
      <c r="K388" s="4" t="s">
        <v>100</v>
      </c>
      <c r="L388" s="4"/>
      <c r="M388" s="4"/>
      <c r="N388" s="4" t="s">
        <v>29</v>
      </c>
      <c r="O388" s="4"/>
      <c r="P388" s="4"/>
      <c r="Q388" s="4" t="s">
        <v>101</v>
      </c>
      <c r="R388" s="4"/>
      <c r="S388" s="4"/>
      <c r="T388" s="4"/>
      <c r="U388" s="4"/>
      <c r="V388" s="15" t="str">
        <f t="shared" si="26"/>
        <v>2</v>
      </c>
    </row>
    <row r="389" spans="4:22" x14ac:dyDescent="0.45">
      <c r="D389" s="18" t="s">
        <v>681</v>
      </c>
      <c r="E389" s="4" t="str">
        <f>[1]Mitigation!H15224</f>
        <v>irn.mit.airpol.cost.ecy.ind.2</v>
      </c>
      <c r="F389" s="4" t="str">
        <f t="shared" si="24"/>
        <v>N/A</v>
      </c>
      <c r="G389" s="4" t="str">
        <f t="shared" si="25"/>
        <v>irn.mit.airpol_cost_.all.ecy.all.usdkwh.2</v>
      </c>
      <c r="H389" s="4" t="s">
        <v>19</v>
      </c>
      <c r="I389" s="4" t="s">
        <v>122</v>
      </c>
      <c r="J389" s="4"/>
      <c r="K389" s="4" t="s">
        <v>100</v>
      </c>
      <c r="L389" s="4"/>
      <c r="M389" s="4"/>
      <c r="N389" s="4" t="s">
        <v>29</v>
      </c>
      <c r="O389" s="4"/>
      <c r="P389" s="4"/>
      <c r="Q389" s="4" t="s">
        <v>101</v>
      </c>
      <c r="R389" s="4"/>
      <c r="S389" s="4"/>
      <c r="T389" s="4"/>
      <c r="U389" s="4"/>
      <c r="V389" s="15" t="str">
        <f t="shared" si="26"/>
        <v>2</v>
      </c>
    </row>
    <row r="390" spans="4:22" x14ac:dyDescent="0.45">
      <c r="D390" s="18" t="s">
        <v>682</v>
      </c>
      <c r="E390" s="4" t="str">
        <f>[1]Mitigation!H15225</f>
        <v>irn.mit.scc.cost.ecy.ind.2</v>
      </c>
      <c r="F390" s="4" t="str">
        <f t="shared" si="24"/>
        <v>N/A</v>
      </c>
      <c r="G390" s="4" t="str">
        <f t="shared" si="25"/>
        <v>irn.mit.scc_cost_.all.ecy.all.usdkwh.2</v>
      </c>
      <c r="H390" s="4" t="s">
        <v>19</v>
      </c>
      <c r="I390" s="4" t="s">
        <v>126</v>
      </c>
      <c r="J390" s="4"/>
      <c r="K390" s="4" t="s">
        <v>100</v>
      </c>
      <c r="L390" s="4"/>
      <c r="M390" s="4"/>
      <c r="N390" s="4" t="s">
        <v>29</v>
      </c>
      <c r="O390" s="4"/>
      <c r="P390" s="4"/>
      <c r="Q390" s="4" t="s">
        <v>101</v>
      </c>
      <c r="R390" s="4"/>
      <c r="S390" s="4"/>
      <c r="T390" s="4"/>
      <c r="U390" s="4"/>
      <c r="V390" s="15" t="str">
        <f t="shared" si="26"/>
        <v>2</v>
      </c>
    </row>
    <row r="391" spans="4:22" x14ac:dyDescent="0.45">
      <c r="D391" s="18" t="s">
        <v>683</v>
      </c>
      <c r="E391" s="4" t="str">
        <f>[1]Mitigation!H15226</f>
        <v>irn.mit.vat.cost.ecy.ind.2</v>
      </c>
      <c r="F391" s="4" t="str">
        <f t="shared" si="24"/>
        <v>N/A</v>
      </c>
      <c r="G391" s="4" t="str">
        <f t="shared" si="25"/>
        <v>irn.mit.vat_cost_.all.ecy.all.usdkwh.2</v>
      </c>
      <c r="H391" s="4" t="s">
        <v>19</v>
      </c>
      <c r="I391" s="4" t="s">
        <v>127</v>
      </c>
      <c r="J391" s="4"/>
      <c r="K391" s="4" t="s">
        <v>100</v>
      </c>
      <c r="L391" s="4"/>
      <c r="M391" s="4"/>
      <c r="N391" s="4" t="s">
        <v>29</v>
      </c>
      <c r="O391" s="4"/>
      <c r="P391" s="4"/>
      <c r="Q391" s="4" t="s">
        <v>101</v>
      </c>
      <c r="R391" s="4"/>
      <c r="S391" s="4"/>
      <c r="T391" s="4"/>
      <c r="U391" s="4"/>
      <c r="V391" s="15" t="str">
        <f t="shared" si="26"/>
        <v>2</v>
      </c>
    </row>
    <row r="392" spans="4:22" x14ac:dyDescent="0.45">
      <c r="D392" s="18" t="s">
        <v>684</v>
      </c>
      <c r="E392" s="4" t="str">
        <f>[1]Mitigation!H15227</f>
        <v>irn.mit.rp.ecy.ind.2</v>
      </c>
      <c r="F392" s="4" t="str">
        <f t="shared" si="24"/>
        <v>N/A</v>
      </c>
      <c r="G392" s="4" t="str">
        <f t="shared" si="25"/>
        <v>irn.mit.rp_ecy_.all.ecy.all.usdkwh.2</v>
      </c>
      <c r="H392" s="4" t="s">
        <v>19</v>
      </c>
      <c r="I392" s="4" t="s">
        <v>153</v>
      </c>
      <c r="J392" s="4"/>
      <c r="K392" s="4" t="s">
        <v>100</v>
      </c>
      <c r="L392" s="4"/>
      <c r="M392" s="4"/>
      <c r="N392" s="4" t="s">
        <v>29</v>
      </c>
      <c r="O392" s="4"/>
      <c r="P392" s="4"/>
      <c r="Q392" s="4" t="s">
        <v>101</v>
      </c>
      <c r="R392" s="4"/>
      <c r="S392" s="4"/>
      <c r="T392" s="4"/>
      <c r="U392" s="4"/>
      <c r="V392" s="15" t="str">
        <f t="shared" si="26"/>
        <v>2</v>
      </c>
    </row>
    <row r="393" spans="4:22" x14ac:dyDescent="0.45">
      <c r="D393" s="18" t="s">
        <v>685</v>
      </c>
      <c r="E393" s="4" t="str">
        <f>[1]Mitigation!H15228</f>
        <v>irn.mit.tgap.ecy.ind.2</v>
      </c>
      <c r="F393" s="4" t="str">
        <f t="shared" si="24"/>
        <v>N/A</v>
      </c>
      <c r="G393" s="4" t="str">
        <f t="shared" si="25"/>
        <v>irn.mit.tgap_ecy_.all.ecy.all.usdkwh.2</v>
      </c>
      <c r="H393" s="4" t="s">
        <v>19</v>
      </c>
      <c r="I393" s="4" t="s">
        <v>154</v>
      </c>
      <c r="J393" s="4"/>
      <c r="K393" s="4" t="s">
        <v>100</v>
      </c>
      <c r="L393" s="4"/>
      <c r="M393" s="4"/>
      <c r="N393" s="4" t="s">
        <v>29</v>
      </c>
      <c r="O393" s="4"/>
      <c r="P393" s="4"/>
      <c r="Q393" s="4" t="s">
        <v>101</v>
      </c>
      <c r="R393" s="4"/>
      <c r="S393" s="4"/>
      <c r="T393" s="4"/>
      <c r="U393" s="4"/>
      <c r="V393" s="15" t="str">
        <f t="shared" si="26"/>
        <v>2</v>
      </c>
    </row>
    <row r="394" spans="4:22" x14ac:dyDescent="0.45">
      <c r="D394" s="18" t="s">
        <v>686</v>
      </c>
      <c r="E394" s="4" t="str">
        <f>[1]Mitigation!H15229</f>
        <v>irn.mit.txo.ind.ecy.t.1</v>
      </c>
      <c r="F394" s="4" t="str">
        <f t="shared" si="24"/>
        <v>N/A</v>
      </c>
      <c r="G394" s="4" t="str">
        <f t="shared" si="25"/>
        <v>irn.mit.txo_ind_.all.ecy.all.usdkwh.1</v>
      </c>
      <c r="H394" s="4" t="s">
        <v>19</v>
      </c>
      <c r="I394" s="4" t="s">
        <v>146</v>
      </c>
      <c r="J394" s="4"/>
      <c r="K394" s="4" t="s">
        <v>100</v>
      </c>
      <c r="L394" s="4"/>
      <c r="M394" s="4"/>
      <c r="N394" s="4" t="s">
        <v>29</v>
      </c>
      <c r="O394" s="4"/>
      <c r="P394" s="4"/>
      <c r="Q394" s="4" t="s">
        <v>101</v>
      </c>
      <c r="R394" s="4"/>
      <c r="S394" s="4"/>
      <c r="T394" s="4"/>
      <c r="U394" s="4"/>
      <c r="V394" s="15" t="str">
        <f t="shared" si="26"/>
        <v>1</v>
      </c>
    </row>
    <row r="395" spans="4:22" x14ac:dyDescent="0.45">
      <c r="D395" s="18" t="s">
        <v>687</v>
      </c>
      <c r="E395" s="4" t="str">
        <f>[1]Mitigation!H15230</f>
        <v>irn.mit.txo.co2e.ecy.ind.1</v>
      </c>
      <c r="F395" s="4" t="str">
        <f t="shared" si="24"/>
        <v>N/A</v>
      </c>
      <c r="G395" s="4" t="str">
        <f t="shared" si="25"/>
        <v>irn.mit.txo_co2e_.all.ecy.all.usdtonco2.1</v>
      </c>
      <c r="H395" s="4" t="s">
        <v>19</v>
      </c>
      <c r="I395" s="4" t="s">
        <v>130</v>
      </c>
      <c r="J395" s="4"/>
      <c r="K395" s="4" t="s">
        <v>131</v>
      </c>
      <c r="L395" s="4"/>
      <c r="M395" s="4"/>
      <c r="N395" s="4" t="s">
        <v>29</v>
      </c>
      <c r="O395" s="4"/>
      <c r="P395" s="4"/>
      <c r="Q395" s="4" t="s">
        <v>101</v>
      </c>
      <c r="R395" s="4"/>
      <c r="S395" s="4"/>
      <c r="T395" s="4"/>
      <c r="U395" s="4"/>
      <c r="V395" s="15" t="str">
        <f t="shared" si="26"/>
        <v>1</v>
      </c>
    </row>
    <row r="396" spans="4:22" x14ac:dyDescent="0.45">
      <c r="D396" s="18" t="s">
        <v>688</v>
      </c>
      <c r="E396" s="4" t="str">
        <f>[1]Mitigation!H15231</f>
        <v>irn.mit.pig.ecy.ind.2</v>
      </c>
      <c r="F396" s="4" t="str">
        <f t="shared" si="24"/>
        <v>N/A</v>
      </c>
      <c r="G396" s="4" t="str">
        <f t="shared" si="25"/>
        <v>irn.mit.pig_ecy_.all.ecy.all.usdkwh.2</v>
      </c>
      <c r="H396" s="4" t="s">
        <v>19</v>
      </c>
      <c r="I396" s="4" t="s">
        <v>155</v>
      </c>
      <c r="J396" s="4"/>
      <c r="K396" s="4" t="s">
        <v>100</v>
      </c>
      <c r="L396" s="4"/>
      <c r="M396" s="4"/>
      <c r="N396" s="4" t="s">
        <v>29</v>
      </c>
      <c r="O396" s="4"/>
      <c r="P396" s="4"/>
      <c r="Q396" s="4" t="s">
        <v>101</v>
      </c>
      <c r="R396" s="4"/>
      <c r="S396" s="4"/>
      <c r="T396" s="4"/>
      <c r="U396" s="4"/>
      <c r="V396" s="15" t="str">
        <f t="shared" si="26"/>
        <v>2</v>
      </c>
    </row>
    <row r="397" spans="4:22" x14ac:dyDescent="0.45">
      <c r="D397" s="18" t="s">
        <v>689</v>
      </c>
      <c r="E397" s="4" t="str">
        <f>[1]Mitigation!H15233</f>
        <v>irn.mit.pig.co2e.ecy.ind.2</v>
      </c>
      <c r="F397" s="4" t="str">
        <f t="shared" si="24"/>
        <v>N/A</v>
      </c>
      <c r="G397" s="4" t="str">
        <f t="shared" si="25"/>
        <v>irn.mit.pig_co2e_.all.ecy.all.usdtonco2.2</v>
      </c>
      <c r="H397" s="4" t="s">
        <v>19</v>
      </c>
      <c r="I397" s="4" t="s">
        <v>133</v>
      </c>
      <c r="J397" s="4"/>
      <c r="K397" s="4" t="s">
        <v>131</v>
      </c>
      <c r="L397" s="4"/>
      <c r="M397" s="4"/>
      <c r="N397" s="4" t="s">
        <v>29</v>
      </c>
      <c r="O397" s="4"/>
      <c r="P397" s="4"/>
      <c r="Q397" s="4" t="s">
        <v>101</v>
      </c>
      <c r="R397" s="4"/>
      <c r="S397" s="4"/>
      <c r="T397" s="4"/>
      <c r="U397" s="4"/>
      <c r="V397" s="15" t="str">
        <f t="shared" si="26"/>
        <v>2</v>
      </c>
    </row>
    <row r="398" spans="4:22" x14ac:dyDescent="0.45">
      <c r="D398" s="18" t="s">
        <v>690</v>
      </c>
      <c r="E398" s="4" t="str">
        <f>[1]Mitigation!H15234</f>
        <v>irn.mit.eff.price.ecy.res.2</v>
      </c>
      <c r="F398" s="4" t="str">
        <f t="shared" si="24"/>
        <v>N/A</v>
      </c>
      <c r="G398" s="4" t="str">
        <f t="shared" si="25"/>
        <v>irn.mit.eff_price_.all.ecy.all.usdkwh.2</v>
      </c>
      <c r="H398" s="4" t="s">
        <v>19</v>
      </c>
      <c r="I398" s="4" t="s">
        <v>120</v>
      </c>
      <c r="J398" s="4"/>
      <c r="K398" s="4" t="s">
        <v>100</v>
      </c>
      <c r="L398" s="4"/>
      <c r="M398" s="4"/>
      <c r="N398" s="4" t="s">
        <v>28</v>
      </c>
      <c r="O398" s="4"/>
      <c r="P398" s="4"/>
      <c r="Q398" s="4" t="s">
        <v>101</v>
      </c>
      <c r="R398" s="4"/>
      <c r="S398" s="4"/>
      <c r="T398" s="4"/>
      <c r="U398" s="4"/>
      <c r="V398" s="15" t="str">
        <f t="shared" si="26"/>
        <v>2</v>
      </c>
    </row>
    <row r="399" spans="4:22" x14ac:dyDescent="0.45">
      <c r="D399" s="18" t="s">
        <v>691</v>
      </c>
      <c r="E399" s="4" t="str">
        <f>[1]Mitigation!H15235</f>
        <v>irn.mit.sup.cost.ecy.res.2</v>
      </c>
      <c r="F399" s="4" t="str">
        <f t="shared" si="24"/>
        <v>N/A</v>
      </c>
      <c r="G399" s="4" t="str">
        <f t="shared" si="25"/>
        <v>irn.mit.sup_cost_.all.ecy.all.usdkwh.2</v>
      </c>
      <c r="H399" s="4" t="s">
        <v>19</v>
      </c>
      <c r="I399" s="4" t="s">
        <v>111</v>
      </c>
      <c r="J399" s="4"/>
      <c r="K399" s="4" t="s">
        <v>100</v>
      </c>
      <c r="L399" s="4"/>
      <c r="M399" s="4"/>
      <c r="N399" s="4" t="s">
        <v>28</v>
      </c>
      <c r="O399" s="4"/>
      <c r="P399" s="4"/>
      <c r="Q399" s="4" t="s">
        <v>101</v>
      </c>
      <c r="R399" s="4"/>
      <c r="S399" s="4"/>
      <c r="T399" s="4"/>
      <c r="U399" s="4"/>
      <c r="V399" s="15" t="str">
        <f t="shared" si="26"/>
        <v>2</v>
      </c>
    </row>
    <row r="400" spans="4:22" x14ac:dyDescent="0.45">
      <c r="D400" s="18" t="s">
        <v>692</v>
      </c>
      <c r="E400" s="4" t="str">
        <f>[1]Mitigation!H15236</f>
        <v>irn.mit.airpol.cost.ecy.res.2</v>
      </c>
      <c r="F400" s="4" t="str">
        <f t="shared" ref="F400:F408" si="27">IF(MTAct,E400&amp;"_"&amp;MSTScenarioID,"N/A")</f>
        <v>N/A</v>
      </c>
      <c r="G400" s="4" t="str">
        <f t="shared" ref="G400:G408" si="28">IF(D400="","",LOWER(_Country_code)&amp;"."&amp;H400&amp;"."&amp;IF(I400="","all",I400)&amp;"_"&amp;J400&amp;"."&amp;IF(R400="","all",R400)&amp;"."&amp;IF(Q400="","all",Q400)&amp;"."&amp;IF(U400="","all",U400)&amp;"."&amp;IF(K400="","all",K400)&amp;"."&amp;IF(V400="","all",V400))</f>
        <v>irn.mit.airpol_cost_.all.ecy.all.usdkwh.2</v>
      </c>
      <c r="H400" s="4" t="s">
        <v>19</v>
      </c>
      <c r="I400" s="4" t="s">
        <v>122</v>
      </c>
      <c r="J400" s="4"/>
      <c r="K400" s="4" t="s">
        <v>100</v>
      </c>
      <c r="L400" s="4"/>
      <c r="M400" s="4"/>
      <c r="N400" s="4" t="s">
        <v>28</v>
      </c>
      <c r="O400" s="4"/>
      <c r="P400" s="4"/>
      <c r="Q400" s="4" t="s">
        <v>101</v>
      </c>
      <c r="R400" s="4"/>
      <c r="S400" s="4"/>
      <c r="T400" s="4"/>
      <c r="U400" s="4"/>
      <c r="V400" s="15" t="str">
        <f t="shared" ref="V400:V423" si="29">RIGHT(E400,1)</f>
        <v>2</v>
      </c>
    </row>
    <row r="401" spans="4:22" x14ac:dyDescent="0.45">
      <c r="D401" s="18" t="s">
        <v>693</v>
      </c>
      <c r="E401" s="4" t="str">
        <f>[1]Mitigation!H15237</f>
        <v>irn.mit.scc.cost.ecy.res.2</v>
      </c>
      <c r="F401" s="4" t="str">
        <f t="shared" si="27"/>
        <v>N/A</v>
      </c>
      <c r="G401" s="4" t="str">
        <f t="shared" si="28"/>
        <v>irn.mit.scc_cost_.all.ecy.all.usdkwh.2</v>
      </c>
      <c r="H401" s="4" t="s">
        <v>19</v>
      </c>
      <c r="I401" s="4" t="s">
        <v>126</v>
      </c>
      <c r="J401" s="4"/>
      <c r="K401" s="4" t="s">
        <v>100</v>
      </c>
      <c r="L401" s="4"/>
      <c r="M401" s="4"/>
      <c r="N401" s="4" t="s">
        <v>28</v>
      </c>
      <c r="O401" s="4"/>
      <c r="P401" s="4"/>
      <c r="Q401" s="4" t="s">
        <v>101</v>
      </c>
      <c r="R401" s="4"/>
      <c r="S401" s="4"/>
      <c r="T401" s="4"/>
      <c r="U401" s="4"/>
      <c r="V401" s="15" t="str">
        <f t="shared" si="29"/>
        <v>2</v>
      </c>
    </row>
    <row r="402" spans="4:22" x14ac:dyDescent="0.45">
      <c r="D402" s="18" t="s">
        <v>694</v>
      </c>
      <c r="E402" s="4" t="str">
        <f>[1]Mitigation!H15238</f>
        <v>irn.mit.vat.cost.ecy.res.2</v>
      </c>
      <c r="F402" s="4" t="str">
        <f t="shared" si="27"/>
        <v>N/A</v>
      </c>
      <c r="G402" s="4" t="str">
        <f t="shared" si="28"/>
        <v>irn.mit.vat_cost_.all.ecy.all.usdkwh.2</v>
      </c>
      <c r="H402" s="4" t="s">
        <v>19</v>
      </c>
      <c r="I402" s="4" t="s">
        <v>127</v>
      </c>
      <c r="J402" s="4"/>
      <c r="K402" s="4" t="s">
        <v>100</v>
      </c>
      <c r="L402" s="4"/>
      <c r="M402" s="4"/>
      <c r="N402" s="4" t="s">
        <v>28</v>
      </c>
      <c r="O402" s="4"/>
      <c r="P402" s="4"/>
      <c r="Q402" s="4" t="s">
        <v>101</v>
      </c>
      <c r="R402" s="4"/>
      <c r="S402" s="4"/>
      <c r="T402" s="4"/>
      <c r="U402" s="4"/>
      <c r="V402" s="15" t="str">
        <f t="shared" si="29"/>
        <v>2</v>
      </c>
    </row>
    <row r="403" spans="4:22" x14ac:dyDescent="0.45">
      <c r="D403" s="18" t="s">
        <v>695</v>
      </c>
      <c r="E403" s="4" t="str">
        <f>[1]Mitigation!H15239</f>
        <v>irn.mit.rp.ecy.res.2</v>
      </c>
      <c r="F403" s="4" t="str">
        <f t="shared" si="27"/>
        <v>N/A</v>
      </c>
      <c r="G403" s="4" t="str">
        <f t="shared" si="28"/>
        <v>irn.mit.rp_ecy_.all.ecy.all.usdkwh.2</v>
      </c>
      <c r="H403" s="4" t="s">
        <v>19</v>
      </c>
      <c r="I403" s="4" t="s">
        <v>153</v>
      </c>
      <c r="J403" s="4"/>
      <c r="K403" s="4" t="s">
        <v>100</v>
      </c>
      <c r="L403" s="4"/>
      <c r="M403" s="4"/>
      <c r="N403" s="4" t="s">
        <v>28</v>
      </c>
      <c r="O403" s="4"/>
      <c r="P403" s="4"/>
      <c r="Q403" s="4" t="s">
        <v>101</v>
      </c>
      <c r="R403" s="4"/>
      <c r="S403" s="4"/>
      <c r="T403" s="4"/>
      <c r="U403" s="4"/>
      <c r="V403" s="15" t="str">
        <f t="shared" si="29"/>
        <v>2</v>
      </c>
    </row>
    <row r="404" spans="4:22" x14ac:dyDescent="0.45">
      <c r="D404" s="18" t="s">
        <v>696</v>
      </c>
      <c r="E404" s="4" t="str">
        <f>[1]Mitigation!H15240</f>
        <v>irn.mit.tgap.ecy.res.2</v>
      </c>
      <c r="F404" s="4" t="str">
        <f t="shared" si="27"/>
        <v>N/A</v>
      </c>
      <c r="G404" s="4" t="str">
        <f t="shared" si="28"/>
        <v>irn.mit.tgap_ecy_.all.ecy.all.usdkwh.2</v>
      </c>
      <c r="H404" s="4" t="s">
        <v>19</v>
      </c>
      <c r="I404" s="4" t="s">
        <v>154</v>
      </c>
      <c r="J404" s="4"/>
      <c r="K404" s="4" t="s">
        <v>100</v>
      </c>
      <c r="L404" s="4"/>
      <c r="M404" s="4"/>
      <c r="N404" s="4" t="s">
        <v>28</v>
      </c>
      <c r="O404" s="4"/>
      <c r="P404" s="4"/>
      <c r="Q404" s="4" t="s">
        <v>101</v>
      </c>
      <c r="R404" s="4"/>
      <c r="S404" s="4"/>
      <c r="T404" s="4"/>
      <c r="U404" s="4"/>
      <c r="V404" s="15" t="str">
        <f t="shared" si="29"/>
        <v>2</v>
      </c>
    </row>
    <row r="405" spans="4:22" x14ac:dyDescent="0.45">
      <c r="D405" s="18" t="s">
        <v>697</v>
      </c>
      <c r="E405" s="4" t="str">
        <f>[1]Mitigation!H15241</f>
        <v>irn.mit.txo.res.ecy.t.1</v>
      </c>
      <c r="F405" s="4" t="str">
        <f t="shared" si="27"/>
        <v>N/A</v>
      </c>
      <c r="G405" s="4" t="str">
        <f t="shared" si="28"/>
        <v>irn.mit.txo_res_.all.ecy.all.usdkwh.1</v>
      </c>
      <c r="H405" s="4" t="s">
        <v>19</v>
      </c>
      <c r="I405" s="4" t="s">
        <v>148</v>
      </c>
      <c r="J405" s="4"/>
      <c r="K405" s="4" t="s">
        <v>100</v>
      </c>
      <c r="L405" s="4"/>
      <c r="M405" s="4"/>
      <c r="N405" s="4" t="s">
        <v>28</v>
      </c>
      <c r="O405" s="4"/>
      <c r="P405" s="4"/>
      <c r="Q405" s="4" t="s">
        <v>101</v>
      </c>
      <c r="R405" s="4"/>
      <c r="S405" s="4"/>
      <c r="T405" s="4"/>
      <c r="U405" s="4"/>
      <c r="V405" s="15" t="str">
        <f t="shared" si="29"/>
        <v>1</v>
      </c>
    </row>
    <row r="406" spans="4:22" x14ac:dyDescent="0.45">
      <c r="D406" s="18" t="s">
        <v>698</v>
      </c>
      <c r="E406" s="4" t="str">
        <f>[1]Mitigation!H15242</f>
        <v>irn.mit.txo.co2e.ecy.res.1</v>
      </c>
      <c r="F406" s="4" t="str">
        <f t="shared" si="27"/>
        <v>N/A</v>
      </c>
      <c r="G406" s="4" t="str">
        <f t="shared" si="28"/>
        <v>irn.mit.txo_co2e_.all.ecy.all.usdtonco2.1</v>
      </c>
      <c r="H406" s="4" t="s">
        <v>19</v>
      </c>
      <c r="I406" s="4" t="s">
        <v>130</v>
      </c>
      <c r="J406" s="4"/>
      <c r="K406" s="4" t="s">
        <v>131</v>
      </c>
      <c r="L406" s="4"/>
      <c r="M406" s="4"/>
      <c r="N406" s="4" t="s">
        <v>28</v>
      </c>
      <c r="O406" s="4"/>
      <c r="P406" s="4"/>
      <c r="Q406" s="4" t="s">
        <v>101</v>
      </c>
      <c r="R406" s="4"/>
      <c r="S406" s="4"/>
      <c r="T406" s="4"/>
      <c r="U406" s="4"/>
      <c r="V406" s="15" t="str">
        <f t="shared" si="29"/>
        <v>1</v>
      </c>
    </row>
    <row r="407" spans="4:22" x14ac:dyDescent="0.45">
      <c r="D407" s="18" t="s">
        <v>699</v>
      </c>
      <c r="E407" s="4" t="str">
        <f>[1]Mitigation!H15243</f>
        <v>irn.mit.pig.ecy.res.2</v>
      </c>
      <c r="F407" s="4" t="str">
        <f t="shared" si="27"/>
        <v>N/A</v>
      </c>
      <c r="G407" s="4" t="str">
        <f t="shared" si="28"/>
        <v>irn.mit.pig_ecy_.all.ecy.all.usdkwh.2</v>
      </c>
      <c r="H407" s="4" t="s">
        <v>19</v>
      </c>
      <c r="I407" s="4" t="s">
        <v>155</v>
      </c>
      <c r="J407" s="4"/>
      <c r="K407" s="4" t="s">
        <v>100</v>
      </c>
      <c r="L407" s="4"/>
      <c r="M407" s="4"/>
      <c r="N407" s="4" t="s">
        <v>28</v>
      </c>
      <c r="O407" s="4"/>
      <c r="P407" s="4"/>
      <c r="Q407" s="4" t="s">
        <v>101</v>
      </c>
      <c r="R407" s="4"/>
      <c r="S407" s="4"/>
      <c r="T407" s="4"/>
      <c r="U407" s="4"/>
      <c r="V407" s="15" t="str">
        <f t="shared" si="29"/>
        <v>2</v>
      </c>
    </row>
    <row r="408" spans="4:22" x14ac:dyDescent="0.45">
      <c r="D408" s="18" t="s">
        <v>700</v>
      </c>
      <c r="E408" s="4" t="str">
        <f>[1]Mitigation!H15245</f>
        <v>irn.mit.pig.co2e.ecy.res.2</v>
      </c>
      <c r="F408" s="4" t="str">
        <f t="shared" si="27"/>
        <v>N/A</v>
      </c>
      <c r="G408" s="4" t="str">
        <f t="shared" si="28"/>
        <v>irn.mit.pig_co2e_.all.ecy.all.usdtonco2.2</v>
      </c>
      <c r="H408" s="4" t="s">
        <v>19</v>
      </c>
      <c r="I408" s="4" t="s">
        <v>133</v>
      </c>
      <c r="J408" s="4"/>
      <c r="K408" s="4" t="s">
        <v>131</v>
      </c>
      <c r="L408" s="4"/>
      <c r="M408" s="4"/>
      <c r="N408" s="4" t="s">
        <v>28</v>
      </c>
      <c r="O408" s="4"/>
      <c r="P408" s="4"/>
      <c r="Q408" s="4" t="s">
        <v>101</v>
      </c>
      <c r="R408" s="4"/>
      <c r="S408" s="4"/>
      <c r="T408" s="4"/>
      <c r="U408" s="4"/>
      <c r="V408" s="15" t="str">
        <f t="shared" si="29"/>
        <v>2</v>
      </c>
    </row>
    <row r="409" spans="4:22" x14ac:dyDescent="0.45">
      <c r="D409" s="18" t="s">
        <v>701</v>
      </c>
      <c r="E409" s="4" t="str">
        <f>[1]Mitigation!H15251</f>
        <v>irn.mit.pig.co2e.all.all.1</v>
      </c>
      <c r="F409" s="4" t="str">
        <f t="shared" ref="F409:F423" si="30">IF(MTAct,E409&amp;"_"&amp;MSTScenarioID,"N/A")</f>
        <v>N/A</v>
      </c>
      <c r="G409" s="4" t="str">
        <f t="shared" ref="G409:G423" si="31">IF(D409="","",LOWER(_Country_code)&amp;"."&amp;H409&amp;"."&amp;IF(I409="","all",I409)&amp;"_"&amp;J409&amp;"."&amp;IF(R409="","all",R409)&amp;"."&amp;IF(Q409="","all",Q409)&amp;"."&amp;IF(U409="","all",U409)&amp;"."&amp;IF(K409="","all",K409)&amp;"."&amp;IF(V409="","all",V409))</f>
        <v>irn.mit.pig_co2e_.all.all.all.usdtonco2.1</v>
      </c>
      <c r="H409" s="4" t="s">
        <v>19</v>
      </c>
      <c r="I409" s="4" t="s">
        <v>133</v>
      </c>
      <c r="J409" s="4"/>
      <c r="K409" s="4" t="s">
        <v>131</v>
      </c>
      <c r="L409" s="4"/>
      <c r="M409" s="4"/>
      <c r="N409" s="4" t="s">
        <v>46</v>
      </c>
      <c r="O409" s="4"/>
      <c r="P409" s="4"/>
      <c r="Q409" s="4" t="s">
        <v>46</v>
      </c>
      <c r="R409" s="4"/>
      <c r="S409" s="4"/>
      <c r="T409" s="4"/>
      <c r="U409" s="4"/>
      <c r="V409" s="15" t="str">
        <f t="shared" si="29"/>
        <v>1</v>
      </c>
    </row>
    <row r="410" spans="4:22" x14ac:dyDescent="0.45">
      <c r="D410" s="18" t="s">
        <v>702</v>
      </c>
      <c r="E410" s="4" t="str">
        <f>[1]Mitigation!H15252</f>
        <v>irn.mit.pig.co2e.all.all.2</v>
      </c>
      <c r="F410" s="4" t="str">
        <f t="shared" si="30"/>
        <v>N/A</v>
      </c>
      <c r="G410" s="4" t="str">
        <f t="shared" si="31"/>
        <v>irn.mit.pig_co2e_.all.all.all.usdtonco2.2</v>
      </c>
      <c r="H410" s="4" t="s">
        <v>19</v>
      </c>
      <c r="I410" s="4" t="s">
        <v>133</v>
      </c>
      <c r="J410" s="4"/>
      <c r="K410" s="4" t="s">
        <v>131</v>
      </c>
      <c r="L410" s="4"/>
      <c r="M410" s="4"/>
      <c r="N410" s="4" t="s">
        <v>46</v>
      </c>
      <c r="O410" s="4"/>
      <c r="P410" s="4"/>
      <c r="Q410" s="4" t="s">
        <v>46</v>
      </c>
      <c r="R410" s="4"/>
      <c r="S410" s="4"/>
      <c r="T410" s="4"/>
      <c r="U410" s="4"/>
      <c r="V410" s="15" t="str">
        <f t="shared" si="29"/>
        <v>2</v>
      </c>
    </row>
    <row r="411" spans="4:22" x14ac:dyDescent="0.45">
      <c r="D411" s="18" t="str">
        <f>"Air pollution Pigouvian tax CO2 equivalent, "&amp;N411&amp;", "&amp;Q411</f>
        <v>Air pollution Pigouvian tax CO2 equivalent, all, gso</v>
      </c>
      <c r="E411" s="4" t="str">
        <f>[1]Mitigation!H15109</f>
        <v>irn.mit.app.gso.all.2</v>
      </c>
      <c r="F411" s="4" t="str">
        <f t="shared" si="30"/>
        <v>N/A</v>
      </c>
      <c r="G411" s="4" t="str">
        <f t="shared" si="31"/>
        <v>irn.mit.app_co2e_.all.gso.all.usdtonco2.2</v>
      </c>
      <c r="H411" s="4" t="s">
        <v>19</v>
      </c>
      <c r="I411" s="4" t="s">
        <v>156</v>
      </c>
      <c r="J411" s="4"/>
      <c r="K411" s="4" t="s">
        <v>131</v>
      </c>
      <c r="L411" s="4"/>
      <c r="M411" s="4"/>
      <c r="N411" s="4" t="s">
        <v>46</v>
      </c>
      <c r="O411" s="4"/>
      <c r="P411" s="4"/>
      <c r="Q411" s="4" t="s">
        <v>63</v>
      </c>
      <c r="R411" s="4"/>
      <c r="S411" s="4"/>
      <c r="T411" s="4"/>
      <c r="U411" s="4"/>
      <c r="V411" s="15" t="str">
        <f t="shared" si="29"/>
        <v>2</v>
      </c>
    </row>
    <row r="412" spans="4:22" x14ac:dyDescent="0.45">
      <c r="D412" s="18" t="str">
        <f t="shared" ref="D412:D420" si="32">"Air pollution Pigouvian tax CO2 equivalent, "&amp;N412&amp;", "&amp;Q412</f>
        <v>Air pollution Pigouvian tax CO2 equivalent, all, die</v>
      </c>
      <c r="E412" s="4" t="str">
        <f>[1]Mitigation!H15124</f>
        <v>irn.mit.app.die.all.2</v>
      </c>
      <c r="F412" s="4" t="str">
        <f t="shared" si="30"/>
        <v>N/A</v>
      </c>
      <c r="G412" s="4" t="str">
        <f t="shared" si="31"/>
        <v>irn.mit.app_co2e_.all.die.all.usdtonco2.2</v>
      </c>
      <c r="H412" s="4" t="s">
        <v>19</v>
      </c>
      <c r="I412" s="4" t="s">
        <v>156</v>
      </c>
      <c r="J412" s="4"/>
      <c r="K412" s="4" t="s">
        <v>131</v>
      </c>
      <c r="L412" s="4"/>
      <c r="M412" s="4"/>
      <c r="N412" s="4" t="s">
        <v>46</v>
      </c>
      <c r="O412" s="4"/>
      <c r="P412" s="4"/>
      <c r="Q412" s="4" t="s">
        <v>64</v>
      </c>
      <c r="R412" s="4"/>
      <c r="S412" s="4"/>
      <c r="T412" s="4"/>
      <c r="U412" s="4"/>
      <c r="V412" s="15" t="str">
        <f t="shared" si="29"/>
        <v>2</v>
      </c>
    </row>
    <row r="413" spans="4:22" x14ac:dyDescent="0.45">
      <c r="D413" s="18" t="str">
        <f t="shared" si="32"/>
        <v>Air pollution Pigouvian tax CO2 equivalent, all, lpg</v>
      </c>
      <c r="E413" s="4" t="str">
        <f>[1]Mitigation!H15136</f>
        <v>irn.mit.app.lpg.all.2</v>
      </c>
      <c r="F413" s="4" t="str">
        <f t="shared" si="30"/>
        <v>N/A</v>
      </c>
      <c r="G413" s="4" t="str">
        <f t="shared" si="31"/>
        <v>irn.mit.app_co2e_.all.lpg.all.usdtonco2.2</v>
      </c>
      <c r="H413" s="4" t="s">
        <v>19</v>
      </c>
      <c r="I413" s="4" t="s">
        <v>156</v>
      </c>
      <c r="J413" s="4"/>
      <c r="K413" s="4" t="s">
        <v>131</v>
      </c>
      <c r="L413" s="4"/>
      <c r="M413" s="4"/>
      <c r="N413" s="4" t="s">
        <v>46</v>
      </c>
      <c r="O413" s="4"/>
      <c r="P413" s="4"/>
      <c r="Q413" s="4" t="s">
        <v>65</v>
      </c>
      <c r="R413" s="4"/>
      <c r="S413" s="4"/>
      <c r="T413" s="4"/>
      <c r="U413" s="4"/>
      <c r="V413" s="15" t="str">
        <f t="shared" si="29"/>
        <v>2</v>
      </c>
    </row>
    <row r="414" spans="4:22" x14ac:dyDescent="0.45">
      <c r="D414" s="18" t="str">
        <f t="shared" si="32"/>
        <v>Air pollution Pigouvian tax CO2 equivalent, all, ker</v>
      </c>
      <c r="E414" s="4" t="str">
        <f>[1]Mitigation!H15148</f>
        <v>irn.mit.app.ker.all.2</v>
      </c>
      <c r="F414" s="4" t="str">
        <f t="shared" si="30"/>
        <v>N/A</v>
      </c>
      <c r="G414" s="4" t="str">
        <f t="shared" si="31"/>
        <v>irn.mit.app_co2e_.all.ker.all.usdtonco2.2</v>
      </c>
      <c r="H414" s="4" t="s">
        <v>19</v>
      </c>
      <c r="I414" s="4" t="s">
        <v>156</v>
      </c>
      <c r="J414" s="4"/>
      <c r="K414" s="4" t="s">
        <v>131</v>
      </c>
      <c r="L414" s="4"/>
      <c r="M414" s="4"/>
      <c r="N414" s="4" t="s">
        <v>46</v>
      </c>
      <c r="O414" s="4"/>
      <c r="P414" s="4"/>
      <c r="Q414" s="4" t="s">
        <v>66</v>
      </c>
      <c r="R414" s="4"/>
      <c r="S414" s="4"/>
      <c r="T414" s="4"/>
      <c r="U414" s="4"/>
      <c r="V414" s="15" t="str">
        <f t="shared" si="29"/>
        <v>2</v>
      </c>
    </row>
    <row r="415" spans="4:22" x14ac:dyDescent="0.45">
      <c r="D415" s="18" t="str">
        <f t="shared" si="32"/>
        <v>Air pollution Pigouvian tax CO2 equivalent, ind, coa</v>
      </c>
      <c r="E415" s="4" t="str">
        <f>[1]Mitigation!H15160</f>
        <v>irn.mit.app.coa.ind.2</v>
      </c>
      <c r="F415" s="4" t="str">
        <f t="shared" si="30"/>
        <v>N/A</v>
      </c>
      <c r="G415" s="4" t="str">
        <f t="shared" si="31"/>
        <v>irn.mit.app_co2e_.all.coa.all.usdtonco2.2</v>
      </c>
      <c r="H415" s="4" t="s">
        <v>19</v>
      </c>
      <c r="I415" s="4" t="s">
        <v>156</v>
      </c>
      <c r="J415" s="4"/>
      <c r="K415" s="4" t="s">
        <v>131</v>
      </c>
      <c r="L415" s="4"/>
      <c r="M415" s="4"/>
      <c r="N415" s="4" t="s">
        <v>29</v>
      </c>
      <c r="O415" s="4"/>
      <c r="P415" s="4"/>
      <c r="Q415" s="4" t="s">
        <v>60</v>
      </c>
      <c r="R415" s="4"/>
      <c r="S415" s="4"/>
      <c r="T415" s="4"/>
      <c r="U415" s="4"/>
      <c r="V415" s="15" t="str">
        <f t="shared" si="29"/>
        <v>2</v>
      </c>
    </row>
    <row r="416" spans="4:22" x14ac:dyDescent="0.45">
      <c r="D416" s="18" t="str">
        <f t="shared" si="32"/>
        <v>Air pollution Pigouvian tax CO2 equivalent, res, coa</v>
      </c>
      <c r="E416" s="4" t="str">
        <f>[1]Mitigation!H15172</f>
        <v>irn.mit.app.coa.res.2</v>
      </c>
      <c r="F416" s="4" t="str">
        <f t="shared" si="30"/>
        <v>N/A</v>
      </c>
      <c r="G416" s="4" t="str">
        <f t="shared" si="31"/>
        <v>irn.mit.app_co2e_.all.coa.all.usdtonco2.2</v>
      </c>
      <c r="H416" s="4" t="s">
        <v>19</v>
      </c>
      <c r="I416" s="4" t="s">
        <v>156</v>
      </c>
      <c r="J416" s="4"/>
      <c r="K416" s="4" t="s">
        <v>131</v>
      </c>
      <c r="L416" s="4"/>
      <c r="M416" s="4"/>
      <c r="N416" s="4" t="s">
        <v>28</v>
      </c>
      <c r="O416" s="4"/>
      <c r="P416" s="4"/>
      <c r="Q416" s="4" t="s">
        <v>60</v>
      </c>
      <c r="R416" s="4"/>
      <c r="S416" s="4"/>
      <c r="T416" s="4"/>
      <c r="U416" s="4"/>
      <c r="V416" s="15" t="str">
        <f t="shared" si="29"/>
        <v>2</v>
      </c>
    </row>
    <row r="417" spans="4:22" x14ac:dyDescent="0.45">
      <c r="D417" s="18" t="str">
        <f t="shared" si="32"/>
        <v>Air pollution Pigouvian tax CO2 equivalent, pow, coa</v>
      </c>
      <c r="E417" s="4" t="str">
        <f>[1]Mitigation!H15184</f>
        <v>irn.mit.app.coa.pow.2</v>
      </c>
      <c r="F417" s="4" t="str">
        <f t="shared" si="30"/>
        <v>N/A</v>
      </c>
      <c r="G417" s="4" t="str">
        <f t="shared" si="31"/>
        <v>irn.mit.app_co2e_.all.coa.all.usdtonco2.2</v>
      </c>
      <c r="H417" s="4" t="s">
        <v>19</v>
      </c>
      <c r="I417" s="4" t="s">
        <v>156</v>
      </c>
      <c r="J417" s="4"/>
      <c r="K417" s="4" t="s">
        <v>131</v>
      </c>
      <c r="L417" s="4"/>
      <c r="M417" s="4"/>
      <c r="N417" s="4" t="s">
        <v>26</v>
      </c>
      <c r="O417" s="4"/>
      <c r="P417" s="4"/>
      <c r="Q417" s="4" t="s">
        <v>60</v>
      </c>
      <c r="R417" s="4"/>
      <c r="S417" s="4"/>
      <c r="T417" s="4"/>
      <c r="U417" s="4"/>
      <c r="V417" s="15" t="str">
        <f t="shared" si="29"/>
        <v>2</v>
      </c>
    </row>
    <row r="418" spans="4:22" x14ac:dyDescent="0.45">
      <c r="D418" s="18" t="str">
        <f t="shared" si="32"/>
        <v>Air pollution Pigouvian tax CO2 equivalent, ind, nga</v>
      </c>
      <c r="E418" s="4" t="str">
        <f>[1]Mitigation!H15196</f>
        <v>irn.mit.app.nga.ind.2</v>
      </c>
      <c r="F418" s="4" t="str">
        <f t="shared" si="30"/>
        <v>N/A</v>
      </c>
      <c r="G418" s="4" t="str">
        <f t="shared" si="31"/>
        <v>irn.mit.app_co2e_.all.nga.all.usdtonco2.2</v>
      </c>
      <c r="H418" s="4" t="s">
        <v>19</v>
      </c>
      <c r="I418" s="4" t="s">
        <v>156</v>
      </c>
      <c r="J418" s="4"/>
      <c r="K418" s="4" t="s">
        <v>131</v>
      </c>
      <c r="L418" s="4"/>
      <c r="M418" s="4"/>
      <c r="N418" s="4" t="s">
        <v>29</v>
      </c>
      <c r="O418" s="4"/>
      <c r="P418" s="4"/>
      <c r="Q418" s="4" t="s">
        <v>61</v>
      </c>
      <c r="R418" s="4"/>
      <c r="S418" s="4"/>
      <c r="T418" s="4"/>
      <c r="U418" s="4"/>
      <c r="V418" s="15" t="str">
        <f t="shared" si="29"/>
        <v>2</v>
      </c>
    </row>
    <row r="419" spans="4:22" x14ac:dyDescent="0.45">
      <c r="D419" s="18" t="str">
        <f t="shared" si="32"/>
        <v>Air pollution Pigouvian tax CO2 equivalent, res, nga</v>
      </c>
      <c r="E419" s="4" t="str">
        <f>[1]Mitigation!H15208</f>
        <v>irn.mit.app.nga.res.2</v>
      </c>
      <c r="F419" s="4" t="str">
        <f t="shared" si="30"/>
        <v>N/A</v>
      </c>
      <c r="G419" s="4" t="str">
        <f t="shared" si="31"/>
        <v>irn.mit.app_co2e_.all.nga.all.usdtonco2.2</v>
      </c>
      <c r="H419" s="4" t="s">
        <v>19</v>
      </c>
      <c r="I419" s="4" t="s">
        <v>156</v>
      </c>
      <c r="J419" s="4"/>
      <c r="K419" s="4" t="s">
        <v>131</v>
      </c>
      <c r="L419" s="4"/>
      <c r="M419" s="4"/>
      <c r="N419" s="4" t="s">
        <v>28</v>
      </c>
      <c r="O419" s="4"/>
      <c r="P419" s="4"/>
      <c r="Q419" s="4" t="s">
        <v>61</v>
      </c>
      <c r="R419" s="4"/>
      <c r="S419" s="4"/>
      <c r="T419" s="4"/>
      <c r="U419" s="4"/>
      <c r="V419" s="15" t="str">
        <f t="shared" si="29"/>
        <v>2</v>
      </c>
    </row>
    <row r="420" spans="4:22" x14ac:dyDescent="0.45">
      <c r="D420" s="18" t="str">
        <f t="shared" si="32"/>
        <v>Air pollution Pigouvian tax CO2 equivalent, pow, nga</v>
      </c>
      <c r="E420" s="4" t="str">
        <f>[1]Mitigation!H15220</f>
        <v>irn.mit.app.nga.pow.2</v>
      </c>
      <c r="F420" s="4" t="str">
        <f t="shared" si="30"/>
        <v>N/A</v>
      </c>
      <c r="G420" s="4" t="str">
        <f t="shared" si="31"/>
        <v>irn.mit.app_co2e_.all.nga.all.usdtonco2.2</v>
      </c>
      <c r="H420" s="4" t="s">
        <v>19</v>
      </c>
      <c r="I420" s="4" t="s">
        <v>156</v>
      </c>
      <c r="J420" s="4"/>
      <c r="K420" s="4" t="s">
        <v>131</v>
      </c>
      <c r="L420" s="4"/>
      <c r="M420" s="4"/>
      <c r="N420" s="4" t="s">
        <v>26</v>
      </c>
      <c r="O420" s="4"/>
      <c r="P420" s="4"/>
      <c r="Q420" s="4" t="s">
        <v>61</v>
      </c>
      <c r="R420" s="4"/>
      <c r="S420" s="4"/>
      <c r="T420" s="4"/>
      <c r="U420" s="4"/>
      <c r="V420" s="15" t="str">
        <f t="shared" si="29"/>
        <v>2</v>
      </c>
    </row>
    <row r="421" spans="4:22" x14ac:dyDescent="0.45">
      <c r="D421" s="18" t="s">
        <v>703</v>
      </c>
      <c r="E421" s="4" t="str">
        <f>[1]Mitigation!H15256</f>
        <v>irn.mit.app.co2e.all.all.1</v>
      </c>
      <c r="F421" s="4" t="str">
        <f t="shared" si="30"/>
        <v>N/A</v>
      </c>
      <c r="G421" s="4" t="str">
        <f t="shared" si="31"/>
        <v>irn.mit.app_co2e_.all.all.all.usdtonco2.1</v>
      </c>
      <c r="H421" s="4" t="s">
        <v>19</v>
      </c>
      <c r="I421" s="4" t="s">
        <v>156</v>
      </c>
      <c r="J421" s="4"/>
      <c r="K421" s="4" t="s">
        <v>131</v>
      </c>
      <c r="L421" s="4"/>
      <c r="M421" s="4"/>
      <c r="N421" s="4" t="s">
        <v>46</v>
      </c>
      <c r="O421" s="4"/>
      <c r="P421" s="4"/>
      <c r="Q421" s="4" t="s">
        <v>46</v>
      </c>
      <c r="R421" s="4"/>
      <c r="S421" s="4"/>
      <c r="T421" s="4"/>
      <c r="U421" s="4"/>
      <c r="V421" s="15" t="str">
        <f t="shared" si="29"/>
        <v>1</v>
      </c>
    </row>
    <row r="422" spans="4:22" x14ac:dyDescent="0.45">
      <c r="D422" s="18" t="s">
        <v>703</v>
      </c>
      <c r="E422" s="4" t="str">
        <f>[1]Mitigation!H15257</f>
        <v>irn.mit.app.co2e.all.all.2</v>
      </c>
      <c r="F422" s="4" t="str">
        <f t="shared" si="30"/>
        <v>N/A</v>
      </c>
      <c r="G422" s="4" t="str">
        <f t="shared" si="31"/>
        <v>irn.mit.app_co2e_.all.all.all.usdtonco2.2</v>
      </c>
      <c r="H422" s="4" t="s">
        <v>19</v>
      </c>
      <c r="I422" s="4" t="s">
        <v>156</v>
      </c>
      <c r="J422" s="4"/>
      <c r="K422" s="4" t="s">
        <v>131</v>
      </c>
      <c r="L422" s="4"/>
      <c r="M422" s="4"/>
      <c r="N422" s="4" t="s">
        <v>46</v>
      </c>
      <c r="O422" s="4"/>
      <c r="P422" s="4"/>
      <c r="Q422" s="4" t="s">
        <v>46</v>
      </c>
      <c r="R422" s="4"/>
      <c r="S422" s="4"/>
      <c r="T422" s="4"/>
      <c r="U422" s="4"/>
      <c r="V422" s="15" t="str">
        <f t="shared" si="29"/>
        <v>2</v>
      </c>
    </row>
    <row r="423" spans="4:22" x14ac:dyDescent="0.45">
      <c r="D423" s="18" t="s">
        <v>704</v>
      </c>
      <c r="E423" s="4" t="str">
        <f>[1]Mitigation!H14832</f>
        <v>irn.mit.scc.1</v>
      </c>
      <c r="F423" s="4" t="str">
        <f t="shared" si="30"/>
        <v>N/A</v>
      </c>
      <c r="G423" s="4" t="str">
        <f t="shared" si="31"/>
        <v>irn.mit.sel_scc_.all.all.all.usdtonco2.1</v>
      </c>
      <c r="H423" s="4" t="s">
        <v>19</v>
      </c>
      <c r="I423" s="4" t="s">
        <v>157</v>
      </c>
      <c r="J423" s="4"/>
      <c r="K423" s="4" t="s">
        <v>131</v>
      </c>
      <c r="L423" s="4"/>
      <c r="M423" s="4"/>
      <c r="N423" s="4" t="s">
        <v>46</v>
      </c>
      <c r="O423" s="4"/>
      <c r="P423" s="4"/>
      <c r="Q423" s="4" t="s">
        <v>46</v>
      </c>
      <c r="R423" s="4"/>
      <c r="S423" s="4"/>
      <c r="T423" s="4"/>
      <c r="U423" s="4"/>
      <c r="V423" s="15" t="str">
        <f t="shared" si="29"/>
        <v>1</v>
      </c>
    </row>
    <row r="424" spans="4:22" x14ac:dyDescent="0.45">
      <c r="D424" s="2"/>
      <c r="E424" s="2"/>
      <c r="F424" s="2"/>
      <c r="G424" s="2" t="str">
        <f t="shared" ref="G424:G455" si="33">IF(D424="","",LOWER(_Country_code)&amp;"."&amp;H424&amp;"."&amp;IF(I424="","all",I424)&amp;"_"&amp;J424&amp;"."&amp;IF(R424="","all",R424)&amp;"."&amp;IF(Q424="","all",Q424)&amp;"."&amp;IF(U424="","all",U424)&amp;"."&amp;IF(K424="","all",K424)&amp;"."&amp;IF(V424="","all",V424))</f>
        <v/>
      </c>
      <c r="H424" s="2" t="s">
        <v>18</v>
      </c>
      <c r="I424" s="2"/>
      <c r="J424" s="2" t="s">
        <v>18</v>
      </c>
      <c r="K424" s="2"/>
      <c r="L424" s="2"/>
      <c r="M424" s="2"/>
      <c r="N424" s="2"/>
      <c r="O424" s="2"/>
      <c r="P424" s="2" t="str">
        <f t="shared" ref="P424:P487" si="34">L424&amp;IF(N424="",M424,N424)&amp;O424</f>
        <v/>
      </c>
      <c r="Q424" s="2"/>
      <c r="R424" s="2"/>
      <c r="S424" s="2"/>
      <c r="T424" s="2"/>
      <c r="U424" s="2" t="str">
        <f t="shared" ref="U424:U487" si="35">R424&amp;T424&amp;S424</f>
        <v/>
      </c>
      <c r="V424" s="3"/>
    </row>
    <row r="425" spans="4:22" x14ac:dyDescent="0.45">
      <c r="D425" s="44" t="s">
        <v>705</v>
      </c>
      <c r="E425" s="4" t="str">
        <f>LOWER(_Country_code)&amp;".mit.ener.con.tot."&amp;1</f>
        <v>irn.mit.ener.con.tot.1</v>
      </c>
      <c r="F425" s="4" t="str">
        <f t="shared" ref="F425:F456" si="36">IF(MTAct,E425&amp;"_"&amp;MSTScenarioID,"N/A")</f>
        <v>N/A</v>
      </c>
      <c r="G425" s="4" t="str">
        <f t="shared" si="33"/>
        <v>irn.mit.ener_all.all.all.all.ktoe.1</v>
      </c>
      <c r="H425" s="4" t="s">
        <v>19</v>
      </c>
      <c r="I425" s="4" t="s">
        <v>158</v>
      </c>
      <c r="J425" s="4" t="s">
        <v>46</v>
      </c>
      <c r="K425" s="4" t="s">
        <v>159</v>
      </c>
      <c r="L425" s="4"/>
      <c r="M425" s="4"/>
      <c r="N425" s="4"/>
      <c r="O425" s="4"/>
      <c r="P425" s="4" t="str">
        <f t="shared" si="34"/>
        <v/>
      </c>
      <c r="Q425" s="4" t="s">
        <v>46</v>
      </c>
      <c r="R425" s="4"/>
      <c r="S425" s="4"/>
      <c r="T425" s="4"/>
      <c r="U425" s="4" t="str">
        <f t="shared" si="35"/>
        <v/>
      </c>
      <c r="V425" s="7">
        <v>1</v>
      </c>
    </row>
    <row r="426" spans="4:22" x14ac:dyDescent="0.45">
      <c r="D426" s="43" t="s">
        <v>706</v>
      </c>
      <c r="E426" s="4" t="str">
        <f>LOWER(_Country_code)&amp;".mit.ener.con.coa."&amp;1</f>
        <v>irn.mit.ener.con.coa.1</v>
      </c>
      <c r="F426" s="4" t="str">
        <f t="shared" si="36"/>
        <v>N/A</v>
      </c>
      <c r="G426" s="4" t="str">
        <f t="shared" si="33"/>
        <v>irn.mit.ener_f.all.coa.all.ktoe.1</v>
      </c>
      <c r="H426" s="4" t="s">
        <v>19</v>
      </c>
      <c r="I426" s="4" t="s">
        <v>158</v>
      </c>
      <c r="J426" s="4" t="s">
        <v>59</v>
      </c>
      <c r="K426" s="4" t="s">
        <v>159</v>
      </c>
      <c r="L426" s="4"/>
      <c r="M426" s="4"/>
      <c r="N426" s="4"/>
      <c r="O426" s="4"/>
      <c r="P426" s="4" t="str">
        <f t="shared" si="34"/>
        <v/>
      </c>
      <c r="Q426" s="4" t="s">
        <v>60</v>
      </c>
      <c r="R426" s="4"/>
      <c r="S426" s="4"/>
      <c r="T426" s="4"/>
      <c r="U426" s="4" t="str">
        <f t="shared" si="35"/>
        <v/>
      </c>
      <c r="V426" s="7">
        <v>1</v>
      </c>
    </row>
    <row r="427" spans="4:22" x14ac:dyDescent="0.45">
      <c r="D427" s="43" t="s">
        <v>707</v>
      </c>
      <c r="E427" s="4" t="str">
        <f>LOWER(_Country_code)&amp;".mit.ener.con.nga."&amp;1</f>
        <v>irn.mit.ener.con.nga.1</v>
      </c>
      <c r="F427" s="4" t="str">
        <f t="shared" si="36"/>
        <v>N/A</v>
      </c>
      <c r="G427" s="4" t="str">
        <f t="shared" si="33"/>
        <v>irn.mit.ener_f.all.nga.all.ktoe.1</v>
      </c>
      <c r="H427" s="4" t="s">
        <v>19</v>
      </c>
      <c r="I427" s="4" t="s">
        <v>158</v>
      </c>
      <c r="J427" s="4" t="s">
        <v>59</v>
      </c>
      <c r="K427" s="4" t="s">
        <v>159</v>
      </c>
      <c r="L427" s="4"/>
      <c r="M427" s="4"/>
      <c r="N427" s="4"/>
      <c r="O427" s="4"/>
      <c r="P427" s="4" t="str">
        <f t="shared" si="34"/>
        <v/>
      </c>
      <c r="Q427" s="4" t="s">
        <v>61</v>
      </c>
      <c r="R427" s="4"/>
      <c r="S427" s="4"/>
      <c r="T427" s="4"/>
      <c r="U427" s="4" t="str">
        <f t="shared" si="35"/>
        <v/>
      </c>
      <c r="V427" s="7">
        <v>1</v>
      </c>
    </row>
    <row r="428" spans="4:22" x14ac:dyDescent="0.45">
      <c r="D428" s="43" t="s">
        <v>708</v>
      </c>
      <c r="E428" s="4" t="str">
        <f>LOWER(_Country_code)&amp;".mit.ener.con.oop."&amp;1</f>
        <v>irn.mit.ener.con.oop.1</v>
      </c>
      <c r="F428" s="4" t="str">
        <f t="shared" si="36"/>
        <v>N/A</v>
      </c>
      <c r="G428" s="4" t="str">
        <f t="shared" si="33"/>
        <v>irn.mit.ener_f.all.oop.all.ktoe.1</v>
      </c>
      <c r="H428" s="4" t="s">
        <v>19</v>
      </c>
      <c r="I428" s="4" t="s">
        <v>158</v>
      </c>
      <c r="J428" s="4" t="s">
        <v>59</v>
      </c>
      <c r="K428" s="4" t="s">
        <v>159</v>
      </c>
      <c r="L428" s="4"/>
      <c r="M428" s="4"/>
      <c r="N428" s="4"/>
      <c r="O428" s="4"/>
      <c r="P428" s="4" t="str">
        <f t="shared" si="34"/>
        <v/>
      </c>
      <c r="Q428" s="4" t="s">
        <v>113</v>
      </c>
      <c r="R428" s="4"/>
      <c r="S428" s="4"/>
      <c r="T428" s="4"/>
      <c r="U428" s="4" t="str">
        <f t="shared" si="35"/>
        <v/>
      </c>
      <c r="V428" s="7">
        <v>1</v>
      </c>
    </row>
    <row r="429" spans="4:22" x14ac:dyDescent="0.45">
      <c r="D429" s="43" t="s">
        <v>709</v>
      </c>
      <c r="E429" s="4" t="str">
        <f>LOWER(_Country_code)&amp;".mit.ener.con.gso."&amp;1</f>
        <v>irn.mit.ener.con.gso.1</v>
      </c>
      <c r="F429" s="4" t="str">
        <f t="shared" si="36"/>
        <v>N/A</v>
      </c>
      <c r="G429" s="4" t="str">
        <f t="shared" si="33"/>
        <v>irn.mit.ener_f.all.gso.all.ktoe.1</v>
      </c>
      <c r="H429" s="4" t="s">
        <v>19</v>
      </c>
      <c r="I429" s="4" t="s">
        <v>158</v>
      </c>
      <c r="J429" s="4" t="s">
        <v>59</v>
      </c>
      <c r="K429" s="4" t="s">
        <v>159</v>
      </c>
      <c r="L429" s="4"/>
      <c r="M429" s="4"/>
      <c r="N429" s="4"/>
      <c r="O429" s="4"/>
      <c r="P429" s="4" t="str">
        <f t="shared" si="34"/>
        <v/>
      </c>
      <c r="Q429" s="4" t="s">
        <v>63</v>
      </c>
      <c r="R429" s="4"/>
      <c r="S429" s="4"/>
      <c r="T429" s="4"/>
      <c r="U429" s="4" t="str">
        <f t="shared" si="35"/>
        <v/>
      </c>
      <c r="V429" s="7">
        <v>1</v>
      </c>
    </row>
    <row r="430" spans="4:22" x14ac:dyDescent="0.45">
      <c r="D430" s="43" t="s">
        <v>710</v>
      </c>
      <c r="E430" s="4" t="str">
        <f>LOWER(_Country_code)&amp;".mit.ener.con.die."&amp;1</f>
        <v>irn.mit.ener.con.die.1</v>
      </c>
      <c r="F430" s="4" t="str">
        <f t="shared" si="36"/>
        <v>N/A</v>
      </c>
      <c r="G430" s="4" t="str">
        <f t="shared" si="33"/>
        <v>irn.mit.ener_f.all.die.all.ktoe.1</v>
      </c>
      <c r="H430" s="4" t="s">
        <v>19</v>
      </c>
      <c r="I430" s="4" t="s">
        <v>158</v>
      </c>
      <c r="J430" s="4" t="s">
        <v>59</v>
      </c>
      <c r="K430" s="4" t="s">
        <v>159</v>
      </c>
      <c r="L430" s="4"/>
      <c r="M430" s="4"/>
      <c r="N430" s="4"/>
      <c r="O430" s="4"/>
      <c r="P430" s="4" t="str">
        <f t="shared" si="34"/>
        <v/>
      </c>
      <c r="Q430" s="4" t="s">
        <v>64</v>
      </c>
      <c r="R430" s="4"/>
      <c r="S430" s="4"/>
      <c r="T430" s="4"/>
      <c r="U430" s="4" t="str">
        <f t="shared" si="35"/>
        <v/>
      </c>
      <c r="V430" s="7">
        <v>1</v>
      </c>
    </row>
    <row r="431" spans="4:22" x14ac:dyDescent="0.45">
      <c r="D431" s="43" t="s">
        <v>711</v>
      </c>
      <c r="E431" s="4" t="str">
        <f>LOWER(_Country_code)&amp;".mit.ener.con.lpg."&amp;1</f>
        <v>irn.mit.ener.con.lpg.1</v>
      </c>
      <c r="F431" s="4" t="str">
        <f t="shared" si="36"/>
        <v>N/A</v>
      </c>
      <c r="G431" s="4" t="str">
        <f t="shared" si="33"/>
        <v>irn.mit.ener_f.all.lpg.all.ktoe.1</v>
      </c>
      <c r="H431" s="4" t="s">
        <v>19</v>
      </c>
      <c r="I431" s="4" t="s">
        <v>158</v>
      </c>
      <c r="J431" s="4" t="s">
        <v>59</v>
      </c>
      <c r="K431" s="4" t="s">
        <v>159</v>
      </c>
      <c r="L431" s="4"/>
      <c r="M431" s="4"/>
      <c r="N431" s="4"/>
      <c r="O431" s="4"/>
      <c r="P431" s="4" t="str">
        <f t="shared" si="34"/>
        <v/>
      </c>
      <c r="Q431" s="4" t="s">
        <v>65</v>
      </c>
      <c r="R431" s="4"/>
      <c r="S431" s="4"/>
      <c r="T431" s="4"/>
      <c r="U431" s="4" t="str">
        <f t="shared" si="35"/>
        <v/>
      </c>
      <c r="V431" s="7">
        <v>1</v>
      </c>
    </row>
    <row r="432" spans="4:22" x14ac:dyDescent="0.45">
      <c r="D432" s="43" t="s">
        <v>712</v>
      </c>
      <c r="E432" s="4" t="str">
        <f>LOWER(_Country_code)&amp;".mit.ener.con.ker."&amp;1</f>
        <v>irn.mit.ener.con.ker.1</v>
      </c>
      <c r="F432" s="4" t="str">
        <f t="shared" si="36"/>
        <v>N/A</v>
      </c>
      <c r="G432" s="4" t="str">
        <f t="shared" si="33"/>
        <v>irn.mit.ener_f.all.ker.all.ktoe.1</v>
      </c>
      <c r="H432" s="4" t="s">
        <v>19</v>
      </c>
      <c r="I432" s="4" t="s">
        <v>158</v>
      </c>
      <c r="J432" s="4" t="s">
        <v>59</v>
      </c>
      <c r="K432" s="4" t="s">
        <v>159</v>
      </c>
      <c r="L432" s="4"/>
      <c r="M432" s="4"/>
      <c r="N432" s="4"/>
      <c r="O432" s="4"/>
      <c r="P432" s="4" t="str">
        <f t="shared" si="34"/>
        <v/>
      </c>
      <c r="Q432" s="4" t="s">
        <v>66</v>
      </c>
      <c r="R432" s="4"/>
      <c r="S432" s="4"/>
      <c r="T432" s="4"/>
      <c r="U432" s="4" t="str">
        <f t="shared" si="35"/>
        <v/>
      </c>
      <c r="V432" s="7">
        <v>1</v>
      </c>
    </row>
    <row r="433" spans="4:22" x14ac:dyDescent="0.45">
      <c r="D433" s="43" t="s">
        <v>713</v>
      </c>
      <c r="E433" s="4" t="str">
        <f>LOWER(_Country_code)&amp;".mit.ener.con.nuc."&amp;1</f>
        <v>irn.mit.ener.con.nuc.1</v>
      </c>
      <c r="F433" s="4" t="str">
        <f t="shared" si="36"/>
        <v>N/A</v>
      </c>
      <c r="G433" s="4" t="str">
        <f t="shared" si="33"/>
        <v>irn.mit.ener_f.all.nuc.all.ktoe.1</v>
      </c>
      <c r="H433" s="4" t="s">
        <v>19</v>
      </c>
      <c r="I433" s="4" t="s">
        <v>158</v>
      </c>
      <c r="J433" s="4" t="s">
        <v>59</v>
      </c>
      <c r="K433" s="4" t="s">
        <v>159</v>
      </c>
      <c r="L433" s="4"/>
      <c r="M433" s="4"/>
      <c r="N433" s="4"/>
      <c r="O433" s="4"/>
      <c r="P433" s="4" t="str">
        <f t="shared" si="34"/>
        <v/>
      </c>
      <c r="Q433" s="4" t="s">
        <v>160</v>
      </c>
      <c r="R433" s="4"/>
      <c r="S433" s="4"/>
      <c r="T433" s="4"/>
      <c r="U433" s="4" t="str">
        <f t="shared" si="35"/>
        <v/>
      </c>
      <c r="V433" s="7">
        <v>1</v>
      </c>
    </row>
    <row r="434" spans="4:22" x14ac:dyDescent="0.45">
      <c r="D434" s="43" t="s">
        <v>714</v>
      </c>
      <c r="E434" s="4" t="str">
        <f>LOWER(_Country_code)&amp;".mit.ener.con.rnw."&amp;1</f>
        <v>irn.mit.ener.con.rnw.1</v>
      </c>
      <c r="F434" s="4" t="str">
        <f t="shared" si="36"/>
        <v>N/A</v>
      </c>
      <c r="G434" s="4" t="str">
        <f t="shared" si="33"/>
        <v>irn.mit.ener_f.all.rnw.all.ktoe.1</v>
      </c>
      <c r="H434" s="4" t="s">
        <v>19</v>
      </c>
      <c r="I434" s="4" t="s">
        <v>158</v>
      </c>
      <c r="J434" s="4" t="s">
        <v>59</v>
      </c>
      <c r="K434" s="4" t="s">
        <v>159</v>
      </c>
      <c r="L434" s="4"/>
      <c r="M434" s="4"/>
      <c r="N434" s="4"/>
      <c r="O434" s="4"/>
      <c r="P434" s="4" t="str">
        <f t="shared" si="34"/>
        <v/>
      </c>
      <c r="Q434" s="4" t="s">
        <v>161</v>
      </c>
      <c r="R434" s="4"/>
      <c r="S434" s="4"/>
      <c r="T434" s="4"/>
      <c r="U434" s="4" t="str">
        <f t="shared" si="35"/>
        <v/>
      </c>
      <c r="V434" s="7">
        <v>1</v>
      </c>
    </row>
    <row r="435" spans="4:22" x14ac:dyDescent="0.45">
      <c r="D435" s="43" t="s">
        <v>715</v>
      </c>
      <c r="E435" s="4" t="str">
        <f>LOWER(_Country_code)&amp;".mit.ener.con.bio."&amp;1</f>
        <v>irn.mit.ener.con.bio.1</v>
      </c>
      <c r="F435" s="4" t="str">
        <f t="shared" si="36"/>
        <v>N/A</v>
      </c>
      <c r="G435" s="4" t="str">
        <f t="shared" si="33"/>
        <v>irn.mit.ener_f.all.bio.all.ktoe.1</v>
      </c>
      <c r="H435" s="4" t="s">
        <v>19</v>
      </c>
      <c r="I435" s="4" t="s">
        <v>158</v>
      </c>
      <c r="J435" s="4" t="s">
        <v>59</v>
      </c>
      <c r="K435" s="4" t="s">
        <v>159</v>
      </c>
      <c r="L435" s="4"/>
      <c r="M435" s="4"/>
      <c r="N435" s="4"/>
      <c r="O435" s="4"/>
      <c r="P435" s="4" t="str">
        <f t="shared" si="34"/>
        <v/>
      </c>
      <c r="Q435" s="4" t="s">
        <v>162</v>
      </c>
      <c r="R435" s="4"/>
      <c r="S435" s="4"/>
      <c r="T435" s="4"/>
      <c r="U435" s="4" t="str">
        <f t="shared" si="35"/>
        <v/>
      </c>
      <c r="V435" s="7">
        <v>1</v>
      </c>
    </row>
    <row r="436" spans="4:22" x14ac:dyDescent="0.45">
      <c r="D436" s="44" t="s">
        <v>716</v>
      </c>
      <c r="E436" s="4" t="str">
        <f>LOWER(_Country_code)&amp;".mit.ener.con.tot."&amp;ScenarioNum</f>
        <v>irn.mit.ener.con.tot.2</v>
      </c>
      <c r="F436" s="4" t="str">
        <f t="shared" si="36"/>
        <v>N/A</v>
      </c>
      <c r="G436" s="4" t="str">
        <f t="shared" si="33"/>
        <v>irn.mit.ener_all.all.tot.all.ktoe.2</v>
      </c>
      <c r="H436" s="4" t="s">
        <v>19</v>
      </c>
      <c r="I436" s="4" t="s">
        <v>158</v>
      </c>
      <c r="J436" s="4" t="s">
        <v>46</v>
      </c>
      <c r="K436" s="4" t="s">
        <v>159</v>
      </c>
      <c r="L436" s="4"/>
      <c r="M436" s="4"/>
      <c r="N436" s="4"/>
      <c r="O436" s="4"/>
      <c r="P436" s="4" t="str">
        <f t="shared" si="34"/>
        <v/>
      </c>
      <c r="Q436" s="4" t="s">
        <v>37</v>
      </c>
      <c r="R436" s="4"/>
      <c r="S436" s="4"/>
      <c r="T436" s="4"/>
      <c r="U436" s="4" t="str">
        <f t="shared" si="35"/>
        <v/>
      </c>
      <c r="V436" s="7">
        <v>2</v>
      </c>
    </row>
    <row r="437" spans="4:22" x14ac:dyDescent="0.45">
      <c r="D437" s="43" t="s">
        <v>717</v>
      </c>
      <c r="E437" s="4" t="str">
        <f>LOWER(_Country_code)&amp;".mit.ener.con.coa."&amp;ScenarioNum</f>
        <v>irn.mit.ener.con.coa.2</v>
      </c>
      <c r="F437" s="4" t="str">
        <f t="shared" si="36"/>
        <v>N/A</v>
      </c>
      <c r="G437" s="4" t="str">
        <f t="shared" si="33"/>
        <v>irn.mit.ener_f.all.coa.all.ktoe.2</v>
      </c>
      <c r="H437" s="4" t="s">
        <v>19</v>
      </c>
      <c r="I437" s="4" t="s">
        <v>158</v>
      </c>
      <c r="J437" s="4" t="s">
        <v>59</v>
      </c>
      <c r="K437" s="4" t="s">
        <v>159</v>
      </c>
      <c r="L437" s="4"/>
      <c r="M437" s="4"/>
      <c r="N437" s="4"/>
      <c r="O437" s="4"/>
      <c r="P437" s="4" t="str">
        <f t="shared" si="34"/>
        <v/>
      </c>
      <c r="Q437" s="4" t="s">
        <v>60</v>
      </c>
      <c r="R437" s="4"/>
      <c r="S437" s="4"/>
      <c r="T437" s="4"/>
      <c r="U437" s="4" t="str">
        <f t="shared" si="35"/>
        <v/>
      </c>
      <c r="V437" s="7">
        <v>2</v>
      </c>
    </row>
    <row r="438" spans="4:22" x14ac:dyDescent="0.45">
      <c r="D438" s="43" t="s">
        <v>718</v>
      </c>
      <c r="E438" s="4" t="str">
        <f>LOWER(_Country_code)&amp;".mit.ener.con.nga."&amp;ScenarioNum</f>
        <v>irn.mit.ener.con.nga.2</v>
      </c>
      <c r="F438" s="4" t="str">
        <f t="shared" si="36"/>
        <v>N/A</v>
      </c>
      <c r="G438" s="4" t="str">
        <f t="shared" si="33"/>
        <v>irn.mit.ener_f.all.nga.all.ktoe.2</v>
      </c>
      <c r="H438" s="4" t="s">
        <v>19</v>
      </c>
      <c r="I438" s="4" t="s">
        <v>158</v>
      </c>
      <c r="J438" s="4" t="s">
        <v>59</v>
      </c>
      <c r="K438" s="4" t="s">
        <v>159</v>
      </c>
      <c r="L438" s="4"/>
      <c r="M438" s="4"/>
      <c r="N438" s="4"/>
      <c r="O438" s="4"/>
      <c r="P438" s="4" t="str">
        <f t="shared" si="34"/>
        <v/>
      </c>
      <c r="Q438" s="4" t="s">
        <v>61</v>
      </c>
      <c r="R438" s="4"/>
      <c r="S438" s="4"/>
      <c r="T438" s="4"/>
      <c r="U438" s="4" t="str">
        <f t="shared" si="35"/>
        <v/>
      </c>
      <c r="V438" s="7">
        <v>2</v>
      </c>
    </row>
    <row r="439" spans="4:22" x14ac:dyDescent="0.45">
      <c r="D439" s="43" t="s">
        <v>719</v>
      </c>
      <c r="E439" s="4" t="str">
        <f>LOWER(_Country_code)&amp;".mit.ener.con.oop."&amp;ScenarioNum</f>
        <v>irn.mit.ener.con.oop.2</v>
      </c>
      <c r="F439" s="4" t="str">
        <f t="shared" si="36"/>
        <v>N/A</v>
      </c>
      <c r="G439" s="4" t="str">
        <f t="shared" si="33"/>
        <v>irn.mit.ener_f.all.oop.all.ktoe.2</v>
      </c>
      <c r="H439" s="4" t="s">
        <v>19</v>
      </c>
      <c r="I439" s="4" t="s">
        <v>158</v>
      </c>
      <c r="J439" s="4" t="s">
        <v>59</v>
      </c>
      <c r="K439" s="4" t="s">
        <v>159</v>
      </c>
      <c r="L439" s="4"/>
      <c r="M439" s="4"/>
      <c r="N439" s="4"/>
      <c r="O439" s="4"/>
      <c r="P439" s="4" t="str">
        <f t="shared" si="34"/>
        <v/>
      </c>
      <c r="Q439" s="4" t="s">
        <v>113</v>
      </c>
      <c r="R439" s="4"/>
      <c r="S439" s="4"/>
      <c r="T439" s="4"/>
      <c r="U439" s="4" t="str">
        <f t="shared" si="35"/>
        <v/>
      </c>
      <c r="V439" s="7">
        <v>2</v>
      </c>
    </row>
    <row r="440" spans="4:22" x14ac:dyDescent="0.45">
      <c r="D440" s="43" t="s">
        <v>720</v>
      </c>
      <c r="E440" s="4" t="str">
        <f>LOWER(_Country_code)&amp;".mit.ener.con.gso."&amp;ScenarioNum</f>
        <v>irn.mit.ener.con.gso.2</v>
      </c>
      <c r="F440" s="4" t="str">
        <f t="shared" si="36"/>
        <v>N/A</v>
      </c>
      <c r="G440" s="4" t="str">
        <f t="shared" si="33"/>
        <v>irn.mit.ener_f.all.gso.all.ktoe.2</v>
      </c>
      <c r="H440" s="4" t="s">
        <v>19</v>
      </c>
      <c r="I440" s="4" t="s">
        <v>158</v>
      </c>
      <c r="J440" s="4" t="s">
        <v>59</v>
      </c>
      <c r="K440" s="4" t="s">
        <v>159</v>
      </c>
      <c r="L440" s="4"/>
      <c r="M440" s="4"/>
      <c r="N440" s="4"/>
      <c r="O440" s="4"/>
      <c r="P440" s="4" t="str">
        <f t="shared" si="34"/>
        <v/>
      </c>
      <c r="Q440" s="4" t="s">
        <v>63</v>
      </c>
      <c r="R440" s="4"/>
      <c r="S440" s="4"/>
      <c r="T440" s="4"/>
      <c r="U440" s="4" t="str">
        <f t="shared" si="35"/>
        <v/>
      </c>
      <c r="V440" s="7">
        <v>2</v>
      </c>
    </row>
    <row r="441" spans="4:22" x14ac:dyDescent="0.45">
      <c r="D441" s="43" t="s">
        <v>721</v>
      </c>
      <c r="E441" s="4" t="str">
        <f>LOWER(_Country_code)&amp;".mit.ener.con.die."&amp;ScenarioNum</f>
        <v>irn.mit.ener.con.die.2</v>
      </c>
      <c r="F441" s="4" t="str">
        <f t="shared" si="36"/>
        <v>N/A</v>
      </c>
      <c r="G441" s="4" t="str">
        <f t="shared" si="33"/>
        <v>irn.mit.ener_f.all.die.all.ktoe.2</v>
      </c>
      <c r="H441" s="4" t="s">
        <v>19</v>
      </c>
      <c r="I441" s="4" t="s">
        <v>158</v>
      </c>
      <c r="J441" s="4" t="s">
        <v>59</v>
      </c>
      <c r="K441" s="4" t="s">
        <v>159</v>
      </c>
      <c r="L441" s="4"/>
      <c r="M441" s="4"/>
      <c r="N441" s="4"/>
      <c r="O441" s="4"/>
      <c r="P441" s="4" t="str">
        <f t="shared" si="34"/>
        <v/>
      </c>
      <c r="Q441" s="4" t="s">
        <v>64</v>
      </c>
      <c r="R441" s="4"/>
      <c r="S441" s="4"/>
      <c r="T441" s="4"/>
      <c r="U441" s="4" t="str">
        <f t="shared" si="35"/>
        <v/>
      </c>
      <c r="V441" s="7">
        <v>2</v>
      </c>
    </row>
    <row r="442" spans="4:22" x14ac:dyDescent="0.45">
      <c r="D442" s="43" t="s">
        <v>722</v>
      </c>
      <c r="E442" s="4" t="str">
        <f>LOWER(_Country_code)&amp;".mit.ener.con.lpg."&amp;ScenarioNum</f>
        <v>irn.mit.ener.con.lpg.2</v>
      </c>
      <c r="F442" s="4" t="str">
        <f t="shared" si="36"/>
        <v>N/A</v>
      </c>
      <c r="G442" s="4" t="str">
        <f t="shared" si="33"/>
        <v>irn.mit.ener_f.all.lpg.all.ktoe.2</v>
      </c>
      <c r="H442" s="4" t="s">
        <v>19</v>
      </c>
      <c r="I442" s="4" t="s">
        <v>158</v>
      </c>
      <c r="J442" s="4" t="s">
        <v>59</v>
      </c>
      <c r="K442" s="4" t="s">
        <v>159</v>
      </c>
      <c r="L442" s="4"/>
      <c r="M442" s="4"/>
      <c r="N442" s="4"/>
      <c r="O442" s="4"/>
      <c r="P442" s="4" t="str">
        <f t="shared" si="34"/>
        <v/>
      </c>
      <c r="Q442" s="4" t="s">
        <v>65</v>
      </c>
      <c r="R442" s="4"/>
      <c r="S442" s="4"/>
      <c r="T442" s="4"/>
      <c r="U442" s="4" t="str">
        <f t="shared" si="35"/>
        <v/>
      </c>
      <c r="V442" s="7">
        <v>2</v>
      </c>
    </row>
    <row r="443" spans="4:22" x14ac:dyDescent="0.45">
      <c r="D443" s="43" t="s">
        <v>723</v>
      </c>
      <c r="E443" s="4" t="str">
        <f>LOWER(_Country_code)&amp;".mit.ener.con.ker."&amp;ScenarioNum</f>
        <v>irn.mit.ener.con.ker.2</v>
      </c>
      <c r="F443" s="4" t="str">
        <f t="shared" si="36"/>
        <v>N/A</v>
      </c>
      <c r="G443" s="4" t="str">
        <f t="shared" si="33"/>
        <v>irn.mit.ener_f.all.ker.all.ktoe.2</v>
      </c>
      <c r="H443" s="4" t="s">
        <v>19</v>
      </c>
      <c r="I443" s="4" t="s">
        <v>158</v>
      </c>
      <c r="J443" s="4" t="s">
        <v>59</v>
      </c>
      <c r="K443" s="4" t="s">
        <v>159</v>
      </c>
      <c r="L443" s="4"/>
      <c r="M443" s="4"/>
      <c r="N443" s="4"/>
      <c r="O443" s="4"/>
      <c r="P443" s="4" t="str">
        <f t="shared" si="34"/>
        <v/>
      </c>
      <c r="Q443" s="4" t="s">
        <v>66</v>
      </c>
      <c r="R443" s="4"/>
      <c r="S443" s="4"/>
      <c r="T443" s="4"/>
      <c r="U443" s="4" t="str">
        <f t="shared" si="35"/>
        <v/>
      </c>
      <c r="V443" s="7">
        <v>2</v>
      </c>
    </row>
    <row r="444" spans="4:22" x14ac:dyDescent="0.45">
      <c r="D444" s="43" t="s">
        <v>724</v>
      </c>
      <c r="E444" s="4" t="str">
        <f>LOWER(_Country_code)&amp;".mit.ener.con.nuc."&amp;ScenarioNum</f>
        <v>irn.mit.ener.con.nuc.2</v>
      </c>
      <c r="F444" s="4" t="str">
        <f t="shared" si="36"/>
        <v>N/A</v>
      </c>
      <c r="G444" s="4" t="str">
        <f t="shared" si="33"/>
        <v>irn.mit.ener_f.all.nuc.all.ktoe.2</v>
      </c>
      <c r="H444" s="4" t="s">
        <v>19</v>
      </c>
      <c r="I444" s="4" t="s">
        <v>158</v>
      </c>
      <c r="J444" s="4" t="s">
        <v>59</v>
      </c>
      <c r="K444" s="4" t="s">
        <v>159</v>
      </c>
      <c r="L444" s="4"/>
      <c r="M444" s="4"/>
      <c r="N444" s="4"/>
      <c r="O444" s="4"/>
      <c r="P444" s="4" t="str">
        <f t="shared" si="34"/>
        <v/>
      </c>
      <c r="Q444" s="4" t="s">
        <v>160</v>
      </c>
      <c r="R444" s="4"/>
      <c r="S444" s="4"/>
      <c r="T444" s="4"/>
      <c r="U444" s="4" t="str">
        <f t="shared" si="35"/>
        <v/>
      </c>
      <c r="V444" s="7">
        <v>2</v>
      </c>
    </row>
    <row r="445" spans="4:22" x14ac:dyDescent="0.45">
      <c r="D445" s="43" t="s">
        <v>725</v>
      </c>
      <c r="E445" s="4" t="str">
        <f>LOWER(_Country_code)&amp;".mit.ener.con.rnw."&amp;ScenarioNum</f>
        <v>irn.mit.ener.con.rnw.2</v>
      </c>
      <c r="F445" s="4" t="str">
        <f t="shared" si="36"/>
        <v>N/A</v>
      </c>
      <c r="G445" s="4" t="str">
        <f t="shared" si="33"/>
        <v>irn.mit.ener_f.all.rnw.all.ktoe.2</v>
      </c>
      <c r="H445" s="4" t="s">
        <v>19</v>
      </c>
      <c r="I445" s="4" t="s">
        <v>158</v>
      </c>
      <c r="J445" s="4" t="s">
        <v>59</v>
      </c>
      <c r="K445" s="4" t="s">
        <v>159</v>
      </c>
      <c r="L445" s="4"/>
      <c r="M445" s="4"/>
      <c r="N445" s="4"/>
      <c r="O445" s="4"/>
      <c r="P445" s="4" t="str">
        <f t="shared" si="34"/>
        <v/>
      </c>
      <c r="Q445" s="4" t="s">
        <v>161</v>
      </c>
      <c r="R445" s="4"/>
      <c r="S445" s="4"/>
      <c r="T445" s="4"/>
      <c r="U445" s="4" t="str">
        <f t="shared" si="35"/>
        <v/>
      </c>
      <c r="V445" s="7">
        <v>2</v>
      </c>
    </row>
    <row r="446" spans="4:22" x14ac:dyDescent="0.45">
      <c r="D446" s="43" t="s">
        <v>726</v>
      </c>
      <c r="E446" s="4" t="str">
        <f>LOWER(_Country_code)&amp;".mit.ener.con.bio."&amp;ScenarioNum</f>
        <v>irn.mit.ener.con.bio.2</v>
      </c>
      <c r="F446" s="4" t="str">
        <f t="shared" si="36"/>
        <v>N/A</v>
      </c>
      <c r="G446" s="4" t="str">
        <f t="shared" si="33"/>
        <v>irn.mit.ener_f.all.bio.all.ktoe.2</v>
      </c>
      <c r="H446" s="4" t="s">
        <v>19</v>
      </c>
      <c r="I446" s="4" t="s">
        <v>158</v>
      </c>
      <c r="J446" s="4" t="s">
        <v>59</v>
      </c>
      <c r="K446" s="4" t="s">
        <v>159</v>
      </c>
      <c r="L446" s="4"/>
      <c r="M446" s="4"/>
      <c r="N446" s="4"/>
      <c r="O446" s="4"/>
      <c r="P446" s="4" t="str">
        <f t="shared" si="34"/>
        <v/>
      </c>
      <c r="Q446" s="4" t="s">
        <v>162</v>
      </c>
      <c r="R446" s="4"/>
      <c r="S446" s="4"/>
      <c r="T446" s="4"/>
      <c r="U446" s="4" t="str">
        <f t="shared" si="35"/>
        <v/>
      </c>
      <c r="V446" s="7">
        <v>2</v>
      </c>
    </row>
    <row r="447" spans="4:22" x14ac:dyDescent="0.45">
      <c r="D447" s="44" t="s">
        <v>727</v>
      </c>
      <c r="E447" s="4" t="str">
        <f>LOWER(_Country_code)&amp;".mit.ener.con.coa.1"</f>
        <v>irn.mit.ener.con.coa.1</v>
      </c>
      <c r="F447" s="4" t="str">
        <f t="shared" si="36"/>
        <v>N/A</v>
      </c>
      <c r="G447" s="4" t="str">
        <f t="shared" si="33"/>
        <v>irn.mit.ener_s-f.all.coa.all.ktoe.1</v>
      </c>
      <c r="H447" s="4" t="s">
        <v>19</v>
      </c>
      <c r="I447" s="4" t="s">
        <v>158</v>
      </c>
      <c r="J447" s="4" t="s">
        <v>163</v>
      </c>
      <c r="K447" s="4" t="s">
        <v>159</v>
      </c>
      <c r="L447" s="4"/>
      <c r="M447" s="4"/>
      <c r="N447" s="4"/>
      <c r="O447" s="4"/>
      <c r="P447" s="4" t="str">
        <f t="shared" si="34"/>
        <v/>
      </c>
      <c r="Q447" s="4" t="s">
        <v>60</v>
      </c>
      <c r="R447" s="4"/>
      <c r="S447" s="4"/>
      <c r="T447" s="4"/>
      <c r="U447" s="4" t="str">
        <f t="shared" si="35"/>
        <v/>
      </c>
      <c r="V447" s="7">
        <v>1</v>
      </c>
    </row>
    <row r="448" spans="4:22" x14ac:dyDescent="0.45">
      <c r="D448" s="43" t="s">
        <v>728</v>
      </c>
      <c r="E448" s="4" t="str">
        <f>LOWER(_Country_code)&amp;".mit.ener.coa.pow.1"</f>
        <v>irn.mit.ener.coa.pow.1</v>
      </c>
      <c r="F448" s="4" t="str">
        <f t="shared" si="36"/>
        <v>N/A</v>
      </c>
      <c r="G448" s="4" t="str">
        <f t="shared" si="33"/>
        <v>irn.mit.ener_s.all.coa.all.ktoe.1</v>
      </c>
      <c r="H448" s="4" t="s">
        <v>19</v>
      </c>
      <c r="I448" s="4" t="s">
        <v>158</v>
      </c>
      <c r="J448" s="4" t="s">
        <v>67</v>
      </c>
      <c r="K448" s="4" t="s">
        <v>159</v>
      </c>
      <c r="L448" s="4"/>
      <c r="M448" s="4" t="s">
        <v>26</v>
      </c>
      <c r="N448" s="4"/>
      <c r="O448" s="4"/>
      <c r="P448" s="4" t="str">
        <f t="shared" si="34"/>
        <v>pow</v>
      </c>
      <c r="Q448" s="4" t="s">
        <v>60</v>
      </c>
      <c r="R448" s="4"/>
      <c r="S448" s="4"/>
      <c r="T448" s="4"/>
      <c r="U448" s="4" t="str">
        <f t="shared" si="35"/>
        <v/>
      </c>
      <c r="V448" s="7">
        <v>1</v>
      </c>
    </row>
    <row r="449" spans="4:22" x14ac:dyDescent="0.45">
      <c r="D449" s="43" t="s">
        <v>729</v>
      </c>
      <c r="E449" s="4" t="str">
        <f>LOWER(_Country_code)&amp;".mit.ener.coa.tra.1"</f>
        <v>irn.mit.ener.coa.tra.1</v>
      </c>
      <c r="F449" s="4" t="str">
        <f t="shared" si="36"/>
        <v>N/A</v>
      </c>
      <c r="G449" s="4" t="str">
        <f t="shared" si="33"/>
        <v>irn.mit.ener_s.all.coa.all.ktoe.1</v>
      </c>
      <c r="H449" s="4" t="s">
        <v>19</v>
      </c>
      <c r="I449" s="4" t="s">
        <v>158</v>
      </c>
      <c r="J449" s="4" t="s">
        <v>67</v>
      </c>
      <c r="K449" s="4" t="s">
        <v>159</v>
      </c>
      <c r="L449" s="4"/>
      <c r="M449" s="4" t="s">
        <v>27</v>
      </c>
      <c r="N449" s="4"/>
      <c r="O449" s="4"/>
      <c r="P449" s="4" t="str">
        <f t="shared" si="34"/>
        <v>tra</v>
      </c>
      <c r="Q449" s="4" t="s">
        <v>60</v>
      </c>
      <c r="R449" s="4"/>
      <c r="S449" s="4"/>
      <c r="T449" s="4"/>
      <c r="U449" s="4" t="str">
        <f t="shared" si="35"/>
        <v/>
      </c>
      <c r="V449" s="7">
        <v>1</v>
      </c>
    </row>
    <row r="450" spans="4:22" x14ac:dyDescent="0.45">
      <c r="D450" s="43" t="s">
        <v>730</v>
      </c>
      <c r="E450" s="4" t="str">
        <f>LOWER(_Country_code)&amp;".mit.ener.coa.res.1"</f>
        <v>irn.mit.ener.coa.res.1</v>
      </c>
      <c r="F450" s="4" t="str">
        <f t="shared" si="36"/>
        <v>N/A</v>
      </c>
      <c r="G450" s="4" t="str">
        <f t="shared" si="33"/>
        <v>irn.mit.ener_s.all.coa.all.ktoe.1</v>
      </c>
      <c r="H450" s="4" t="s">
        <v>19</v>
      </c>
      <c r="I450" s="4" t="s">
        <v>158</v>
      </c>
      <c r="J450" s="4" t="s">
        <v>67</v>
      </c>
      <c r="K450" s="4" t="s">
        <v>159</v>
      </c>
      <c r="L450" s="4"/>
      <c r="M450" s="4" t="s">
        <v>164</v>
      </c>
      <c r="N450" s="4"/>
      <c r="O450" s="4"/>
      <c r="P450" s="4" t="str">
        <f t="shared" si="34"/>
        <v>bld</v>
      </c>
      <c r="Q450" s="4" t="s">
        <v>60</v>
      </c>
      <c r="R450" s="4"/>
      <c r="S450" s="4"/>
      <c r="T450" s="4"/>
      <c r="U450" s="4" t="str">
        <f t="shared" si="35"/>
        <v/>
      </c>
      <c r="V450" s="7">
        <v>1</v>
      </c>
    </row>
    <row r="451" spans="4:22" x14ac:dyDescent="0.45">
      <c r="D451" s="43" t="s">
        <v>731</v>
      </c>
      <c r="E451" s="4" t="str">
        <f>LOWER(_Country_code)&amp;".mit.ener.coa.ind.1"</f>
        <v>irn.mit.ener.coa.ind.1</v>
      </c>
      <c r="F451" s="4" t="str">
        <f t="shared" si="36"/>
        <v>N/A</v>
      </c>
      <c r="G451" s="4" t="str">
        <f t="shared" si="33"/>
        <v>irn.mit.ener_s.all.coa.all.ktoe.1</v>
      </c>
      <c r="H451" s="4" t="s">
        <v>19</v>
      </c>
      <c r="I451" s="4" t="s">
        <v>158</v>
      </c>
      <c r="J451" s="4" t="s">
        <v>67</v>
      </c>
      <c r="K451" s="4" t="s">
        <v>159</v>
      </c>
      <c r="L451" s="4"/>
      <c r="M451" s="4" t="s">
        <v>29</v>
      </c>
      <c r="N451" s="4"/>
      <c r="O451" s="4"/>
      <c r="P451" s="4" t="str">
        <f t="shared" si="34"/>
        <v>ind</v>
      </c>
      <c r="Q451" s="4" t="s">
        <v>60</v>
      </c>
      <c r="R451" s="4"/>
      <c r="S451" s="4"/>
      <c r="T451" s="4"/>
      <c r="U451" s="4" t="str">
        <f t="shared" si="35"/>
        <v/>
      </c>
      <c r="V451" s="7">
        <v>1</v>
      </c>
    </row>
    <row r="452" spans="4:22" x14ac:dyDescent="0.45">
      <c r="D452" s="43" t="s">
        <v>732</v>
      </c>
      <c r="E452" s="4" t="str">
        <f>LOWER(_Country_code)&amp;".mit.ener.coa.oen.1"</f>
        <v>irn.mit.ener.coa.oen.1</v>
      </c>
      <c r="F452" s="4" t="str">
        <f t="shared" si="36"/>
        <v>N/A</v>
      </c>
      <c r="G452" s="4" t="str">
        <f t="shared" si="33"/>
        <v>irn.mit.ener_s.all.coa.all.ktoe.1</v>
      </c>
      <c r="H452" s="4" t="s">
        <v>19</v>
      </c>
      <c r="I452" s="4" t="s">
        <v>158</v>
      </c>
      <c r="J452" s="4" t="s">
        <v>67</v>
      </c>
      <c r="K452" s="4" t="s">
        <v>159</v>
      </c>
      <c r="L452" s="4"/>
      <c r="M452" s="4" t="s">
        <v>165</v>
      </c>
      <c r="N452" s="4"/>
      <c r="O452" s="4"/>
      <c r="P452" s="4" t="str">
        <f t="shared" si="34"/>
        <v>oen</v>
      </c>
      <c r="Q452" s="4" t="s">
        <v>60</v>
      </c>
      <c r="R452" s="4"/>
      <c r="S452" s="4"/>
      <c r="T452" s="4"/>
      <c r="U452" s="4" t="str">
        <f t="shared" si="35"/>
        <v/>
      </c>
      <c r="V452" s="7">
        <v>1</v>
      </c>
    </row>
    <row r="453" spans="4:22" x14ac:dyDescent="0.45">
      <c r="D453" s="44" t="s">
        <v>733</v>
      </c>
      <c r="E453" s="4" t="str">
        <f>LOWER(_Country_code)&amp;".mit.ener.con.nga.1"</f>
        <v>irn.mit.ener.con.nga.1</v>
      </c>
      <c r="F453" s="4" t="str">
        <f t="shared" si="36"/>
        <v>N/A</v>
      </c>
      <c r="G453" s="4" t="str">
        <f t="shared" si="33"/>
        <v>irn.mit.ener_s-f.all.nga.all.ktoe.1</v>
      </c>
      <c r="H453" s="4" t="s">
        <v>19</v>
      </c>
      <c r="I453" s="4" t="s">
        <v>158</v>
      </c>
      <c r="J453" s="4" t="s">
        <v>163</v>
      </c>
      <c r="K453" s="4" t="s">
        <v>159</v>
      </c>
      <c r="L453" s="4"/>
      <c r="M453" s="4" t="s">
        <v>37</v>
      </c>
      <c r="N453" s="4"/>
      <c r="O453" s="4"/>
      <c r="P453" s="4" t="str">
        <f t="shared" si="34"/>
        <v>tot</v>
      </c>
      <c r="Q453" s="4" t="s">
        <v>61</v>
      </c>
      <c r="R453" s="4"/>
      <c r="S453" s="4"/>
      <c r="T453" s="4"/>
      <c r="U453" s="4" t="str">
        <f t="shared" si="35"/>
        <v/>
      </c>
      <c r="V453" s="7">
        <v>1</v>
      </c>
    </row>
    <row r="454" spans="4:22" x14ac:dyDescent="0.45">
      <c r="D454" s="43" t="s">
        <v>734</v>
      </c>
      <c r="E454" s="4" t="str">
        <f>LOWER(_Country_code)&amp;".mit.ener.nga.pow.1"</f>
        <v>irn.mit.ener.nga.pow.1</v>
      </c>
      <c r="F454" s="4" t="str">
        <f t="shared" si="36"/>
        <v>N/A</v>
      </c>
      <c r="G454" s="4" t="str">
        <f t="shared" si="33"/>
        <v>irn.mit.ener_s.all.nga.all.ktoe.1</v>
      </c>
      <c r="H454" s="4" t="s">
        <v>19</v>
      </c>
      <c r="I454" s="4" t="s">
        <v>158</v>
      </c>
      <c r="J454" s="4" t="s">
        <v>67</v>
      </c>
      <c r="K454" s="4" t="s">
        <v>159</v>
      </c>
      <c r="L454" s="4"/>
      <c r="M454" s="4" t="s">
        <v>26</v>
      </c>
      <c r="N454" s="4"/>
      <c r="O454" s="4"/>
      <c r="P454" s="4" t="str">
        <f t="shared" si="34"/>
        <v>pow</v>
      </c>
      <c r="Q454" s="4" t="s">
        <v>61</v>
      </c>
      <c r="R454" s="4"/>
      <c r="S454" s="4"/>
      <c r="T454" s="4"/>
      <c r="U454" s="4" t="str">
        <f t="shared" si="35"/>
        <v/>
      </c>
      <c r="V454" s="7">
        <v>1</v>
      </c>
    </row>
    <row r="455" spans="4:22" x14ac:dyDescent="0.45">
      <c r="D455" s="43" t="s">
        <v>735</v>
      </c>
      <c r="E455" s="4" t="str">
        <f>LOWER(_Country_code)&amp;".mit.ener.nga.tra.1"</f>
        <v>irn.mit.ener.nga.tra.1</v>
      </c>
      <c r="F455" s="4" t="str">
        <f t="shared" si="36"/>
        <v>N/A</v>
      </c>
      <c r="G455" s="4" t="str">
        <f t="shared" si="33"/>
        <v>irn.mit.ener_s.all.nga.all.ktoe.1</v>
      </c>
      <c r="H455" s="4" t="s">
        <v>19</v>
      </c>
      <c r="I455" s="4" t="s">
        <v>158</v>
      </c>
      <c r="J455" s="4" t="s">
        <v>67</v>
      </c>
      <c r="K455" s="4" t="s">
        <v>159</v>
      </c>
      <c r="L455" s="4"/>
      <c r="M455" s="4" t="s">
        <v>27</v>
      </c>
      <c r="N455" s="4"/>
      <c r="O455" s="4"/>
      <c r="P455" s="4" t="str">
        <f t="shared" si="34"/>
        <v>tra</v>
      </c>
      <c r="Q455" s="4" t="s">
        <v>61</v>
      </c>
      <c r="R455" s="4"/>
      <c r="S455" s="4"/>
      <c r="T455" s="4"/>
      <c r="U455" s="4" t="str">
        <f t="shared" si="35"/>
        <v/>
      </c>
      <c r="V455" s="7">
        <v>1</v>
      </c>
    </row>
    <row r="456" spans="4:22" x14ac:dyDescent="0.45">
      <c r="D456" s="43" t="s">
        <v>736</v>
      </c>
      <c r="E456" s="4" t="str">
        <f>LOWER(_Country_code)&amp;".mit.ener.nga.res.1"</f>
        <v>irn.mit.ener.nga.res.1</v>
      </c>
      <c r="F456" s="4" t="str">
        <f t="shared" si="36"/>
        <v>N/A</v>
      </c>
      <c r="G456" s="4" t="str">
        <f t="shared" ref="G456:G475" si="37">IF(D456="","",LOWER(_Country_code)&amp;"."&amp;H456&amp;"."&amp;IF(I456="","all",I456)&amp;"_"&amp;J456&amp;"."&amp;IF(R456="","all",R456)&amp;"."&amp;IF(Q456="","all",Q456)&amp;"."&amp;IF(U456="","all",U456)&amp;"."&amp;IF(K456="","all",K456)&amp;"."&amp;IF(V456="","all",V456))</f>
        <v>irn.mit.ener_s.all.nga.all.ktoe.1</v>
      </c>
      <c r="H456" s="4" t="s">
        <v>19</v>
      </c>
      <c r="I456" s="4" t="s">
        <v>158</v>
      </c>
      <c r="J456" s="4" t="s">
        <v>67</v>
      </c>
      <c r="K456" s="4" t="s">
        <v>159</v>
      </c>
      <c r="L456" s="4"/>
      <c r="M456" s="4" t="s">
        <v>164</v>
      </c>
      <c r="N456" s="4"/>
      <c r="O456" s="4"/>
      <c r="P456" s="4" t="str">
        <f t="shared" si="34"/>
        <v>bld</v>
      </c>
      <c r="Q456" s="4" t="s">
        <v>61</v>
      </c>
      <c r="R456" s="4"/>
      <c r="S456" s="4"/>
      <c r="T456" s="4"/>
      <c r="U456" s="4" t="str">
        <f t="shared" si="35"/>
        <v/>
      </c>
      <c r="V456" s="7">
        <v>1</v>
      </c>
    </row>
    <row r="457" spans="4:22" x14ac:dyDescent="0.45">
      <c r="D457" s="43" t="s">
        <v>737</v>
      </c>
      <c r="E457" s="4" t="str">
        <f>LOWER(_Country_code)&amp;".mit.ener.nga.ind.1"</f>
        <v>irn.mit.ener.nga.ind.1</v>
      </c>
      <c r="F457" s="4" t="str">
        <f t="shared" ref="F457:F488" si="38">IF(MTAct,E457&amp;"_"&amp;MSTScenarioID,"N/A")</f>
        <v>N/A</v>
      </c>
      <c r="G457" s="4" t="str">
        <f t="shared" si="37"/>
        <v>irn.mit.ener_s.all.nga.all.ktoe.1</v>
      </c>
      <c r="H457" s="4" t="s">
        <v>19</v>
      </c>
      <c r="I457" s="4" t="s">
        <v>158</v>
      </c>
      <c r="J457" s="4" t="s">
        <v>67</v>
      </c>
      <c r="K457" s="4" t="s">
        <v>159</v>
      </c>
      <c r="L457" s="4"/>
      <c r="M457" s="4" t="s">
        <v>29</v>
      </c>
      <c r="N457" s="4"/>
      <c r="O457" s="4"/>
      <c r="P457" s="4" t="str">
        <f t="shared" si="34"/>
        <v>ind</v>
      </c>
      <c r="Q457" s="4" t="s">
        <v>61</v>
      </c>
      <c r="R457" s="4"/>
      <c r="S457" s="4"/>
      <c r="T457" s="4"/>
      <c r="U457" s="4" t="str">
        <f t="shared" si="35"/>
        <v/>
      </c>
      <c r="V457" s="7">
        <v>1</v>
      </c>
    </row>
    <row r="458" spans="4:22" x14ac:dyDescent="0.45">
      <c r="D458" s="43" t="s">
        <v>738</v>
      </c>
      <c r="E458" s="4" t="str">
        <f>LOWER(_Country_code)&amp;".mit.ener.nga.oen.1"</f>
        <v>irn.mit.ener.nga.oen.1</v>
      </c>
      <c r="F458" s="4" t="str">
        <f t="shared" si="38"/>
        <v>N/A</v>
      </c>
      <c r="G458" s="4" t="str">
        <f t="shared" si="37"/>
        <v>irn.mit.ener_s.all.nga.all.ktoe.1</v>
      </c>
      <c r="H458" s="4" t="s">
        <v>19</v>
      </c>
      <c r="I458" s="4" t="s">
        <v>158</v>
      </c>
      <c r="J458" s="4" t="s">
        <v>67</v>
      </c>
      <c r="K458" s="4" t="s">
        <v>159</v>
      </c>
      <c r="L458" s="4"/>
      <c r="M458" s="4" t="s">
        <v>165</v>
      </c>
      <c r="N458" s="4"/>
      <c r="O458" s="4"/>
      <c r="P458" s="4" t="str">
        <f t="shared" si="34"/>
        <v>oen</v>
      </c>
      <c r="Q458" s="4" t="s">
        <v>61</v>
      </c>
      <c r="R458" s="4"/>
      <c r="S458" s="4"/>
      <c r="T458" s="4"/>
      <c r="U458" s="4" t="str">
        <f t="shared" si="35"/>
        <v/>
      </c>
      <c r="V458" s="7">
        <v>1</v>
      </c>
    </row>
    <row r="459" spans="4:22" x14ac:dyDescent="0.45">
      <c r="D459" s="44" t="s">
        <v>739</v>
      </c>
      <c r="E459" s="4" t="str">
        <f>LOWER(_Country_code)&amp;".mit.ener.con.gso.1"</f>
        <v>irn.mit.ener.con.gso.1</v>
      </c>
      <c r="F459" s="4" t="str">
        <f t="shared" si="38"/>
        <v>N/A</v>
      </c>
      <c r="G459" s="4" t="str">
        <f t="shared" si="37"/>
        <v>irn.mit.ener_s-f.all.gso.all.ktoe.1</v>
      </c>
      <c r="H459" s="4" t="s">
        <v>19</v>
      </c>
      <c r="I459" s="4" t="s">
        <v>158</v>
      </c>
      <c r="J459" s="4" t="s">
        <v>163</v>
      </c>
      <c r="K459" s="4" t="s">
        <v>159</v>
      </c>
      <c r="L459" s="4"/>
      <c r="M459" s="4" t="s">
        <v>37</v>
      </c>
      <c r="N459" s="4"/>
      <c r="O459" s="4"/>
      <c r="P459" s="4" t="str">
        <f t="shared" si="34"/>
        <v>tot</v>
      </c>
      <c r="Q459" s="4" t="s">
        <v>63</v>
      </c>
      <c r="R459" s="4"/>
      <c r="S459" s="4"/>
      <c r="T459" s="4"/>
      <c r="U459" s="4" t="str">
        <f t="shared" si="35"/>
        <v/>
      </c>
      <c r="V459" s="7">
        <v>1</v>
      </c>
    </row>
    <row r="460" spans="4:22" x14ac:dyDescent="0.45">
      <c r="D460" s="43" t="s">
        <v>740</v>
      </c>
      <c r="E460" s="4" t="str">
        <f>LOWER(_Country_code)&amp;".mit.ener.gso.pow.1"</f>
        <v>irn.mit.ener.gso.pow.1</v>
      </c>
      <c r="F460" s="4" t="str">
        <f t="shared" si="38"/>
        <v>N/A</v>
      </c>
      <c r="G460" s="4" t="str">
        <f t="shared" si="37"/>
        <v>irn.mit.ener_s.all.gso.all.ktoe.1</v>
      </c>
      <c r="H460" s="4" t="s">
        <v>19</v>
      </c>
      <c r="I460" s="4" t="s">
        <v>158</v>
      </c>
      <c r="J460" s="4" t="s">
        <v>67</v>
      </c>
      <c r="K460" s="4" t="s">
        <v>159</v>
      </c>
      <c r="L460" s="4"/>
      <c r="M460" s="4" t="s">
        <v>26</v>
      </c>
      <c r="N460" s="4"/>
      <c r="O460" s="4"/>
      <c r="P460" s="4" t="str">
        <f t="shared" si="34"/>
        <v>pow</v>
      </c>
      <c r="Q460" s="4" t="s">
        <v>63</v>
      </c>
      <c r="R460" s="4"/>
      <c r="S460" s="4"/>
      <c r="T460" s="4"/>
      <c r="U460" s="4" t="str">
        <f t="shared" si="35"/>
        <v/>
      </c>
      <c r="V460" s="7">
        <v>1</v>
      </c>
    </row>
    <row r="461" spans="4:22" x14ac:dyDescent="0.45">
      <c r="D461" s="43" t="s">
        <v>741</v>
      </c>
      <c r="E461" s="4" t="str">
        <f>LOWER(_Country_code)&amp;".mit.ener.gso.tra.1"</f>
        <v>irn.mit.ener.gso.tra.1</v>
      </c>
      <c r="F461" s="4" t="str">
        <f t="shared" si="38"/>
        <v>N/A</v>
      </c>
      <c r="G461" s="4" t="str">
        <f t="shared" si="37"/>
        <v>irn.mit.ener_s.all.gso.all.ktoe.1</v>
      </c>
      <c r="H461" s="4" t="s">
        <v>19</v>
      </c>
      <c r="I461" s="4" t="s">
        <v>158</v>
      </c>
      <c r="J461" s="4" t="s">
        <v>67</v>
      </c>
      <c r="K461" s="4" t="s">
        <v>159</v>
      </c>
      <c r="L461" s="4"/>
      <c r="M461" s="4" t="s">
        <v>27</v>
      </c>
      <c r="N461" s="4"/>
      <c r="O461" s="4"/>
      <c r="P461" s="4" t="str">
        <f t="shared" si="34"/>
        <v>tra</v>
      </c>
      <c r="Q461" s="4" t="s">
        <v>63</v>
      </c>
      <c r="R461" s="4"/>
      <c r="S461" s="4"/>
      <c r="T461" s="4"/>
      <c r="U461" s="4" t="str">
        <f t="shared" si="35"/>
        <v/>
      </c>
      <c r="V461" s="7">
        <v>1</v>
      </c>
    </row>
    <row r="462" spans="4:22" x14ac:dyDescent="0.45">
      <c r="D462" s="43" t="s">
        <v>742</v>
      </c>
      <c r="E462" s="4" t="str">
        <f>LOWER(_Country_code)&amp;".mit.ener.gso.res.1"</f>
        <v>irn.mit.ener.gso.res.1</v>
      </c>
      <c r="F462" s="4" t="str">
        <f t="shared" si="38"/>
        <v>N/A</v>
      </c>
      <c r="G462" s="4" t="str">
        <f t="shared" si="37"/>
        <v>irn.mit.ener_s.all.gso.all.ktoe.1</v>
      </c>
      <c r="H462" s="4" t="s">
        <v>19</v>
      </c>
      <c r="I462" s="4" t="s">
        <v>158</v>
      </c>
      <c r="J462" s="4" t="s">
        <v>67</v>
      </c>
      <c r="K462" s="4" t="s">
        <v>159</v>
      </c>
      <c r="L462" s="4"/>
      <c r="M462" s="4" t="s">
        <v>164</v>
      </c>
      <c r="N462" s="4"/>
      <c r="O462" s="4"/>
      <c r="P462" s="4" t="str">
        <f t="shared" si="34"/>
        <v>bld</v>
      </c>
      <c r="Q462" s="4" t="s">
        <v>63</v>
      </c>
      <c r="R462" s="4"/>
      <c r="S462" s="4"/>
      <c r="T462" s="4"/>
      <c r="U462" s="4" t="str">
        <f t="shared" si="35"/>
        <v/>
      </c>
      <c r="V462" s="7">
        <v>1</v>
      </c>
    </row>
    <row r="463" spans="4:22" x14ac:dyDescent="0.45">
      <c r="D463" s="43" t="s">
        <v>743</v>
      </c>
      <c r="E463" s="4" t="str">
        <f>LOWER(_Country_code)&amp;".mit.ener.gso.ind.1"</f>
        <v>irn.mit.ener.gso.ind.1</v>
      </c>
      <c r="F463" s="4" t="str">
        <f t="shared" si="38"/>
        <v>N/A</v>
      </c>
      <c r="G463" s="4" t="str">
        <f t="shared" si="37"/>
        <v>irn.mit.ener_s.all.gso.all.ktoe.1</v>
      </c>
      <c r="H463" s="4" t="s">
        <v>19</v>
      </c>
      <c r="I463" s="4" t="s">
        <v>158</v>
      </c>
      <c r="J463" s="4" t="s">
        <v>67</v>
      </c>
      <c r="K463" s="4" t="s">
        <v>159</v>
      </c>
      <c r="L463" s="4"/>
      <c r="M463" s="4" t="s">
        <v>29</v>
      </c>
      <c r="N463" s="4"/>
      <c r="O463" s="4"/>
      <c r="P463" s="4" t="str">
        <f t="shared" si="34"/>
        <v>ind</v>
      </c>
      <c r="Q463" s="4" t="s">
        <v>63</v>
      </c>
      <c r="R463" s="4"/>
      <c r="S463" s="4"/>
      <c r="T463" s="4"/>
      <c r="U463" s="4" t="str">
        <f t="shared" si="35"/>
        <v/>
      </c>
      <c r="V463" s="7">
        <v>1</v>
      </c>
    </row>
    <row r="464" spans="4:22" x14ac:dyDescent="0.45">
      <c r="D464" s="43" t="s">
        <v>744</v>
      </c>
      <c r="E464" s="4" t="str">
        <f>LOWER(_Country_code)&amp;".mit.ener.gso.oen.1"</f>
        <v>irn.mit.ener.gso.oen.1</v>
      </c>
      <c r="F464" s="4" t="str">
        <f t="shared" si="38"/>
        <v>N/A</v>
      </c>
      <c r="G464" s="4" t="str">
        <f t="shared" si="37"/>
        <v>irn.mit.ener_s.all.gso.all.ktoe.1</v>
      </c>
      <c r="H464" s="4" t="s">
        <v>19</v>
      </c>
      <c r="I464" s="4" t="s">
        <v>158</v>
      </c>
      <c r="J464" s="4" t="s">
        <v>67</v>
      </c>
      <c r="K464" s="4" t="s">
        <v>159</v>
      </c>
      <c r="L464" s="4"/>
      <c r="M464" s="4" t="s">
        <v>165</v>
      </c>
      <c r="N464" s="4"/>
      <c r="O464" s="4"/>
      <c r="P464" s="4" t="str">
        <f t="shared" si="34"/>
        <v>oen</v>
      </c>
      <c r="Q464" s="4" t="s">
        <v>63</v>
      </c>
      <c r="R464" s="4"/>
      <c r="S464" s="4"/>
      <c r="T464" s="4"/>
      <c r="U464" s="4" t="str">
        <f t="shared" si="35"/>
        <v/>
      </c>
      <c r="V464" s="7">
        <v>1</v>
      </c>
    </row>
    <row r="465" spans="4:22" x14ac:dyDescent="0.45">
      <c r="D465" s="44" t="s">
        <v>745</v>
      </c>
      <c r="E465" s="4" t="str">
        <f>LOWER(_Country_code)&amp;".mit.ener.con.die.1"</f>
        <v>irn.mit.ener.con.die.1</v>
      </c>
      <c r="F465" s="4" t="str">
        <f t="shared" si="38"/>
        <v>N/A</v>
      </c>
      <c r="G465" s="4" t="str">
        <f t="shared" si="37"/>
        <v>irn.mit.ener_s-f.all.die.all.ktoe.1</v>
      </c>
      <c r="H465" s="4" t="s">
        <v>19</v>
      </c>
      <c r="I465" s="4" t="s">
        <v>158</v>
      </c>
      <c r="J465" s="4" t="s">
        <v>163</v>
      </c>
      <c r="K465" s="4" t="s">
        <v>159</v>
      </c>
      <c r="L465" s="4"/>
      <c r="M465" s="4" t="s">
        <v>37</v>
      </c>
      <c r="N465" s="4"/>
      <c r="O465" s="4"/>
      <c r="P465" s="4" t="str">
        <f t="shared" si="34"/>
        <v>tot</v>
      </c>
      <c r="Q465" s="4" t="s">
        <v>64</v>
      </c>
      <c r="R465" s="4"/>
      <c r="S465" s="4"/>
      <c r="T465" s="4"/>
      <c r="U465" s="4" t="str">
        <f t="shared" si="35"/>
        <v/>
      </c>
      <c r="V465" s="7">
        <v>1</v>
      </c>
    </row>
    <row r="466" spans="4:22" x14ac:dyDescent="0.45">
      <c r="D466" s="43" t="s">
        <v>746</v>
      </c>
      <c r="E466" s="4" t="str">
        <f>LOWER(_Country_code)&amp;".mit.ener.die.pow.1"</f>
        <v>irn.mit.ener.die.pow.1</v>
      </c>
      <c r="F466" s="4" t="str">
        <f t="shared" si="38"/>
        <v>N/A</v>
      </c>
      <c r="G466" s="4" t="str">
        <f t="shared" si="37"/>
        <v>irn.mit.ener_s.all.die.all.ktoe.1</v>
      </c>
      <c r="H466" s="4" t="s">
        <v>19</v>
      </c>
      <c r="I466" s="4" t="s">
        <v>158</v>
      </c>
      <c r="J466" s="4" t="s">
        <v>67</v>
      </c>
      <c r="K466" s="4" t="s">
        <v>159</v>
      </c>
      <c r="L466" s="4"/>
      <c r="M466" s="4" t="s">
        <v>26</v>
      </c>
      <c r="N466" s="4"/>
      <c r="O466" s="4"/>
      <c r="P466" s="4" t="str">
        <f t="shared" si="34"/>
        <v>pow</v>
      </c>
      <c r="Q466" s="4" t="s">
        <v>64</v>
      </c>
      <c r="R466" s="4"/>
      <c r="S466" s="4"/>
      <c r="T466" s="4"/>
      <c r="U466" s="4" t="str">
        <f t="shared" si="35"/>
        <v/>
      </c>
      <c r="V466" s="7">
        <v>1</v>
      </c>
    </row>
    <row r="467" spans="4:22" x14ac:dyDescent="0.45">
      <c r="D467" s="43" t="s">
        <v>747</v>
      </c>
      <c r="E467" s="4" t="str">
        <f>LOWER(_Country_code)&amp;".mit.ener.die.tra.1"</f>
        <v>irn.mit.ener.die.tra.1</v>
      </c>
      <c r="F467" s="4" t="str">
        <f t="shared" si="38"/>
        <v>N/A</v>
      </c>
      <c r="G467" s="4" t="str">
        <f t="shared" si="37"/>
        <v>irn.mit.ener_s.all.die.all.ktoe.1</v>
      </c>
      <c r="H467" s="4" t="s">
        <v>19</v>
      </c>
      <c r="I467" s="4" t="s">
        <v>158</v>
      </c>
      <c r="J467" s="4" t="s">
        <v>67</v>
      </c>
      <c r="K467" s="4" t="s">
        <v>159</v>
      </c>
      <c r="L467" s="4"/>
      <c r="M467" s="4" t="s">
        <v>27</v>
      </c>
      <c r="N467" s="4"/>
      <c r="O467" s="4"/>
      <c r="P467" s="4" t="str">
        <f t="shared" si="34"/>
        <v>tra</v>
      </c>
      <c r="Q467" s="4" t="s">
        <v>64</v>
      </c>
      <c r="R467" s="4"/>
      <c r="S467" s="4"/>
      <c r="T467" s="4"/>
      <c r="U467" s="4" t="str">
        <f t="shared" si="35"/>
        <v/>
      </c>
      <c r="V467" s="7">
        <v>1</v>
      </c>
    </row>
    <row r="468" spans="4:22" x14ac:dyDescent="0.45">
      <c r="D468" s="43" t="s">
        <v>748</v>
      </c>
      <c r="E468" s="4" t="str">
        <f>LOWER(_Country_code)&amp;".mit.ener.die.res.1"</f>
        <v>irn.mit.ener.die.res.1</v>
      </c>
      <c r="F468" s="4" t="str">
        <f t="shared" si="38"/>
        <v>N/A</v>
      </c>
      <c r="G468" s="4" t="str">
        <f t="shared" si="37"/>
        <v>irn.mit.ener_s.all.die.all.ktoe.1</v>
      </c>
      <c r="H468" s="4" t="s">
        <v>19</v>
      </c>
      <c r="I468" s="4" t="s">
        <v>158</v>
      </c>
      <c r="J468" s="4" t="s">
        <v>67</v>
      </c>
      <c r="K468" s="4" t="s">
        <v>159</v>
      </c>
      <c r="L468" s="4"/>
      <c r="M468" s="4" t="s">
        <v>164</v>
      </c>
      <c r="N468" s="4"/>
      <c r="O468" s="4"/>
      <c r="P468" s="4" t="str">
        <f t="shared" si="34"/>
        <v>bld</v>
      </c>
      <c r="Q468" s="4" t="s">
        <v>64</v>
      </c>
      <c r="R468" s="4"/>
      <c r="S468" s="4"/>
      <c r="T468" s="4"/>
      <c r="U468" s="4" t="str">
        <f t="shared" si="35"/>
        <v/>
      </c>
      <c r="V468" s="7">
        <v>1</v>
      </c>
    </row>
    <row r="469" spans="4:22" x14ac:dyDescent="0.45">
      <c r="D469" s="43" t="s">
        <v>749</v>
      </c>
      <c r="E469" s="4" t="str">
        <f>LOWER(_Country_code)&amp;".mit.ener.die.ind.1"</f>
        <v>irn.mit.ener.die.ind.1</v>
      </c>
      <c r="F469" s="4" t="str">
        <f t="shared" si="38"/>
        <v>N/A</v>
      </c>
      <c r="G469" s="4" t="str">
        <f t="shared" si="37"/>
        <v>irn.mit.ener_s.all.die.all.ktoe.1</v>
      </c>
      <c r="H469" s="4" t="s">
        <v>19</v>
      </c>
      <c r="I469" s="4" t="s">
        <v>158</v>
      </c>
      <c r="J469" s="4" t="s">
        <v>67</v>
      </c>
      <c r="K469" s="4" t="s">
        <v>159</v>
      </c>
      <c r="L469" s="4"/>
      <c r="M469" s="4" t="s">
        <v>29</v>
      </c>
      <c r="N469" s="4"/>
      <c r="O469" s="4"/>
      <c r="P469" s="4" t="str">
        <f t="shared" si="34"/>
        <v>ind</v>
      </c>
      <c r="Q469" s="4" t="s">
        <v>64</v>
      </c>
      <c r="R469" s="4"/>
      <c r="S469" s="4"/>
      <c r="T469" s="4"/>
      <c r="U469" s="4" t="str">
        <f t="shared" si="35"/>
        <v/>
      </c>
      <c r="V469" s="7">
        <v>1</v>
      </c>
    </row>
    <row r="470" spans="4:22" x14ac:dyDescent="0.45">
      <c r="D470" s="43" t="s">
        <v>750</v>
      </c>
      <c r="E470" s="4" t="str">
        <f>LOWER(_Country_code)&amp;".mit.ener.die.oen.1"</f>
        <v>irn.mit.ener.die.oen.1</v>
      </c>
      <c r="F470" s="4" t="str">
        <f t="shared" si="38"/>
        <v>N/A</v>
      </c>
      <c r="G470" s="4" t="str">
        <f t="shared" si="37"/>
        <v>irn.mit.ener_s.all.die.all.ktoe.1</v>
      </c>
      <c r="H470" s="4" t="s">
        <v>19</v>
      </c>
      <c r="I470" s="4" t="s">
        <v>158</v>
      </c>
      <c r="J470" s="4" t="s">
        <v>67</v>
      </c>
      <c r="K470" s="4" t="s">
        <v>159</v>
      </c>
      <c r="L470" s="4"/>
      <c r="M470" s="4" t="s">
        <v>165</v>
      </c>
      <c r="N470" s="4"/>
      <c r="O470" s="4"/>
      <c r="P470" s="4" t="str">
        <f t="shared" si="34"/>
        <v>oen</v>
      </c>
      <c r="Q470" s="4" t="s">
        <v>64</v>
      </c>
      <c r="R470" s="4"/>
      <c r="S470" s="4"/>
      <c r="T470" s="4"/>
      <c r="U470" s="4" t="str">
        <f t="shared" si="35"/>
        <v/>
      </c>
      <c r="V470" s="7">
        <v>1</v>
      </c>
    </row>
    <row r="471" spans="4:22" x14ac:dyDescent="0.45">
      <c r="D471" s="44" t="s">
        <v>751</v>
      </c>
      <c r="E471" s="4" t="str">
        <f>LOWER(_Country_code)&amp;".mit.ener.con.lpg.1"</f>
        <v>irn.mit.ener.con.lpg.1</v>
      </c>
      <c r="F471" s="4" t="str">
        <f t="shared" si="38"/>
        <v>N/A</v>
      </c>
      <c r="G471" s="4" t="str">
        <f t="shared" si="37"/>
        <v>irn.mit.ener_s-f.all.lpg.all.ktoe.1</v>
      </c>
      <c r="H471" s="4" t="s">
        <v>19</v>
      </c>
      <c r="I471" s="4" t="s">
        <v>158</v>
      </c>
      <c r="J471" s="4" t="s">
        <v>163</v>
      </c>
      <c r="K471" s="4" t="s">
        <v>159</v>
      </c>
      <c r="L471" s="4"/>
      <c r="M471" s="4" t="s">
        <v>37</v>
      </c>
      <c r="N471" s="4"/>
      <c r="O471" s="4"/>
      <c r="P471" s="4" t="str">
        <f t="shared" si="34"/>
        <v>tot</v>
      </c>
      <c r="Q471" s="4" t="s">
        <v>65</v>
      </c>
      <c r="R471" s="4"/>
      <c r="S471" s="4"/>
      <c r="T471" s="4"/>
      <c r="U471" s="4" t="str">
        <f t="shared" si="35"/>
        <v/>
      </c>
      <c r="V471" s="7">
        <v>1</v>
      </c>
    </row>
    <row r="472" spans="4:22" x14ac:dyDescent="0.45">
      <c r="D472" s="43" t="s">
        <v>752</v>
      </c>
      <c r="E472" s="4" t="str">
        <f>LOWER(_Country_code)&amp;".mit.ener.lpg.pow.1"</f>
        <v>irn.mit.ener.lpg.pow.1</v>
      </c>
      <c r="F472" s="4" t="str">
        <f t="shared" si="38"/>
        <v>N/A</v>
      </c>
      <c r="G472" s="4" t="str">
        <f t="shared" si="37"/>
        <v>irn.mit.ener_s.all.lpg.all.ktoe.1</v>
      </c>
      <c r="H472" s="4" t="s">
        <v>19</v>
      </c>
      <c r="I472" s="4" t="s">
        <v>158</v>
      </c>
      <c r="J472" s="4" t="s">
        <v>67</v>
      </c>
      <c r="K472" s="4" t="s">
        <v>159</v>
      </c>
      <c r="L472" s="4"/>
      <c r="M472" s="4" t="s">
        <v>26</v>
      </c>
      <c r="N472" s="4"/>
      <c r="O472" s="4"/>
      <c r="P472" s="4" t="str">
        <f t="shared" si="34"/>
        <v>pow</v>
      </c>
      <c r="Q472" s="4" t="s">
        <v>65</v>
      </c>
      <c r="R472" s="4"/>
      <c r="S472" s="4"/>
      <c r="T472" s="4"/>
      <c r="U472" s="4" t="str">
        <f t="shared" si="35"/>
        <v/>
      </c>
      <c r="V472" s="7">
        <v>1</v>
      </c>
    </row>
    <row r="473" spans="4:22" x14ac:dyDescent="0.45">
      <c r="D473" s="43" t="s">
        <v>753</v>
      </c>
      <c r="E473" s="4" t="str">
        <f>LOWER(_Country_code)&amp;".mit.ener.lpg.tra.1"</f>
        <v>irn.mit.ener.lpg.tra.1</v>
      </c>
      <c r="F473" s="4" t="str">
        <f t="shared" si="38"/>
        <v>N/A</v>
      </c>
      <c r="G473" s="4" t="str">
        <f t="shared" si="37"/>
        <v>irn.mit.ener_s.all.lpg.all.ktoe.1</v>
      </c>
      <c r="H473" s="4" t="s">
        <v>19</v>
      </c>
      <c r="I473" s="4" t="s">
        <v>158</v>
      </c>
      <c r="J473" s="4" t="s">
        <v>67</v>
      </c>
      <c r="K473" s="4" t="s">
        <v>159</v>
      </c>
      <c r="L473" s="4"/>
      <c r="M473" s="4" t="s">
        <v>27</v>
      </c>
      <c r="N473" s="4"/>
      <c r="O473" s="4"/>
      <c r="P473" s="4" t="str">
        <f t="shared" si="34"/>
        <v>tra</v>
      </c>
      <c r="Q473" s="4" t="s">
        <v>65</v>
      </c>
      <c r="R473" s="4"/>
      <c r="S473" s="4"/>
      <c r="T473" s="4"/>
      <c r="U473" s="4" t="str">
        <f t="shared" si="35"/>
        <v/>
      </c>
      <c r="V473" s="7">
        <v>1</v>
      </c>
    </row>
    <row r="474" spans="4:22" x14ac:dyDescent="0.45">
      <c r="D474" s="43" t="s">
        <v>754</v>
      </c>
      <c r="E474" s="4" t="str">
        <f>LOWER(_Country_code)&amp;".mit.ener.lpg.res.1"</f>
        <v>irn.mit.ener.lpg.res.1</v>
      </c>
      <c r="F474" s="4" t="str">
        <f t="shared" si="38"/>
        <v>N/A</v>
      </c>
      <c r="G474" s="4" t="str">
        <f t="shared" si="37"/>
        <v>irn.mit.ener_s.all.lpg.all.ktoe.1</v>
      </c>
      <c r="H474" s="4" t="s">
        <v>19</v>
      </c>
      <c r="I474" s="4" t="s">
        <v>158</v>
      </c>
      <c r="J474" s="4" t="s">
        <v>67</v>
      </c>
      <c r="K474" s="4" t="s">
        <v>159</v>
      </c>
      <c r="L474" s="4"/>
      <c r="M474" s="4" t="s">
        <v>164</v>
      </c>
      <c r="N474" s="4"/>
      <c r="O474" s="4"/>
      <c r="P474" s="4" t="str">
        <f t="shared" si="34"/>
        <v>bld</v>
      </c>
      <c r="Q474" s="4" t="s">
        <v>65</v>
      </c>
      <c r="R474" s="4"/>
      <c r="S474" s="4"/>
      <c r="T474" s="4"/>
      <c r="U474" s="4" t="str">
        <f t="shared" si="35"/>
        <v/>
      </c>
      <c r="V474" s="7">
        <v>1</v>
      </c>
    </row>
    <row r="475" spans="4:22" x14ac:dyDescent="0.45">
      <c r="D475" s="43" t="s">
        <v>755</v>
      </c>
      <c r="E475" s="4" t="str">
        <f>LOWER(_Country_code)&amp;".mit.ener.lpg.ind.1"</f>
        <v>irn.mit.ener.lpg.ind.1</v>
      </c>
      <c r="F475" s="4" t="str">
        <f t="shared" si="38"/>
        <v>N/A</v>
      </c>
      <c r="G475" s="4" t="str">
        <f t="shared" si="37"/>
        <v>irn.mit.ener_s.all.lpg.all.ktoe.1</v>
      </c>
      <c r="H475" s="4" t="s">
        <v>19</v>
      </c>
      <c r="I475" s="4" t="s">
        <v>158</v>
      </c>
      <c r="J475" s="4" t="s">
        <v>67</v>
      </c>
      <c r="K475" s="4" t="s">
        <v>159</v>
      </c>
      <c r="L475" s="4"/>
      <c r="M475" s="4" t="s">
        <v>29</v>
      </c>
      <c r="N475" s="4"/>
      <c r="O475" s="4"/>
      <c r="P475" s="4" t="str">
        <f t="shared" si="34"/>
        <v>ind</v>
      </c>
      <c r="Q475" s="4" t="s">
        <v>65</v>
      </c>
      <c r="R475" s="4"/>
      <c r="S475" s="4"/>
      <c r="T475" s="4"/>
      <c r="U475" s="4" t="str">
        <f t="shared" si="35"/>
        <v/>
      </c>
      <c r="V475" s="7">
        <v>1</v>
      </c>
    </row>
    <row r="476" spans="4:22" x14ac:dyDescent="0.45">
      <c r="D476" s="43" t="s">
        <v>756</v>
      </c>
      <c r="E476" s="4" t="str">
        <f>LOWER(_Country_code)&amp;".mit.ener.lpg.oen.1"</f>
        <v>irn.mit.ener.lpg.oen.1</v>
      </c>
      <c r="F476" s="4" t="str">
        <f t="shared" si="38"/>
        <v>N/A</v>
      </c>
      <c r="G476" s="4" t="str">
        <f t="shared" ref="G476:G539" si="39">IF(D476="","",LOWER(_Country_code)&amp;"."&amp;H476&amp;"."&amp;IF(I476="","all",I476)&amp;"_"&amp;J476&amp;"."&amp;IF(R476="","all",R476)&amp;"."&amp;IF(Q476="","all",Q476)&amp;"."&amp;IF(U476="","all",U476)&amp;"."&amp;IF(K476="","all",K476)&amp;"."&amp;IF(V476="","all",V476))</f>
        <v>irn.mit.ener_s.all.lpg.all.ktoe.1</v>
      </c>
      <c r="H476" s="4" t="s">
        <v>19</v>
      </c>
      <c r="I476" s="4" t="s">
        <v>158</v>
      </c>
      <c r="J476" s="4" t="s">
        <v>67</v>
      </c>
      <c r="K476" s="4" t="s">
        <v>159</v>
      </c>
      <c r="L476" s="4"/>
      <c r="M476" s="4" t="s">
        <v>165</v>
      </c>
      <c r="N476" s="4"/>
      <c r="O476" s="4"/>
      <c r="P476" s="4" t="str">
        <f t="shared" si="34"/>
        <v>oen</v>
      </c>
      <c r="Q476" s="4" t="s">
        <v>65</v>
      </c>
      <c r="R476" s="4"/>
      <c r="S476" s="4"/>
      <c r="T476" s="4"/>
      <c r="U476" s="4" t="str">
        <f t="shared" si="35"/>
        <v/>
      </c>
      <c r="V476" s="7">
        <v>1</v>
      </c>
    </row>
    <row r="477" spans="4:22" x14ac:dyDescent="0.45">
      <c r="D477" s="44" t="s">
        <v>757</v>
      </c>
      <c r="E477" s="4" t="str">
        <f>LOWER(_Country_code)&amp;".mit.ener.con.ker.1"</f>
        <v>irn.mit.ener.con.ker.1</v>
      </c>
      <c r="F477" s="4" t="str">
        <f t="shared" si="38"/>
        <v>N/A</v>
      </c>
      <c r="G477" s="4" t="str">
        <f t="shared" si="39"/>
        <v>irn.mit.ener_s-f.all.ker.all.ktoe.1</v>
      </c>
      <c r="H477" s="4" t="s">
        <v>19</v>
      </c>
      <c r="I477" s="4" t="s">
        <v>158</v>
      </c>
      <c r="J477" s="4" t="s">
        <v>163</v>
      </c>
      <c r="K477" s="4" t="s">
        <v>159</v>
      </c>
      <c r="L477" s="4"/>
      <c r="M477" s="4" t="s">
        <v>37</v>
      </c>
      <c r="N477" s="4"/>
      <c r="O477" s="4"/>
      <c r="P477" s="4" t="str">
        <f t="shared" si="34"/>
        <v>tot</v>
      </c>
      <c r="Q477" s="4" t="s">
        <v>66</v>
      </c>
      <c r="R477" s="4"/>
      <c r="S477" s="4"/>
      <c r="T477" s="4"/>
      <c r="U477" s="4" t="str">
        <f t="shared" si="35"/>
        <v/>
      </c>
      <c r="V477" s="7">
        <v>1</v>
      </c>
    </row>
    <row r="478" spans="4:22" x14ac:dyDescent="0.45">
      <c r="D478" s="43" t="s">
        <v>758</v>
      </c>
      <c r="E478" s="4" t="str">
        <f>LOWER(_Country_code)&amp;".mit.ener.ker.pow.1"</f>
        <v>irn.mit.ener.ker.pow.1</v>
      </c>
      <c r="F478" s="4" t="str">
        <f t="shared" si="38"/>
        <v>N/A</v>
      </c>
      <c r="G478" s="4" t="str">
        <f t="shared" si="39"/>
        <v>irn.mit.ener_s.all.ker.all.ktoe.1</v>
      </c>
      <c r="H478" s="4" t="s">
        <v>19</v>
      </c>
      <c r="I478" s="4" t="s">
        <v>158</v>
      </c>
      <c r="J478" s="4" t="s">
        <v>67</v>
      </c>
      <c r="K478" s="4" t="s">
        <v>159</v>
      </c>
      <c r="L478" s="4"/>
      <c r="M478" s="4" t="s">
        <v>26</v>
      </c>
      <c r="N478" s="4"/>
      <c r="O478" s="4"/>
      <c r="P478" s="4" t="str">
        <f t="shared" si="34"/>
        <v>pow</v>
      </c>
      <c r="Q478" s="4" t="s">
        <v>66</v>
      </c>
      <c r="R478" s="4"/>
      <c r="S478" s="4"/>
      <c r="T478" s="4"/>
      <c r="U478" s="4" t="str">
        <f t="shared" si="35"/>
        <v/>
      </c>
      <c r="V478" s="7">
        <v>1</v>
      </c>
    </row>
    <row r="479" spans="4:22" x14ac:dyDescent="0.45">
      <c r="D479" s="43" t="s">
        <v>759</v>
      </c>
      <c r="E479" s="4" t="str">
        <f>LOWER(_Country_code)&amp;".mit.ener.ker.tra.1"</f>
        <v>irn.mit.ener.ker.tra.1</v>
      </c>
      <c r="F479" s="4" t="str">
        <f t="shared" si="38"/>
        <v>N/A</v>
      </c>
      <c r="G479" s="4" t="str">
        <f t="shared" si="39"/>
        <v>irn.mit.ener_s.all.ker.all.ktoe.1</v>
      </c>
      <c r="H479" s="4" t="s">
        <v>19</v>
      </c>
      <c r="I479" s="4" t="s">
        <v>158</v>
      </c>
      <c r="J479" s="4" t="s">
        <v>67</v>
      </c>
      <c r="K479" s="4" t="s">
        <v>159</v>
      </c>
      <c r="L479" s="4"/>
      <c r="M479" s="4" t="s">
        <v>27</v>
      </c>
      <c r="N479" s="4"/>
      <c r="O479" s="4"/>
      <c r="P479" s="4" t="str">
        <f t="shared" si="34"/>
        <v>tra</v>
      </c>
      <c r="Q479" s="4" t="s">
        <v>66</v>
      </c>
      <c r="R479" s="4"/>
      <c r="S479" s="4"/>
      <c r="T479" s="4"/>
      <c r="U479" s="4" t="str">
        <f t="shared" si="35"/>
        <v/>
      </c>
      <c r="V479" s="7">
        <v>1</v>
      </c>
    </row>
    <row r="480" spans="4:22" x14ac:dyDescent="0.45">
      <c r="D480" s="43" t="s">
        <v>760</v>
      </c>
      <c r="E480" s="4" t="str">
        <f>LOWER(_Country_code)&amp;".mit.ener.ker.res.1"</f>
        <v>irn.mit.ener.ker.res.1</v>
      </c>
      <c r="F480" s="4" t="str">
        <f t="shared" si="38"/>
        <v>N/A</v>
      </c>
      <c r="G480" s="4" t="str">
        <f t="shared" si="39"/>
        <v>irn.mit.ener_s.all.ker.all.ktoe.1</v>
      </c>
      <c r="H480" s="4" t="s">
        <v>19</v>
      </c>
      <c r="I480" s="4" t="s">
        <v>158</v>
      </c>
      <c r="J480" s="4" t="s">
        <v>67</v>
      </c>
      <c r="K480" s="4" t="s">
        <v>159</v>
      </c>
      <c r="L480" s="4"/>
      <c r="M480" s="4" t="s">
        <v>164</v>
      </c>
      <c r="N480" s="4"/>
      <c r="O480" s="4"/>
      <c r="P480" s="4" t="str">
        <f t="shared" si="34"/>
        <v>bld</v>
      </c>
      <c r="Q480" s="4" t="s">
        <v>66</v>
      </c>
      <c r="R480" s="4"/>
      <c r="S480" s="4"/>
      <c r="T480" s="4"/>
      <c r="U480" s="4" t="str">
        <f t="shared" si="35"/>
        <v/>
      </c>
      <c r="V480" s="7">
        <v>1</v>
      </c>
    </row>
    <row r="481" spans="4:22" x14ac:dyDescent="0.45">
      <c r="D481" s="43" t="s">
        <v>761</v>
      </c>
      <c r="E481" s="4" t="str">
        <f>LOWER(_Country_code)&amp;".mit.ener.ker.ind.1"</f>
        <v>irn.mit.ener.ker.ind.1</v>
      </c>
      <c r="F481" s="4" t="str">
        <f t="shared" si="38"/>
        <v>N/A</v>
      </c>
      <c r="G481" s="4" t="str">
        <f t="shared" si="39"/>
        <v>irn.mit.ener_s.all.ker.all.ktoe.1</v>
      </c>
      <c r="H481" s="4" t="s">
        <v>19</v>
      </c>
      <c r="I481" s="4" t="s">
        <v>158</v>
      </c>
      <c r="J481" s="4" t="s">
        <v>67</v>
      </c>
      <c r="K481" s="4" t="s">
        <v>159</v>
      </c>
      <c r="L481" s="4"/>
      <c r="M481" s="4" t="s">
        <v>29</v>
      </c>
      <c r="N481" s="4"/>
      <c r="O481" s="4"/>
      <c r="P481" s="4" t="str">
        <f t="shared" si="34"/>
        <v>ind</v>
      </c>
      <c r="Q481" s="4" t="s">
        <v>66</v>
      </c>
      <c r="R481" s="4"/>
      <c r="S481" s="4"/>
      <c r="T481" s="4"/>
      <c r="U481" s="4" t="str">
        <f t="shared" si="35"/>
        <v/>
      </c>
      <c r="V481" s="7">
        <v>1</v>
      </c>
    </row>
    <row r="482" spans="4:22" x14ac:dyDescent="0.45">
      <c r="D482" s="43" t="s">
        <v>762</v>
      </c>
      <c r="E482" s="4" t="str">
        <f>LOWER(_Country_code)&amp;".mit.ener.ker.oen.1"</f>
        <v>irn.mit.ener.ker.oen.1</v>
      </c>
      <c r="F482" s="4" t="str">
        <f t="shared" si="38"/>
        <v>N/A</v>
      </c>
      <c r="G482" s="4" t="str">
        <f t="shared" si="39"/>
        <v>irn.mit.ener_s.all.ker.all.ktoe.1</v>
      </c>
      <c r="H482" s="4" t="s">
        <v>19</v>
      </c>
      <c r="I482" s="4" t="s">
        <v>158</v>
      </c>
      <c r="J482" s="4" t="s">
        <v>67</v>
      </c>
      <c r="K482" s="4" t="s">
        <v>159</v>
      </c>
      <c r="L482" s="4"/>
      <c r="M482" s="4" t="s">
        <v>165</v>
      </c>
      <c r="N482" s="4"/>
      <c r="O482" s="4"/>
      <c r="P482" s="4" t="str">
        <f t="shared" si="34"/>
        <v>oen</v>
      </c>
      <c r="Q482" s="4" t="s">
        <v>66</v>
      </c>
      <c r="R482" s="4"/>
      <c r="S482" s="4"/>
      <c r="T482" s="4"/>
      <c r="U482" s="4" t="str">
        <f t="shared" si="35"/>
        <v/>
      </c>
      <c r="V482" s="7">
        <v>1</v>
      </c>
    </row>
    <row r="483" spans="4:22" x14ac:dyDescent="0.45">
      <c r="D483" s="44" t="s">
        <v>763</v>
      </c>
      <c r="E483" s="4" t="str">
        <f>LOWER(_Country_code)&amp;".mit.ener.con.oop.1"</f>
        <v>irn.mit.ener.con.oop.1</v>
      </c>
      <c r="F483" s="4" t="str">
        <f t="shared" si="38"/>
        <v>N/A</v>
      </c>
      <c r="G483" s="4" t="str">
        <f t="shared" si="39"/>
        <v>irn.mit.ener_s-f.all.oop.all.ktoe.1</v>
      </c>
      <c r="H483" s="4" t="s">
        <v>19</v>
      </c>
      <c r="I483" s="4" t="s">
        <v>158</v>
      </c>
      <c r="J483" s="4" t="s">
        <v>163</v>
      </c>
      <c r="K483" s="4" t="s">
        <v>159</v>
      </c>
      <c r="L483" s="4"/>
      <c r="M483" s="4" t="s">
        <v>37</v>
      </c>
      <c r="N483" s="4"/>
      <c r="O483" s="4"/>
      <c r="P483" s="4" t="str">
        <f t="shared" si="34"/>
        <v>tot</v>
      </c>
      <c r="Q483" s="4" t="s">
        <v>113</v>
      </c>
      <c r="R483" s="4"/>
      <c r="S483" s="4"/>
      <c r="T483" s="4"/>
      <c r="U483" s="4" t="str">
        <f t="shared" si="35"/>
        <v/>
      </c>
      <c r="V483" s="7">
        <v>1</v>
      </c>
    </row>
    <row r="484" spans="4:22" x14ac:dyDescent="0.45">
      <c r="D484" s="43" t="s">
        <v>764</v>
      </c>
      <c r="E484" s="4" t="str">
        <f>LOWER(_Country_code)&amp;".mit.ener.oop.pow.1"</f>
        <v>irn.mit.ener.oop.pow.1</v>
      </c>
      <c r="F484" s="4" t="str">
        <f t="shared" si="38"/>
        <v>N/A</v>
      </c>
      <c r="G484" s="4" t="str">
        <f t="shared" si="39"/>
        <v>irn.mit.ener_s.all.oop.all.ktoe.1</v>
      </c>
      <c r="H484" s="4" t="s">
        <v>19</v>
      </c>
      <c r="I484" s="4" t="s">
        <v>158</v>
      </c>
      <c r="J484" s="4" t="s">
        <v>67</v>
      </c>
      <c r="K484" s="4" t="s">
        <v>159</v>
      </c>
      <c r="L484" s="4"/>
      <c r="M484" s="4" t="s">
        <v>26</v>
      </c>
      <c r="N484" s="4"/>
      <c r="O484" s="4"/>
      <c r="P484" s="4" t="str">
        <f t="shared" si="34"/>
        <v>pow</v>
      </c>
      <c r="Q484" s="4" t="s">
        <v>113</v>
      </c>
      <c r="R484" s="4"/>
      <c r="S484" s="4"/>
      <c r="T484" s="4"/>
      <c r="U484" s="4" t="str">
        <f t="shared" si="35"/>
        <v/>
      </c>
      <c r="V484" s="7">
        <v>1</v>
      </c>
    </row>
    <row r="485" spans="4:22" x14ac:dyDescent="0.45">
      <c r="D485" s="43" t="s">
        <v>765</v>
      </c>
      <c r="E485" s="4" t="str">
        <f>LOWER(_Country_code)&amp;".mit.ener.oop.tra.1"</f>
        <v>irn.mit.ener.oop.tra.1</v>
      </c>
      <c r="F485" s="4" t="str">
        <f t="shared" si="38"/>
        <v>N/A</v>
      </c>
      <c r="G485" s="4" t="str">
        <f t="shared" si="39"/>
        <v>irn.mit.ener_s.all.oop.all.ktoe.1</v>
      </c>
      <c r="H485" s="4" t="s">
        <v>19</v>
      </c>
      <c r="I485" s="4" t="s">
        <v>158</v>
      </c>
      <c r="J485" s="4" t="s">
        <v>67</v>
      </c>
      <c r="K485" s="4" t="s">
        <v>159</v>
      </c>
      <c r="L485" s="4"/>
      <c r="M485" s="4" t="s">
        <v>27</v>
      </c>
      <c r="N485" s="4"/>
      <c r="O485" s="4"/>
      <c r="P485" s="4" t="str">
        <f t="shared" si="34"/>
        <v>tra</v>
      </c>
      <c r="Q485" s="4" t="s">
        <v>113</v>
      </c>
      <c r="R485" s="4"/>
      <c r="S485" s="4"/>
      <c r="T485" s="4"/>
      <c r="U485" s="4" t="str">
        <f t="shared" si="35"/>
        <v/>
      </c>
      <c r="V485" s="7">
        <v>1</v>
      </c>
    </row>
    <row r="486" spans="4:22" x14ac:dyDescent="0.45">
      <c r="D486" s="43" t="s">
        <v>766</v>
      </c>
      <c r="E486" s="4" t="str">
        <f>LOWER(_Country_code)&amp;".mit.ener.oop.res.1"</f>
        <v>irn.mit.ener.oop.res.1</v>
      </c>
      <c r="F486" s="4" t="str">
        <f t="shared" si="38"/>
        <v>N/A</v>
      </c>
      <c r="G486" s="4" t="str">
        <f t="shared" si="39"/>
        <v>irn.mit.ener_s.all.oop.all.ktoe.1</v>
      </c>
      <c r="H486" s="4" t="s">
        <v>19</v>
      </c>
      <c r="I486" s="4" t="s">
        <v>158</v>
      </c>
      <c r="J486" s="4" t="s">
        <v>67</v>
      </c>
      <c r="K486" s="4" t="s">
        <v>159</v>
      </c>
      <c r="L486" s="4"/>
      <c r="M486" s="4" t="s">
        <v>164</v>
      </c>
      <c r="N486" s="4"/>
      <c r="O486" s="4"/>
      <c r="P486" s="4" t="str">
        <f t="shared" si="34"/>
        <v>bld</v>
      </c>
      <c r="Q486" s="4" t="s">
        <v>113</v>
      </c>
      <c r="R486" s="4"/>
      <c r="S486" s="4"/>
      <c r="T486" s="4"/>
      <c r="U486" s="4" t="str">
        <f t="shared" si="35"/>
        <v/>
      </c>
      <c r="V486" s="7">
        <v>1</v>
      </c>
    </row>
    <row r="487" spans="4:22" x14ac:dyDescent="0.45">
      <c r="D487" s="43" t="s">
        <v>767</v>
      </c>
      <c r="E487" s="4" t="str">
        <f>LOWER(_Country_code)&amp;".mit.ener.oop.ind.1"</f>
        <v>irn.mit.ener.oop.ind.1</v>
      </c>
      <c r="F487" s="4" t="str">
        <f t="shared" si="38"/>
        <v>N/A</v>
      </c>
      <c r="G487" s="4" t="str">
        <f t="shared" si="39"/>
        <v>irn.mit.ener_s.all.oop.all.ktoe.1</v>
      </c>
      <c r="H487" s="4" t="s">
        <v>19</v>
      </c>
      <c r="I487" s="4" t="s">
        <v>158</v>
      </c>
      <c r="J487" s="4" t="s">
        <v>67</v>
      </c>
      <c r="K487" s="4" t="s">
        <v>159</v>
      </c>
      <c r="L487" s="4"/>
      <c r="M487" s="4" t="s">
        <v>29</v>
      </c>
      <c r="N487" s="4"/>
      <c r="O487" s="4"/>
      <c r="P487" s="4" t="str">
        <f t="shared" si="34"/>
        <v>ind</v>
      </c>
      <c r="Q487" s="4" t="s">
        <v>113</v>
      </c>
      <c r="R487" s="4"/>
      <c r="S487" s="4"/>
      <c r="T487" s="4"/>
      <c r="U487" s="4" t="str">
        <f t="shared" si="35"/>
        <v/>
      </c>
      <c r="V487" s="7">
        <v>1</v>
      </c>
    </row>
    <row r="488" spans="4:22" x14ac:dyDescent="0.45">
      <c r="D488" s="43" t="s">
        <v>768</v>
      </c>
      <c r="E488" s="4" t="str">
        <f>LOWER(_Country_code)&amp;".mit.ener.oop.oen.1"</f>
        <v>irn.mit.ener.oop.oen.1</v>
      </c>
      <c r="F488" s="4" t="str">
        <f t="shared" si="38"/>
        <v>N/A</v>
      </c>
      <c r="G488" s="4" t="str">
        <f t="shared" si="39"/>
        <v>irn.mit.ener_s.all.oop.all.ktoe.1</v>
      </c>
      <c r="H488" s="4" t="s">
        <v>19</v>
      </c>
      <c r="I488" s="4" t="s">
        <v>158</v>
      </c>
      <c r="J488" s="4" t="s">
        <v>67</v>
      </c>
      <c r="K488" s="4" t="s">
        <v>159</v>
      </c>
      <c r="L488" s="4"/>
      <c r="M488" s="4" t="s">
        <v>165</v>
      </c>
      <c r="N488" s="4"/>
      <c r="O488" s="4"/>
      <c r="P488" s="4" t="str">
        <f t="shared" ref="P488:P551" si="40">L488&amp;IF(N488="",M488,N488)&amp;O488</f>
        <v>oen</v>
      </c>
      <c r="Q488" s="4" t="s">
        <v>113</v>
      </c>
      <c r="R488" s="4"/>
      <c r="S488" s="4"/>
      <c r="T488" s="4"/>
      <c r="U488" s="4" t="str">
        <f t="shared" ref="U488:U551" si="41">R488&amp;T488&amp;S488</f>
        <v/>
      </c>
      <c r="V488" s="7">
        <v>1</v>
      </c>
    </row>
    <row r="489" spans="4:22" x14ac:dyDescent="0.45">
      <c r="D489" s="44" t="s">
        <v>769</v>
      </c>
      <c r="E489" s="4" t="str">
        <f>LOWER(_Country_code)&amp;".mit.ener.tot.tot.1"</f>
        <v>irn.mit.ener.tot.tot.1</v>
      </c>
      <c r="F489" s="4" t="str">
        <f t="shared" ref="F489:F520" si="42">IF(MTAct,E489&amp;"_"&amp;MSTScenarioID,"N/A")</f>
        <v>N/A</v>
      </c>
      <c r="G489" s="4" t="str">
        <f t="shared" si="39"/>
        <v>irn.mit.ener_all.all.tot.all.ktoe.1</v>
      </c>
      <c r="H489" s="4" t="s">
        <v>19</v>
      </c>
      <c r="I489" s="4" t="s">
        <v>158</v>
      </c>
      <c r="J489" s="4" t="s">
        <v>46</v>
      </c>
      <c r="K489" s="4" t="s">
        <v>159</v>
      </c>
      <c r="L489" s="4"/>
      <c r="M489" s="4" t="s">
        <v>37</v>
      </c>
      <c r="N489" s="4"/>
      <c r="O489" s="4"/>
      <c r="P489" s="4" t="str">
        <f t="shared" si="40"/>
        <v>tot</v>
      </c>
      <c r="Q489" s="4" t="s">
        <v>37</v>
      </c>
      <c r="R489" s="4"/>
      <c r="S489" s="4"/>
      <c r="T489" s="4"/>
      <c r="U489" s="4" t="str">
        <f t="shared" si="41"/>
        <v/>
      </c>
      <c r="V489" s="7">
        <v>1</v>
      </c>
    </row>
    <row r="490" spans="4:22" x14ac:dyDescent="0.45">
      <c r="D490" s="44" t="s">
        <v>770</v>
      </c>
      <c r="E490" s="4" t="str">
        <f>LOWER(_Country_code)&amp;".mit.ener.con.bio.1"</f>
        <v>irn.mit.ener.con.bio.1</v>
      </c>
      <c r="F490" s="4" t="str">
        <f t="shared" si="42"/>
        <v>N/A</v>
      </c>
      <c r="G490" s="4" t="str">
        <f t="shared" si="39"/>
        <v>irn.mit.ener_s-f.all.bio.all.ktoe.1</v>
      </c>
      <c r="H490" s="4" t="s">
        <v>19</v>
      </c>
      <c r="I490" s="4" t="s">
        <v>158</v>
      </c>
      <c r="J490" s="4" t="s">
        <v>163</v>
      </c>
      <c r="K490" s="4" t="s">
        <v>159</v>
      </c>
      <c r="L490" s="4"/>
      <c r="M490" s="4" t="s">
        <v>37</v>
      </c>
      <c r="N490" s="4"/>
      <c r="O490" s="4"/>
      <c r="P490" s="4" t="str">
        <f t="shared" si="40"/>
        <v>tot</v>
      </c>
      <c r="Q490" s="4" t="s">
        <v>162</v>
      </c>
      <c r="R490" s="4"/>
      <c r="S490" s="4"/>
      <c r="T490" s="4"/>
      <c r="U490" s="4" t="str">
        <f t="shared" si="41"/>
        <v/>
      </c>
      <c r="V490" s="7">
        <v>1</v>
      </c>
    </row>
    <row r="491" spans="4:22" x14ac:dyDescent="0.45">
      <c r="D491" s="43" t="s">
        <v>771</v>
      </c>
      <c r="E491" s="4" t="str">
        <f>LOWER(_Country_code)&amp;".mit.ener.bio.pow.1"</f>
        <v>irn.mit.ener.bio.pow.1</v>
      </c>
      <c r="F491" s="4" t="str">
        <f t="shared" si="42"/>
        <v>N/A</v>
      </c>
      <c r="G491" s="4" t="str">
        <f t="shared" si="39"/>
        <v>irn.mit.ener_s.all.bio.all.ktoe.1</v>
      </c>
      <c r="H491" s="4" t="s">
        <v>19</v>
      </c>
      <c r="I491" s="4" t="s">
        <v>158</v>
      </c>
      <c r="J491" s="4" t="s">
        <v>67</v>
      </c>
      <c r="K491" s="4" t="s">
        <v>159</v>
      </c>
      <c r="L491" s="4"/>
      <c r="M491" s="4" t="s">
        <v>26</v>
      </c>
      <c r="N491" s="4"/>
      <c r="O491" s="4"/>
      <c r="P491" s="4" t="str">
        <f t="shared" si="40"/>
        <v>pow</v>
      </c>
      <c r="Q491" s="4" t="s">
        <v>162</v>
      </c>
      <c r="R491" s="4"/>
      <c r="S491" s="4"/>
      <c r="T491" s="4"/>
      <c r="U491" s="4" t="str">
        <f t="shared" si="41"/>
        <v/>
      </c>
      <c r="V491" s="7">
        <v>1</v>
      </c>
    </row>
    <row r="492" spans="4:22" x14ac:dyDescent="0.45">
      <c r="D492" s="43" t="s">
        <v>772</v>
      </c>
      <c r="E492" s="4" t="str">
        <f>LOWER(_Country_code)&amp;".mit.ener.bio.tra.1"</f>
        <v>irn.mit.ener.bio.tra.1</v>
      </c>
      <c r="F492" s="4" t="str">
        <f t="shared" si="42"/>
        <v>N/A</v>
      </c>
      <c r="G492" s="4" t="str">
        <f t="shared" si="39"/>
        <v>irn.mit.ener_s.all.bio.all.ktoe.1</v>
      </c>
      <c r="H492" s="4" t="s">
        <v>19</v>
      </c>
      <c r="I492" s="4" t="s">
        <v>158</v>
      </c>
      <c r="J492" s="4" t="s">
        <v>67</v>
      </c>
      <c r="K492" s="4" t="s">
        <v>159</v>
      </c>
      <c r="L492" s="4"/>
      <c r="M492" s="4" t="s">
        <v>27</v>
      </c>
      <c r="N492" s="4"/>
      <c r="O492" s="4"/>
      <c r="P492" s="4" t="str">
        <f t="shared" si="40"/>
        <v>tra</v>
      </c>
      <c r="Q492" s="4" t="s">
        <v>162</v>
      </c>
      <c r="R492" s="4"/>
      <c r="S492" s="4"/>
      <c r="T492" s="4"/>
      <c r="U492" s="4" t="str">
        <f t="shared" si="41"/>
        <v/>
      </c>
      <c r="V492" s="7">
        <v>1</v>
      </c>
    </row>
    <row r="493" spans="4:22" x14ac:dyDescent="0.45">
      <c r="D493" s="43" t="s">
        <v>773</v>
      </c>
      <c r="E493" s="4" t="str">
        <f>LOWER(_Country_code)&amp;".mit.ener.bio.res.1"</f>
        <v>irn.mit.ener.bio.res.1</v>
      </c>
      <c r="F493" s="4" t="str">
        <f t="shared" si="42"/>
        <v>N/A</v>
      </c>
      <c r="G493" s="4" t="str">
        <f t="shared" si="39"/>
        <v>irn.mit.ener_s.all.bio.all.ktoe.1</v>
      </c>
      <c r="H493" s="4" t="s">
        <v>19</v>
      </c>
      <c r="I493" s="4" t="s">
        <v>158</v>
      </c>
      <c r="J493" s="4" t="s">
        <v>67</v>
      </c>
      <c r="K493" s="4" t="s">
        <v>159</v>
      </c>
      <c r="L493" s="4"/>
      <c r="M493" s="4" t="s">
        <v>164</v>
      </c>
      <c r="N493" s="4"/>
      <c r="O493" s="4"/>
      <c r="P493" s="4" t="str">
        <f t="shared" si="40"/>
        <v>bld</v>
      </c>
      <c r="Q493" s="4" t="s">
        <v>162</v>
      </c>
      <c r="R493" s="4"/>
      <c r="S493" s="4"/>
      <c r="T493" s="4"/>
      <c r="U493" s="4" t="str">
        <f t="shared" si="41"/>
        <v/>
      </c>
      <c r="V493" s="7">
        <v>1</v>
      </c>
    </row>
    <row r="494" spans="4:22" x14ac:dyDescent="0.45">
      <c r="D494" s="43" t="s">
        <v>774</v>
      </c>
      <c r="E494" s="4" t="str">
        <f>LOWER(_Country_code)&amp;".mit.ener.bio.ind.1"</f>
        <v>irn.mit.ener.bio.ind.1</v>
      </c>
      <c r="F494" s="4" t="str">
        <f t="shared" si="42"/>
        <v>N/A</v>
      </c>
      <c r="G494" s="4" t="str">
        <f t="shared" si="39"/>
        <v>irn.mit.ener_s.all.bio.all.ktoe.1</v>
      </c>
      <c r="H494" s="4" t="s">
        <v>19</v>
      </c>
      <c r="I494" s="4" t="s">
        <v>158</v>
      </c>
      <c r="J494" s="4" t="s">
        <v>67</v>
      </c>
      <c r="K494" s="4" t="s">
        <v>159</v>
      </c>
      <c r="L494" s="4"/>
      <c r="M494" s="4" t="s">
        <v>29</v>
      </c>
      <c r="N494" s="4"/>
      <c r="O494" s="4"/>
      <c r="P494" s="4" t="str">
        <f t="shared" si="40"/>
        <v>ind</v>
      </c>
      <c r="Q494" s="4" t="s">
        <v>162</v>
      </c>
      <c r="R494" s="4"/>
      <c r="S494" s="4"/>
      <c r="T494" s="4"/>
      <c r="U494" s="4" t="str">
        <f t="shared" si="41"/>
        <v/>
      </c>
      <c r="V494" s="7">
        <v>1</v>
      </c>
    </row>
    <row r="495" spans="4:22" x14ac:dyDescent="0.45">
      <c r="D495" s="43" t="s">
        <v>775</v>
      </c>
      <c r="E495" s="4" t="str">
        <f>LOWER(_Country_code)&amp;".mit.ener.bio.oen.1"</f>
        <v>irn.mit.ener.bio.oen.1</v>
      </c>
      <c r="F495" s="4" t="str">
        <f t="shared" si="42"/>
        <v>N/A</v>
      </c>
      <c r="G495" s="4" t="str">
        <f t="shared" si="39"/>
        <v>irn.mit.ener_s.all.bio.all.ktoe.1</v>
      </c>
      <c r="H495" s="4" t="s">
        <v>19</v>
      </c>
      <c r="I495" s="4" t="s">
        <v>158</v>
      </c>
      <c r="J495" s="4" t="s">
        <v>67</v>
      </c>
      <c r="K495" s="4" t="s">
        <v>159</v>
      </c>
      <c r="L495" s="4"/>
      <c r="M495" s="4" t="s">
        <v>165</v>
      </c>
      <c r="N495" s="4"/>
      <c r="O495" s="4"/>
      <c r="P495" s="4" t="str">
        <f t="shared" si="40"/>
        <v>oen</v>
      </c>
      <c r="Q495" s="4" t="s">
        <v>162</v>
      </c>
      <c r="R495" s="4"/>
      <c r="S495" s="4"/>
      <c r="T495" s="4"/>
      <c r="U495" s="4" t="str">
        <f t="shared" si="41"/>
        <v/>
      </c>
      <c r="V495" s="7">
        <v>1</v>
      </c>
    </row>
    <row r="496" spans="4:22" x14ac:dyDescent="0.45">
      <c r="D496" s="40" t="s">
        <v>776</v>
      </c>
      <c r="E496" s="4" t="str">
        <f>LOWER(_Country_code)&amp;".mit.ener.con.tot.1"</f>
        <v>irn.mit.ener.con.tot.1</v>
      </c>
      <c r="F496" s="4" t="str">
        <f t="shared" si="42"/>
        <v>N/A</v>
      </c>
      <c r="G496" s="4" t="str">
        <f t="shared" si="39"/>
        <v>irn.mit.ener_total.all.all.all.ktoe.1</v>
      </c>
      <c r="H496" s="4" t="s">
        <v>19</v>
      </c>
      <c r="I496" s="4" t="s">
        <v>158</v>
      </c>
      <c r="J496" s="4" t="s">
        <v>166</v>
      </c>
      <c r="K496" s="4" t="s">
        <v>159</v>
      </c>
      <c r="L496" s="4"/>
      <c r="M496" s="4" t="s">
        <v>37</v>
      </c>
      <c r="N496" s="4"/>
      <c r="O496" s="4"/>
      <c r="P496" s="4" t="str">
        <f t="shared" si="40"/>
        <v>tot</v>
      </c>
      <c r="Q496" s="4" t="s">
        <v>46</v>
      </c>
      <c r="R496" s="4"/>
      <c r="S496" s="4"/>
      <c r="T496" s="4"/>
      <c r="U496" s="4" t="str">
        <f t="shared" si="41"/>
        <v/>
      </c>
      <c r="V496" s="7">
        <v>1</v>
      </c>
    </row>
    <row r="497" spans="4:22" x14ac:dyDescent="0.45">
      <c r="D497" s="43" t="s">
        <v>777</v>
      </c>
      <c r="E497" s="4" t="str">
        <f>LOWER(_Country_code)&amp;".mit.ener.con.coa.1"</f>
        <v>irn.mit.ener.con.coa.1</v>
      </c>
      <c r="F497" s="4" t="str">
        <f t="shared" si="42"/>
        <v>N/A</v>
      </c>
      <c r="G497" s="4" t="str">
        <f t="shared" si="39"/>
        <v>irn.mit.ener_f.all.coa.all.ktoe.1</v>
      </c>
      <c r="H497" s="4" t="s">
        <v>19</v>
      </c>
      <c r="I497" s="4" t="s">
        <v>158</v>
      </c>
      <c r="J497" s="4" t="s">
        <v>59</v>
      </c>
      <c r="K497" s="4" t="s">
        <v>159</v>
      </c>
      <c r="L497" s="4"/>
      <c r="M497" s="4" t="s">
        <v>37</v>
      </c>
      <c r="N497" s="4"/>
      <c r="O497" s="4"/>
      <c r="P497" s="4" t="str">
        <f t="shared" si="40"/>
        <v>tot</v>
      </c>
      <c r="Q497" s="4" t="s">
        <v>60</v>
      </c>
      <c r="R497" s="4"/>
      <c r="S497" s="4"/>
      <c r="T497" s="4"/>
      <c r="U497" s="4" t="str">
        <f t="shared" si="41"/>
        <v/>
      </c>
      <c r="V497" s="7">
        <v>1</v>
      </c>
    </row>
    <row r="498" spans="4:22" x14ac:dyDescent="0.45">
      <c r="D498" s="43" t="s">
        <v>778</v>
      </c>
      <c r="E498" s="4" t="str">
        <f>LOWER(_Country_code)&amp;".mit.ener.con.nga.1"</f>
        <v>irn.mit.ener.con.nga.1</v>
      </c>
      <c r="F498" s="4" t="str">
        <f t="shared" si="42"/>
        <v>N/A</v>
      </c>
      <c r="G498" s="4" t="str">
        <f t="shared" si="39"/>
        <v>irn.mit.ener_f.all.nga.all.ktoe.1</v>
      </c>
      <c r="H498" s="4" t="s">
        <v>19</v>
      </c>
      <c r="I498" s="4" t="s">
        <v>158</v>
      </c>
      <c r="J498" s="4" t="s">
        <v>59</v>
      </c>
      <c r="K498" s="4" t="s">
        <v>159</v>
      </c>
      <c r="L498" s="4"/>
      <c r="M498" s="4" t="s">
        <v>37</v>
      </c>
      <c r="N498" s="4"/>
      <c r="O498" s="4"/>
      <c r="P498" s="4" t="str">
        <f t="shared" si="40"/>
        <v>tot</v>
      </c>
      <c r="Q498" s="4" t="s">
        <v>61</v>
      </c>
      <c r="R498" s="4"/>
      <c r="S498" s="4"/>
      <c r="T498" s="4"/>
      <c r="U498" s="4" t="str">
        <f t="shared" si="41"/>
        <v/>
      </c>
      <c r="V498" s="7">
        <v>1</v>
      </c>
    </row>
    <row r="499" spans="4:22" x14ac:dyDescent="0.45">
      <c r="D499" s="43" t="s">
        <v>779</v>
      </c>
      <c r="E499" s="4" t="str">
        <f>LOWER(_Country_code)&amp;".mit.ener.con.oop.1"</f>
        <v>irn.mit.ener.con.oop.1</v>
      </c>
      <c r="F499" s="4" t="str">
        <f t="shared" si="42"/>
        <v>N/A</v>
      </c>
      <c r="G499" s="4" t="str">
        <f t="shared" si="39"/>
        <v>irn.mit.ener_f.all.oop.all.ktoe.1</v>
      </c>
      <c r="H499" s="4" t="s">
        <v>19</v>
      </c>
      <c r="I499" s="4" t="s">
        <v>158</v>
      </c>
      <c r="J499" s="4" t="s">
        <v>59</v>
      </c>
      <c r="K499" s="4" t="s">
        <v>159</v>
      </c>
      <c r="L499" s="4"/>
      <c r="M499" s="4" t="s">
        <v>37</v>
      </c>
      <c r="N499" s="4"/>
      <c r="O499" s="4"/>
      <c r="P499" s="4" t="str">
        <f t="shared" si="40"/>
        <v>tot</v>
      </c>
      <c r="Q499" s="4" t="s">
        <v>113</v>
      </c>
      <c r="R499" s="4"/>
      <c r="S499" s="4"/>
      <c r="T499" s="4"/>
      <c r="U499" s="4" t="str">
        <f t="shared" si="41"/>
        <v/>
      </c>
      <c r="V499" s="7">
        <v>1</v>
      </c>
    </row>
    <row r="500" spans="4:22" x14ac:dyDescent="0.45">
      <c r="D500" s="43" t="s">
        <v>780</v>
      </c>
      <c r="E500" s="4" t="str">
        <f>LOWER(_Country_code)&amp;".mit.ener.con.gso.1"</f>
        <v>irn.mit.ener.con.gso.1</v>
      </c>
      <c r="F500" s="4" t="str">
        <f t="shared" si="42"/>
        <v>N/A</v>
      </c>
      <c r="G500" s="4" t="str">
        <f t="shared" si="39"/>
        <v>irn.mit.ener_f.all.gso.all.ktoe.1</v>
      </c>
      <c r="H500" s="4" t="s">
        <v>19</v>
      </c>
      <c r="I500" s="4" t="s">
        <v>158</v>
      </c>
      <c r="J500" s="4" t="s">
        <v>59</v>
      </c>
      <c r="K500" s="4" t="s">
        <v>159</v>
      </c>
      <c r="L500" s="4"/>
      <c r="M500" s="4" t="s">
        <v>37</v>
      </c>
      <c r="N500" s="4"/>
      <c r="O500" s="4"/>
      <c r="P500" s="4" t="str">
        <f t="shared" si="40"/>
        <v>tot</v>
      </c>
      <c r="Q500" s="4" t="s">
        <v>63</v>
      </c>
      <c r="R500" s="4"/>
      <c r="S500" s="4"/>
      <c r="T500" s="4"/>
      <c r="U500" s="4" t="str">
        <f t="shared" si="41"/>
        <v/>
      </c>
      <c r="V500" s="7">
        <v>1</v>
      </c>
    </row>
    <row r="501" spans="4:22" x14ac:dyDescent="0.45">
      <c r="D501" s="43" t="s">
        <v>781</v>
      </c>
      <c r="E501" s="4" t="str">
        <f>LOWER(_Country_code)&amp;".mit.ener.con.die.1"</f>
        <v>irn.mit.ener.con.die.1</v>
      </c>
      <c r="F501" s="4" t="str">
        <f t="shared" si="42"/>
        <v>N/A</v>
      </c>
      <c r="G501" s="4" t="str">
        <f t="shared" si="39"/>
        <v>irn.mit.ener_f.all.die.all.ktoe.1</v>
      </c>
      <c r="H501" s="4" t="s">
        <v>19</v>
      </c>
      <c r="I501" s="4" t="s">
        <v>158</v>
      </c>
      <c r="J501" s="4" t="s">
        <v>59</v>
      </c>
      <c r="K501" s="4" t="s">
        <v>159</v>
      </c>
      <c r="L501" s="4"/>
      <c r="M501" s="4" t="s">
        <v>37</v>
      </c>
      <c r="N501" s="4"/>
      <c r="O501" s="4"/>
      <c r="P501" s="4" t="str">
        <f t="shared" si="40"/>
        <v>tot</v>
      </c>
      <c r="Q501" s="4" t="s">
        <v>64</v>
      </c>
      <c r="R501" s="4"/>
      <c r="S501" s="4"/>
      <c r="T501" s="4"/>
      <c r="U501" s="4" t="str">
        <f t="shared" si="41"/>
        <v/>
      </c>
      <c r="V501" s="7">
        <v>1</v>
      </c>
    </row>
    <row r="502" spans="4:22" x14ac:dyDescent="0.45">
      <c r="D502" s="43" t="s">
        <v>782</v>
      </c>
      <c r="E502" s="4" t="str">
        <f>LOWER(_Country_code)&amp;".mit.ener.con.lpg.1"</f>
        <v>irn.mit.ener.con.lpg.1</v>
      </c>
      <c r="F502" s="4" t="str">
        <f t="shared" si="42"/>
        <v>N/A</v>
      </c>
      <c r="G502" s="4" t="str">
        <f t="shared" si="39"/>
        <v>irn.mit.ener_f.all.lpg.all.ktoe.1</v>
      </c>
      <c r="H502" s="4" t="s">
        <v>19</v>
      </c>
      <c r="I502" s="4" t="s">
        <v>158</v>
      </c>
      <c r="J502" s="4" t="s">
        <v>59</v>
      </c>
      <c r="K502" s="4" t="s">
        <v>159</v>
      </c>
      <c r="L502" s="4"/>
      <c r="M502" s="4" t="s">
        <v>37</v>
      </c>
      <c r="N502" s="4"/>
      <c r="O502" s="4"/>
      <c r="P502" s="4" t="str">
        <f t="shared" si="40"/>
        <v>tot</v>
      </c>
      <c r="Q502" s="4" t="s">
        <v>65</v>
      </c>
      <c r="R502" s="4"/>
      <c r="S502" s="4"/>
      <c r="T502" s="4"/>
      <c r="U502" s="4" t="str">
        <f t="shared" si="41"/>
        <v/>
      </c>
      <c r="V502" s="7">
        <v>1</v>
      </c>
    </row>
    <row r="503" spans="4:22" x14ac:dyDescent="0.45">
      <c r="D503" s="43" t="s">
        <v>783</v>
      </c>
      <c r="E503" s="4" t="str">
        <f>LOWER(_Country_code)&amp;".mit.ener.con.ker.1"</f>
        <v>irn.mit.ener.con.ker.1</v>
      </c>
      <c r="F503" s="4" t="str">
        <f t="shared" si="42"/>
        <v>N/A</v>
      </c>
      <c r="G503" s="4" t="str">
        <f t="shared" si="39"/>
        <v>irn.mit.ener_f.all.ker.all.ktoe.1</v>
      </c>
      <c r="H503" s="4" t="s">
        <v>19</v>
      </c>
      <c r="I503" s="4" t="s">
        <v>158</v>
      </c>
      <c r="J503" s="4" t="s">
        <v>59</v>
      </c>
      <c r="K503" s="4" t="s">
        <v>159</v>
      </c>
      <c r="L503" s="4"/>
      <c r="M503" s="4" t="s">
        <v>37</v>
      </c>
      <c r="N503" s="4"/>
      <c r="O503" s="4"/>
      <c r="P503" s="4" t="str">
        <f t="shared" si="40"/>
        <v>tot</v>
      </c>
      <c r="Q503" s="4" t="s">
        <v>66</v>
      </c>
      <c r="R503" s="4"/>
      <c r="S503" s="4"/>
      <c r="T503" s="4"/>
      <c r="U503" s="4" t="str">
        <f t="shared" si="41"/>
        <v/>
      </c>
      <c r="V503" s="7">
        <v>1</v>
      </c>
    </row>
    <row r="504" spans="4:22" x14ac:dyDescent="0.45">
      <c r="D504" s="43" t="s">
        <v>784</v>
      </c>
      <c r="E504" s="4" t="str">
        <f>LOWER(_Country_code)&amp;".mit.ener.con.bio.1"</f>
        <v>irn.mit.ener.con.bio.1</v>
      </c>
      <c r="F504" s="4" t="str">
        <f t="shared" si="42"/>
        <v>N/A</v>
      </c>
      <c r="G504" s="4" t="str">
        <f t="shared" si="39"/>
        <v>irn.mit.ener_f.all.bio.all.ktoe.1</v>
      </c>
      <c r="H504" s="4" t="s">
        <v>19</v>
      </c>
      <c r="I504" s="4" t="s">
        <v>158</v>
      </c>
      <c r="J504" s="4" t="s">
        <v>59</v>
      </c>
      <c r="K504" s="4" t="s">
        <v>159</v>
      </c>
      <c r="L504" s="4"/>
      <c r="M504" s="4" t="s">
        <v>37</v>
      </c>
      <c r="N504" s="4"/>
      <c r="O504" s="4"/>
      <c r="P504" s="4" t="str">
        <f t="shared" si="40"/>
        <v>tot</v>
      </c>
      <c r="Q504" s="4" t="s">
        <v>162</v>
      </c>
      <c r="R504" s="4"/>
      <c r="S504" s="4"/>
      <c r="T504" s="4"/>
      <c r="U504" s="4" t="str">
        <f t="shared" si="41"/>
        <v/>
      </c>
      <c r="V504" s="7">
        <v>1</v>
      </c>
    </row>
    <row r="505" spans="4:22" x14ac:dyDescent="0.45">
      <c r="D505" s="43" t="s">
        <v>785</v>
      </c>
      <c r="E505" s="4" t="str">
        <f>LOWER(_Country_code)&amp;".mit.ener.con.nrn.1"</f>
        <v>irn.mit.ener.con.nrn.1</v>
      </c>
      <c r="F505" s="4" t="str">
        <f t="shared" si="42"/>
        <v>N/A</v>
      </c>
      <c r="G505" s="4" t="str">
        <f t="shared" si="39"/>
        <v>irn.mit.ener_f.all.nrn.all.ktoe.1</v>
      </c>
      <c r="H505" s="4" t="s">
        <v>19</v>
      </c>
      <c r="I505" s="4" t="s">
        <v>158</v>
      </c>
      <c r="J505" s="4" t="s">
        <v>59</v>
      </c>
      <c r="K505" s="4" t="s">
        <v>159</v>
      </c>
      <c r="L505" s="4"/>
      <c r="M505" s="4" t="s">
        <v>37</v>
      </c>
      <c r="N505" s="4"/>
      <c r="O505" s="4"/>
      <c r="P505" s="4" t="str">
        <f t="shared" si="40"/>
        <v>tot</v>
      </c>
      <c r="Q505" s="4" t="s">
        <v>167</v>
      </c>
      <c r="R505" s="4"/>
      <c r="S505" s="4"/>
      <c r="T505" s="4"/>
      <c r="U505" s="4" t="str">
        <f t="shared" si="41"/>
        <v/>
      </c>
      <c r="V505" s="7">
        <v>1</v>
      </c>
    </row>
    <row r="506" spans="4:22" x14ac:dyDescent="0.45">
      <c r="D506" s="44" t="s">
        <v>786</v>
      </c>
      <c r="E506" s="4" t="str">
        <f>LOWER(_Country_code)&amp;".mit.ener.con.coa."&amp;ScenarioNum</f>
        <v>irn.mit.ener.con.coa.2</v>
      </c>
      <c r="F506" s="4" t="str">
        <f t="shared" si="42"/>
        <v>N/A</v>
      </c>
      <c r="G506" s="4" t="str">
        <f t="shared" si="39"/>
        <v>irn.mit.ener_s-f.all.coa.all.ktoe.1</v>
      </c>
      <c r="H506" s="4" t="s">
        <v>19</v>
      </c>
      <c r="I506" s="4" t="s">
        <v>158</v>
      </c>
      <c r="J506" s="4" t="s">
        <v>163</v>
      </c>
      <c r="K506" s="4" t="s">
        <v>159</v>
      </c>
      <c r="L506" s="4"/>
      <c r="M506" s="4" t="s">
        <v>46</v>
      </c>
      <c r="N506" s="4"/>
      <c r="O506" s="4"/>
      <c r="P506" s="4" t="str">
        <f t="shared" si="40"/>
        <v>all</v>
      </c>
      <c r="Q506" s="4" t="s">
        <v>60</v>
      </c>
      <c r="R506" s="4"/>
      <c r="S506" s="4"/>
      <c r="T506" s="4"/>
      <c r="U506" s="4" t="str">
        <f t="shared" si="41"/>
        <v/>
      </c>
      <c r="V506" s="7">
        <v>1</v>
      </c>
    </row>
    <row r="507" spans="4:22" x14ac:dyDescent="0.45">
      <c r="D507" s="43" t="s">
        <v>787</v>
      </c>
      <c r="E507" s="4" t="str">
        <f>LOWER(_Country_code)&amp;".mit.ener.coa.pow."&amp;ScenarioNum</f>
        <v>irn.mit.ener.coa.pow.2</v>
      </c>
      <c r="F507" s="4" t="str">
        <f t="shared" si="42"/>
        <v>N/A</v>
      </c>
      <c r="G507" s="4" t="str">
        <f t="shared" si="39"/>
        <v>irn.mit.ener_s.all.coa.all.ktoe.1</v>
      </c>
      <c r="H507" s="4" t="s">
        <v>19</v>
      </c>
      <c r="I507" s="4" t="s">
        <v>158</v>
      </c>
      <c r="J507" s="4" t="s">
        <v>67</v>
      </c>
      <c r="K507" s="4" t="s">
        <v>159</v>
      </c>
      <c r="L507" s="4"/>
      <c r="M507" s="4" t="s">
        <v>26</v>
      </c>
      <c r="N507" s="4"/>
      <c r="O507" s="4"/>
      <c r="P507" s="4" t="str">
        <f t="shared" si="40"/>
        <v>pow</v>
      </c>
      <c r="Q507" s="4" t="s">
        <v>60</v>
      </c>
      <c r="R507" s="4"/>
      <c r="S507" s="4"/>
      <c r="T507" s="4"/>
      <c r="U507" s="4" t="str">
        <f t="shared" si="41"/>
        <v/>
      </c>
      <c r="V507" s="7">
        <v>1</v>
      </c>
    </row>
    <row r="508" spans="4:22" x14ac:dyDescent="0.45">
      <c r="D508" s="43" t="s">
        <v>788</v>
      </c>
      <c r="E508" s="4" t="str">
        <f>LOWER(_Country_code)&amp;".mit.ener.coa.tra."&amp;ScenarioNum</f>
        <v>irn.mit.ener.coa.tra.2</v>
      </c>
      <c r="F508" s="4" t="str">
        <f t="shared" si="42"/>
        <v>N/A</v>
      </c>
      <c r="G508" s="4" t="str">
        <f t="shared" si="39"/>
        <v>irn.mit.ener_s.all.coa.all.ktoe.1</v>
      </c>
      <c r="H508" s="4" t="s">
        <v>19</v>
      </c>
      <c r="I508" s="4" t="s">
        <v>158</v>
      </c>
      <c r="J508" s="4" t="s">
        <v>67</v>
      </c>
      <c r="K508" s="4" t="s">
        <v>159</v>
      </c>
      <c r="L508" s="4"/>
      <c r="M508" s="4" t="s">
        <v>27</v>
      </c>
      <c r="N508" s="4"/>
      <c r="O508" s="4"/>
      <c r="P508" s="4" t="str">
        <f t="shared" si="40"/>
        <v>tra</v>
      </c>
      <c r="Q508" s="4" t="s">
        <v>60</v>
      </c>
      <c r="R508" s="4"/>
      <c r="S508" s="4"/>
      <c r="T508" s="4"/>
      <c r="U508" s="4" t="str">
        <f t="shared" si="41"/>
        <v/>
      </c>
      <c r="V508" s="7">
        <v>1</v>
      </c>
    </row>
    <row r="509" spans="4:22" x14ac:dyDescent="0.45">
      <c r="D509" s="43" t="s">
        <v>789</v>
      </c>
      <c r="E509" s="4" t="str">
        <f>LOWER(_Country_code)&amp;".mit.ener.coa.res."&amp;ScenarioNum</f>
        <v>irn.mit.ener.coa.res.2</v>
      </c>
      <c r="F509" s="4" t="str">
        <f t="shared" si="42"/>
        <v>N/A</v>
      </c>
      <c r="G509" s="4" t="str">
        <f t="shared" si="39"/>
        <v>irn.mit.ener_s.all.coa.all.ktoe.1</v>
      </c>
      <c r="H509" s="4" t="s">
        <v>19</v>
      </c>
      <c r="I509" s="4" t="s">
        <v>158</v>
      </c>
      <c r="J509" s="4" t="s">
        <v>67</v>
      </c>
      <c r="K509" s="4" t="s">
        <v>159</v>
      </c>
      <c r="L509" s="4"/>
      <c r="M509" s="4" t="s">
        <v>164</v>
      </c>
      <c r="N509" s="4"/>
      <c r="O509" s="4"/>
      <c r="P509" s="4" t="str">
        <f t="shared" si="40"/>
        <v>bld</v>
      </c>
      <c r="Q509" s="4" t="s">
        <v>60</v>
      </c>
      <c r="R509" s="4"/>
      <c r="S509" s="4"/>
      <c r="T509" s="4"/>
      <c r="U509" s="4" t="str">
        <f t="shared" si="41"/>
        <v/>
      </c>
      <c r="V509" s="7">
        <v>1</v>
      </c>
    </row>
    <row r="510" spans="4:22" x14ac:dyDescent="0.45">
      <c r="D510" s="43" t="s">
        <v>790</v>
      </c>
      <c r="E510" s="4" t="str">
        <f>LOWER(_Country_code)&amp;".mit.ener.coa.ind."&amp;ScenarioNum</f>
        <v>irn.mit.ener.coa.ind.2</v>
      </c>
      <c r="F510" s="4" t="str">
        <f t="shared" si="42"/>
        <v>N/A</v>
      </c>
      <c r="G510" s="4" t="str">
        <f t="shared" si="39"/>
        <v>irn.mit.ener_s.all.coa.all.ktoe.2</v>
      </c>
      <c r="H510" s="4" t="s">
        <v>19</v>
      </c>
      <c r="I510" s="4" t="s">
        <v>158</v>
      </c>
      <c r="J510" s="4" t="s">
        <v>67</v>
      </c>
      <c r="K510" s="4" t="s">
        <v>159</v>
      </c>
      <c r="L510" s="4"/>
      <c r="M510" s="4" t="s">
        <v>29</v>
      </c>
      <c r="N510" s="4"/>
      <c r="O510" s="4"/>
      <c r="P510" s="4" t="str">
        <f t="shared" si="40"/>
        <v>ind</v>
      </c>
      <c r="Q510" s="4" t="s">
        <v>60</v>
      </c>
      <c r="R510" s="4"/>
      <c r="S510" s="4"/>
      <c r="T510" s="4"/>
      <c r="U510" s="4" t="str">
        <f t="shared" si="41"/>
        <v/>
      </c>
      <c r="V510" s="7">
        <v>2</v>
      </c>
    </row>
    <row r="511" spans="4:22" x14ac:dyDescent="0.45">
      <c r="D511" s="43" t="s">
        <v>791</v>
      </c>
      <c r="E511" s="4" t="str">
        <f>LOWER(_Country_code)&amp;".mit.ener.coa.oen."&amp;ScenarioNum</f>
        <v>irn.mit.ener.coa.oen.2</v>
      </c>
      <c r="F511" s="4" t="str">
        <f t="shared" si="42"/>
        <v>N/A</v>
      </c>
      <c r="G511" s="4" t="str">
        <f t="shared" si="39"/>
        <v>irn.mit.ener_s.all.coa.all.ktoe.2</v>
      </c>
      <c r="H511" s="4" t="s">
        <v>19</v>
      </c>
      <c r="I511" s="4" t="s">
        <v>158</v>
      </c>
      <c r="J511" s="4" t="s">
        <v>67</v>
      </c>
      <c r="K511" s="4" t="s">
        <v>159</v>
      </c>
      <c r="L511" s="4"/>
      <c r="M511" s="4" t="s">
        <v>165</v>
      </c>
      <c r="N511" s="4"/>
      <c r="O511" s="4"/>
      <c r="P511" s="4" t="str">
        <f t="shared" si="40"/>
        <v>oen</v>
      </c>
      <c r="Q511" s="4" t="s">
        <v>60</v>
      </c>
      <c r="R511" s="4"/>
      <c r="S511" s="4"/>
      <c r="T511" s="4"/>
      <c r="U511" s="4" t="str">
        <f t="shared" si="41"/>
        <v/>
      </c>
      <c r="V511" s="7">
        <v>2</v>
      </c>
    </row>
    <row r="512" spans="4:22" x14ac:dyDescent="0.45">
      <c r="D512" s="44" t="s">
        <v>792</v>
      </c>
      <c r="E512" s="4" t="str">
        <f>LOWER(_Country_code)&amp;".mit.ener.con.nga."&amp;ScenarioNum</f>
        <v>irn.mit.ener.con.nga.2</v>
      </c>
      <c r="F512" s="4" t="str">
        <f t="shared" si="42"/>
        <v>N/A</v>
      </c>
      <c r="G512" s="4" t="str">
        <f t="shared" si="39"/>
        <v>irn.mit.ener_s-f.all.nga.all.ktoe.2</v>
      </c>
      <c r="H512" s="4" t="s">
        <v>19</v>
      </c>
      <c r="I512" s="4" t="s">
        <v>158</v>
      </c>
      <c r="J512" s="4" t="s">
        <v>163</v>
      </c>
      <c r="K512" s="4" t="s">
        <v>159</v>
      </c>
      <c r="L512" s="4"/>
      <c r="M512" s="4"/>
      <c r="N512" s="4" t="s">
        <v>46</v>
      </c>
      <c r="O512" s="4"/>
      <c r="P512" s="4" t="str">
        <f t="shared" si="40"/>
        <v>all</v>
      </c>
      <c r="Q512" s="4" t="s">
        <v>61</v>
      </c>
      <c r="R512" s="4"/>
      <c r="S512" s="4"/>
      <c r="T512" s="4"/>
      <c r="U512" s="4" t="str">
        <f t="shared" si="41"/>
        <v/>
      </c>
      <c r="V512" s="7">
        <v>2</v>
      </c>
    </row>
    <row r="513" spans="4:22" x14ac:dyDescent="0.45">
      <c r="D513" s="43" t="s">
        <v>793</v>
      </c>
      <c r="E513" s="4" t="str">
        <f>LOWER(_Country_code)&amp;".mit.ener.nga.pow."&amp;ScenarioNum</f>
        <v>irn.mit.ener.nga.pow.2</v>
      </c>
      <c r="F513" s="4" t="str">
        <f t="shared" si="42"/>
        <v>N/A</v>
      </c>
      <c r="G513" s="4" t="str">
        <f t="shared" si="39"/>
        <v>irn.mit.ener_s.all.nga.all.ktoe.2</v>
      </c>
      <c r="H513" s="4" t="s">
        <v>19</v>
      </c>
      <c r="I513" s="4" t="s">
        <v>158</v>
      </c>
      <c r="J513" s="4" t="s">
        <v>67</v>
      </c>
      <c r="K513" s="4" t="s">
        <v>159</v>
      </c>
      <c r="L513" s="4"/>
      <c r="M513" s="4" t="s">
        <v>26</v>
      </c>
      <c r="N513" s="4"/>
      <c r="O513" s="4"/>
      <c r="P513" s="4" t="str">
        <f t="shared" si="40"/>
        <v>pow</v>
      </c>
      <c r="Q513" s="4" t="s">
        <v>61</v>
      </c>
      <c r="R513" s="4"/>
      <c r="S513" s="4"/>
      <c r="T513" s="4"/>
      <c r="U513" s="4" t="str">
        <f t="shared" si="41"/>
        <v/>
      </c>
      <c r="V513" s="7">
        <v>2</v>
      </c>
    </row>
    <row r="514" spans="4:22" x14ac:dyDescent="0.45">
      <c r="D514" s="43" t="s">
        <v>794</v>
      </c>
      <c r="E514" s="4" t="str">
        <f>LOWER(_Country_code)&amp;".mit.ener.nga.tra."&amp;ScenarioNum</f>
        <v>irn.mit.ener.nga.tra.2</v>
      </c>
      <c r="F514" s="4" t="str">
        <f t="shared" si="42"/>
        <v>N/A</v>
      </c>
      <c r="G514" s="4" t="str">
        <f t="shared" si="39"/>
        <v>irn.mit.ener_s.all.nga.all.ktoe.2</v>
      </c>
      <c r="H514" s="4" t="s">
        <v>19</v>
      </c>
      <c r="I514" s="4" t="s">
        <v>158</v>
      </c>
      <c r="J514" s="4" t="s">
        <v>67</v>
      </c>
      <c r="K514" s="4" t="s">
        <v>159</v>
      </c>
      <c r="L514" s="4"/>
      <c r="M514" s="4" t="s">
        <v>27</v>
      </c>
      <c r="N514" s="4"/>
      <c r="O514" s="4"/>
      <c r="P514" s="4" t="str">
        <f t="shared" si="40"/>
        <v>tra</v>
      </c>
      <c r="Q514" s="4" t="s">
        <v>61</v>
      </c>
      <c r="R514" s="4"/>
      <c r="S514" s="4"/>
      <c r="T514" s="4"/>
      <c r="U514" s="4" t="str">
        <f t="shared" si="41"/>
        <v/>
      </c>
      <c r="V514" s="7">
        <v>2</v>
      </c>
    </row>
    <row r="515" spans="4:22" x14ac:dyDescent="0.45">
      <c r="D515" s="43" t="s">
        <v>795</v>
      </c>
      <c r="E515" s="4" t="str">
        <f>LOWER(_Country_code)&amp;".mit.ener.nga.res."&amp;ScenarioNum</f>
        <v>irn.mit.ener.nga.res.2</v>
      </c>
      <c r="F515" s="4" t="str">
        <f t="shared" si="42"/>
        <v>N/A</v>
      </c>
      <c r="G515" s="4" t="str">
        <f t="shared" si="39"/>
        <v>irn.mit.ener_s.all.nga.all.ktoe.2</v>
      </c>
      <c r="H515" s="4" t="s">
        <v>19</v>
      </c>
      <c r="I515" s="4" t="s">
        <v>158</v>
      </c>
      <c r="J515" s="4" t="s">
        <v>67</v>
      </c>
      <c r="K515" s="4" t="s">
        <v>159</v>
      </c>
      <c r="L515" s="4"/>
      <c r="M515" s="4" t="s">
        <v>164</v>
      </c>
      <c r="N515" s="4"/>
      <c r="O515" s="4"/>
      <c r="P515" s="4" t="str">
        <f t="shared" si="40"/>
        <v>bld</v>
      </c>
      <c r="Q515" s="4" t="s">
        <v>61</v>
      </c>
      <c r="R515" s="4"/>
      <c r="S515" s="4"/>
      <c r="T515" s="4"/>
      <c r="U515" s="4" t="str">
        <f t="shared" si="41"/>
        <v/>
      </c>
      <c r="V515" s="7">
        <v>2</v>
      </c>
    </row>
    <row r="516" spans="4:22" x14ac:dyDescent="0.45">
      <c r="D516" s="43" t="s">
        <v>796</v>
      </c>
      <c r="E516" s="4" t="str">
        <f>LOWER(_Country_code)&amp;".mit.ener.nga.ind."&amp;ScenarioNum</f>
        <v>irn.mit.ener.nga.ind.2</v>
      </c>
      <c r="F516" s="4" t="str">
        <f t="shared" si="42"/>
        <v>N/A</v>
      </c>
      <c r="G516" s="4" t="str">
        <f t="shared" si="39"/>
        <v>irn.mit.ener_s.all.nga.all.ktoe.2</v>
      </c>
      <c r="H516" s="4" t="s">
        <v>19</v>
      </c>
      <c r="I516" s="4" t="s">
        <v>158</v>
      </c>
      <c r="J516" s="4" t="s">
        <v>67</v>
      </c>
      <c r="K516" s="4" t="s">
        <v>159</v>
      </c>
      <c r="L516" s="4"/>
      <c r="M516" s="4" t="s">
        <v>29</v>
      </c>
      <c r="N516" s="4"/>
      <c r="O516" s="4"/>
      <c r="P516" s="4" t="str">
        <f t="shared" si="40"/>
        <v>ind</v>
      </c>
      <c r="Q516" s="4" t="s">
        <v>61</v>
      </c>
      <c r="R516" s="4"/>
      <c r="S516" s="4"/>
      <c r="T516" s="4"/>
      <c r="U516" s="4" t="str">
        <f t="shared" si="41"/>
        <v/>
      </c>
      <c r="V516" s="7">
        <v>2</v>
      </c>
    </row>
    <row r="517" spans="4:22" x14ac:dyDescent="0.45">
      <c r="D517" s="43" t="s">
        <v>797</v>
      </c>
      <c r="E517" s="4" t="str">
        <f>LOWER(_Country_code)&amp;".mit.ener.nga.oen."&amp;ScenarioNum</f>
        <v>irn.mit.ener.nga.oen.2</v>
      </c>
      <c r="F517" s="4" t="str">
        <f t="shared" si="42"/>
        <v>N/A</v>
      </c>
      <c r="G517" s="4" t="str">
        <f t="shared" si="39"/>
        <v>irn.mit.ener_s.all.nga.all.ktoe.2</v>
      </c>
      <c r="H517" s="4" t="s">
        <v>19</v>
      </c>
      <c r="I517" s="4" t="s">
        <v>158</v>
      </c>
      <c r="J517" s="4" t="s">
        <v>67</v>
      </c>
      <c r="K517" s="4" t="s">
        <v>159</v>
      </c>
      <c r="L517" s="4"/>
      <c r="M517" s="4" t="s">
        <v>165</v>
      </c>
      <c r="N517" s="4"/>
      <c r="O517" s="4"/>
      <c r="P517" s="4" t="str">
        <f t="shared" si="40"/>
        <v>oen</v>
      </c>
      <c r="Q517" s="4" t="s">
        <v>61</v>
      </c>
      <c r="R517" s="4"/>
      <c r="S517" s="4"/>
      <c r="T517" s="4"/>
      <c r="U517" s="4" t="str">
        <f t="shared" si="41"/>
        <v/>
      </c>
      <c r="V517" s="7">
        <v>2</v>
      </c>
    </row>
    <row r="518" spans="4:22" x14ac:dyDescent="0.45">
      <c r="D518" s="44" t="s">
        <v>798</v>
      </c>
      <c r="E518" s="4" t="str">
        <f>LOWER(_Country_code)&amp;".mit.ener.con.gso."&amp;ScenarioNum</f>
        <v>irn.mit.ener.con.gso.2</v>
      </c>
      <c r="F518" s="4" t="str">
        <f t="shared" si="42"/>
        <v>N/A</v>
      </c>
      <c r="G518" s="4" t="str">
        <f t="shared" si="39"/>
        <v>irn.mit.ener_s-f.all.gso.all.ktoe.2</v>
      </c>
      <c r="H518" s="4" t="s">
        <v>19</v>
      </c>
      <c r="I518" s="4" t="s">
        <v>158</v>
      </c>
      <c r="J518" s="4" t="s">
        <v>163</v>
      </c>
      <c r="K518" s="4" t="s">
        <v>159</v>
      </c>
      <c r="L518" s="4"/>
      <c r="M518" s="4"/>
      <c r="N518" s="4" t="s">
        <v>46</v>
      </c>
      <c r="O518" s="4"/>
      <c r="P518" s="4" t="str">
        <f t="shared" si="40"/>
        <v>all</v>
      </c>
      <c r="Q518" s="4" t="s">
        <v>63</v>
      </c>
      <c r="R518" s="4"/>
      <c r="S518" s="4"/>
      <c r="T518" s="4"/>
      <c r="U518" s="4" t="str">
        <f t="shared" si="41"/>
        <v/>
      </c>
      <c r="V518" s="7">
        <v>2</v>
      </c>
    </row>
    <row r="519" spans="4:22" x14ac:dyDescent="0.45">
      <c r="D519" s="43" t="s">
        <v>799</v>
      </c>
      <c r="E519" s="4" t="str">
        <f>LOWER(_Country_code)&amp;".mit.ener.gso.pow."&amp;ScenarioNum</f>
        <v>irn.mit.ener.gso.pow.2</v>
      </c>
      <c r="F519" s="4" t="str">
        <f t="shared" si="42"/>
        <v>N/A</v>
      </c>
      <c r="G519" s="4" t="str">
        <f t="shared" si="39"/>
        <v>irn.mit.ener_s.all.gso.all.ktoe.2</v>
      </c>
      <c r="H519" s="4" t="s">
        <v>19</v>
      </c>
      <c r="I519" s="4" t="s">
        <v>158</v>
      </c>
      <c r="J519" s="4" t="s">
        <v>67</v>
      </c>
      <c r="K519" s="4" t="s">
        <v>159</v>
      </c>
      <c r="L519" s="4"/>
      <c r="M519" s="4" t="s">
        <v>26</v>
      </c>
      <c r="N519" s="4"/>
      <c r="O519" s="4"/>
      <c r="P519" s="4" t="str">
        <f t="shared" si="40"/>
        <v>pow</v>
      </c>
      <c r="Q519" s="4" t="s">
        <v>63</v>
      </c>
      <c r="R519" s="4"/>
      <c r="S519" s="4"/>
      <c r="T519" s="4"/>
      <c r="U519" s="4" t="str">
        <f t="shared" si="41"/>
        <v/>
      </c>
      <c r="V519" s="7">
        <v>2</v>
      </c>
    </row>
    <row r="520" spans="4:22" x14ac:dyDescent="0.45">
      <c r="D520" s="43" t="s">
        <v>800</v>
      </c>
      <c r="E520" s="4" t="str">
        <f>LOWER(_Country_code)&amp;".mit.ener.gso.tra."&amp;ScenarioNum</f>
        <v>irn.mit.ener.gso.tra.2</v>
      </c>
      <c r="F520" s="4" t="str">
        <f t="shared" si="42"/>
        <v>N/A</v>
      </c>
      <c r="G520" s="4" t="str">
        <f t="shared" si="39"/>
        <v>irn.mit.ener_s.all.gso.all.ktoe.2</v>
      </c>
      <c r="H520" s="4" t="s">
        <v>19</v>
      </c>
      <c r="I520" s="4" t="s">
        <v>158</v>
      </c>
      <c r="J520" s="4" t="s">
        <v>67</v>
      </c>
      <c r="K520" s="4" t="s">
        <v>159</v>
      </c>
      <c r="L520" s="4"/>
      <c r="M520" s="4" t="s">
        <v>27</v>
      </c>
      <c r="N520" s="4"/>
      <c r="O520" s="4"/>
      <c r="P520" s="4" t="str">
        <f t="shared" si="40"/>
        <v>tra</v>
      </c>
      <c r="Q520" s="4" t="s">
        <v>63</v>
      </c>
      <c r="R520" s="4"/>
      <c r="S520" s="4"/>
      <c r="T520" s="4"/>
      <c r="U520" s="4" t="str">
        <f t="shared" si="41"/>
        <v/>
      </c>
      <c r="V520" s="7">
        <v>2</v>
      </c>
    </row>
    <row r="521" spans="4:22" x14ac:dyDescent="0.45">
      <c r="D521" s="43" t="s">
        <v>801</v>
      </c>
      <c r="E521" s="4" t="str">
        <f>LOWER(_Country_code)&amp;".mit.ener.gso.res."&amp;ScenarioNum</f>
        <v>irn.mit.ener.gso.res.2</v>
      </c>
      <c r="F521" s="4" t="str">
        <f t="shared" ref="F521:F552" si="43">IF(MTAct,E521&amp;"_"&amp;MSTScenarioID,"N/A")</f>
        <v>N/A</v>
      </c>
      <c r="G521" s="4" t="str">
        <f t="shared" si="39"/>
        <v>irn.mit.ener_s.all.gso.all.ktoe.2</v>
      </c>
      <c r="H521" s="4" t="s">
        <v>19</v>
      </c>
      <c r="I521" s="4" t="s">
        <v>158</v>
      </c>
      <c r="J521" s="4" t="s">
        <v>67</v>
      </c>
      <c r="K521" s="4" t="s">
        <v>159</v>
      </c>
      <c r="L521" s="4"/>
      <c r="M521" s="4" t="s">
        <v>164</v>
      </c>
      <c r="N521" s="4"/>
      <c r="O521" s="4"/>
      <c r="P521" s="4" t="str">
        <f t="shared" si="40"/>
        <v>bld</v>
      </c>
      <c r="Q521" s="4" t="s">
        <v>63</v>
      </c>
      <c r="R521" s="4"/>
      <c r="S521" s="4"/>
      <c r="T521" s="4"/>
      <c r="U521" s="4" t="str">
        <f t="shared" si="41"/>
        <v/>
      </c>
      <c r="V521" s="7">
        <v>2</v>
      </c>
    </row>
    <row r="522" spans="4:22" x14ac:dyDescent="0.45">
      <c r="D522" s="43" t="s">
        <v>802</v>
      </c>
      <c r="E522" s="4" t="str">
        <f>LOWER(_Country_code)&amp;".mit.ener.gso.ind."&amp;ScenarioNum</f>
        <v>irn.mit.ener.gso.ind.2</v>
      </c>
      <c r="F522" s="4" t="str">
        <f t="shared" si="43"/>
        <v>N/A</v>
      </c>
      <c r="G522" s="4" t="str">
        <f t="shared" si="39"/>
        <v>irn.mit.ener_s.all.gso.all.ktoe.2</v>
      </c>
      <c r="H522" s="4" t="s">
        <v>19</v>
      </c>
      <c r="I522" s="4" t="s">
        <v>158</v>
      </c>
      <c r="J522" s="4" t="s">
        <v>67</v>
      </c>
      <c r="K522" s="4" t="s">
        <v>159</v>
      </c>
      <c r="L522" s="4"/>
      <c r="M522" s="4" t="s">
        <v>29</v>
      </c>
      <c r="N522" s="4"/>
      <c r="O522" s="4"/>
      <c r="P522" s="4" t="str">
        <f t="shared" si="40"/>
        <v>ind</v>
      </c>
      <c r="Q522" s="4" t="s">
        <v>63</v>
      </c>
      <c r="R522" s="4"/>
      <c r="S522" s="4"/>
      <c r="T522" s="4"/>
      <c r="U522" s="4" t="str">
        <f t="shared" si="41"/>
        <v/>
      </c>
      <c r="V522" s="7">
        <v>2</v>
      </c>
    </row>
    <row r="523" spans="4:22" x14ac:dyDescent="0.45">
      <c r="D523" s="43" t="s">
        <v>803</v>
      </c>
      <c r="E523" s="4" t="str">
        <f>LOWER(_Country_code)&amp;".mit.ener.gso.oen."&amp;ScenarioNum</f>
        <v>irn.mit.ener.gso.oen.2</v>
      </c>
      <c r="F523" s="4" t="str">
        <f t="shared" si="43"/>
        <v>N/A</v>
      </c>
      <c r="G523" s="4" t="str">
        <f t="shared" si="39"/>
        <v>irn.mit.ener_s.all.gso.all.ktoe.2</v>
      </c>
      <c r="H523" s="4" t="s">
        <v>19</v>
      </c>
      <c r="I523" s="4" t="s">
        <v>158</v>
      </c>
      <c r="J523" s="4" t="s">
        <v>67</v>
      </c>
      <c r="K523" s="4" t="s">
        <v>159</v>
      </c>
      <c r="L523" s="4"/>
      <c r="M523" s="4" t="s">
        <v>165</v>
      </c>
      <c r="N523" s="4"/>
      <c r="O523" s="4"/>
      <c r="P523" s="4" t="str">
        <f t="shared" si="40"/>
        <v>oen</v>
      </c>
      <c r="Q523" s="4" t="s">
        <v>63</v>
      </c>
      <c r="R523" s="4"/>
      <c r="S523" s="4"/>
      <c r="T523" s="4"/>
      <c r="U523" s="4" t="str">
        <f t="shared" si="41"/>
        <v/>
      </c>
      <c r="V523" s="7">
        <v>2</v>
      </c>
    </row>
    <row r="524" spans="4:22" x14ac:dyDescent="0.45">
      <c r="D524" s="44" t="s">
        <v>804</v>
      </c>
      <c r="E524" s="4" t="str">
        <f>LOWER(_Country_code)&amp;".mit.ener.con.die."&amp;ScenarioNum</f>
        <v>irn.mit.ener.con.die.2</v>
      </c>
      <c r="F524" s="4" t="str">
        <f t="shared" si="43"/>
        <v>N/A</v>
      </c>
      <c r="G524" s="4" t="str">
        <f t="shared" si="39"/>
        <v>irn.mit.ener_s-f.all.die.all.ktoe.2</v>
      </c>
      <c r="H524" s="4" t="s">
        <v>19</v>
      </c>
      <c r="I524" s="4" t="s">
        <v>158</v>
      </c>
      <c r="J524" s="4" t="s">
        <v>163</v>
      </c>
      <c r="K524" s="4" t="s">
        <v>159</v>
      </c>
      <c r="L524" s="4"/>
      <c r="M524" s="4"/>
      <c r="N524" s="4" t="s">
        <v>46</v>
      </c>
      <c r="O524" s="4"/>
      <c r="P524" s="4" t="str">
        <f t="shared" si="40"/>
        <v>all</v>
      </c>
      <c r="Q524" s="4" t="s">
        <v>64</v>
      </c>
      <c r="R524" s="4"/>
      <c r="S524" s="4"/>
      <c r="T524" s="4"/>
      <c r="U524" s="4" t="str">
        <f t="shared" si="41"/>
        <v/>
      </c>
      <c r="V524" s="7">
        <v>2</v>
      </c>
    </row>
    <row r="525" spans="4:22" x14ac:dyDescent="0.45">
      <c r="D525" s="43" t="s">
        <v>805</v>
      </c>
      <c r="E525" s="4" t="str">
        <f>LOWER(_Country_code)&amp;".mit.ener.die.pow."&amp;ScenarioNum</f>
        <v>irn.mit.ener.die.pow.2</v>
      </c>
      <c r="F525" s="4" t="str">
        <f t="shared" si="43"/>
        <v>N/A</v>
      </c>
      <c r="G525" s="4" t="str">
        <f t="shared" si="39"/>
        <v>irn.mit.ener_s.all.die.all.ktoe.2</v>
      </c>
      <c r="H525" s="4" t="s">
        <v>19</v>
      </c>
      <c r="I525" s="4" t="s">
        <v>158</v>
      </c>
      <c r="J525" s="4" t="s">
        <v>67</v>
      </c>
      <c r="K525" s="4" t="s">
        <v>159</v>
      </c>
      <c r="L525" s="4"/>
      <c r="M525" s="4" t="s">
        <v>26</v>
      </c>
      <c r="N525" s="4"/>
      <c r="O525" s="4"/>
      <c r="P525" s="4" t="str">
        <f t="shared" si="40"/>
        <v>pow</v>
      </c>
      <c r="Q525" s="4" t="s">
        <v>64</v>
      </c>
      <c r="R525" s="4"/>
      <c r="S525" s="4"/>
      <c r="T525" s="4"/>
      <c r="U525" s="4" t="str">
        <f t="shared" si="41"/>
        <v/>
      </c>
      <c r="V525" s="7">
        <v>2</v>
      </c>
    </row>
    <row r="526" spans="4:22" x14ac:dyDescent="0.45">
      <c r="D526" s="43" t="s">
        <v>806</v>
      </c>
      <c r="E526" s="4" t="str">
        <f>LOWER(_Country_code)&amp;".mit.ener.die.tra."&amp;ScenarioNum</f>
        <v>irn.mit.ener.die.tra.2</v>
      </c>
      <c r="F526" s="4" t="str">
        <f t="shared" si="43"/>
        <v>N/A</v>
      </c>
      <c r="G526" s="4" t="str">
        <f t="shared" si="39"/>
        <v>irn.mit.ener_s.all.die.all.ktoe.2</v>
      </c>
      <c r="H526" s="4" t="s">
        <v>19</v>
      </c>
      <c r="I526" s="4" t="s">
        <v>158</v>
      </c>
      <c r="J526" s="4" t="s">
        <v>67</v>
      </c>
      <c r="K526" s="4" t="s">
        <v>159</v>
      </c>
      <c r="L526" s="4"/>
      <c r="M526" s="4" t="s">
        <v>27</v>
      </c>
      <c r="N526" s="4"/>
      <c r="O526" s="4"/>
      <c r="P526" s="4" t="str">
        <f t="shared" si="40"/>
        <v>tra</v>
      </c>
      <c r="Q526" s="4" t="s">
        <v>64</v>
      </c>
      <c r="R526" s="4"/>
      <c r="S526" s="4"/>
      <c r="T526" s="4"/>
      <c r="U526" s="4" t="str">
        <f t="shared" si="41"/>
        <v/>
      </c>
      <c r="V526" s="7">
        <v>2</v>
      </c>
    </row>
    <row r="527" spans="4:22" x14ac:dyDescent="0.45">
      <c r="D527" s="43" t="s">
        <v>807</v>
      </c>
      <c r="E527" s="4" t="str">
        <f>LOWER(_Country_code)&amp;".mit.ener.die.res."&amp;ScenarioNum</f>
        <v>irn.mit.ener.die.res.2</v>
      </c>
      <c r="F527" s="4" t="str">
        <f t="shared" si="43"/>
        <v>N/A</v>
      </c>
      <c r="G527" s="4" t="str">
        <f t="shared" si="39"/>
        <v>irn.mit.ener_s.all.die.all.ktoe.2</v>
      </c>
      <c r="H527" s="4" t="s">
        <v>19</v>
      </c>
      <c r="I527" s="4" t="s">
        <v>158</v>
      </c>
      <c r="J527" s="4" t="s">
        <v>67</v>
      </c>
      <c r="K527" s="4" t="s">
        <v>159</v>
      </c>
      <c r="L527" s="4"/>
      <c r="M527" s="4" t="s">
        <v>164</v>
      </c>
      <c r="N527" s="4"/>
      <c r="O527" s="4"/>
      <c r="P527" s="4" t="str">
        <f t="shared" si="40"/>
        <v>bld</v>
      </c>
      <c r="Q527" s="4" t="s">
        <v>64</v>
      </c>
      <c r="R527" s="4"/>
      <c r="S527" s="4"/>
      <c r="T527" s="4"/>
      <c r="U527" s="4" t="str">
        <f t="shared" si="41"/>
        <v/>
      </c>
      <c r="V527" s="7">
        <v>2</v>
      </c>
    </row>
    <row r="528" spans="4:22" x14ac:dyDescent="0.45">
      <c r="D528" s="43" t="s">
        <v>808</v>
      </c>
      <c r="E528" s="4" t="str">
        <f>LOWER(_Country_code)&amp;".mit.ener.die.ind."&amp;ScenarioNum</f>
        <v>irn.mit.ener.die.ind.2</v>
      </c>
      <c r="F528" s="4" t="str">
        <f t="shared" si="43"/>
        <v>N/A</v>
      </c>
      <c r="G528" s="4" t="str">
        <f t="shared" si="39"/>
        <v>irn.mit.ener_s.all.die.all.ktoe.2</v>
      </c>
      <c r="H528" s="4" t="s">
        <v>19</v>
      </c>
      <c r="I528" s="4" t="s">
        <v>158</v>
      </c>
      <c r="J528" s="4" t="s">
        <v>67</v>
      </c>
      <c r="K528" s="4" t="s">
        <v>159</v>
      </c>
      <c r="L528" s="4"/>
      <c r="M528" s="4" t="s">
        <v>29</v>
      </c>
      <c r="N528" s="4"/>
      <c r="O528" s="4"/>
      <c r="P528" s="4" t="str">
        <f t="shared" si="40"/>
        <v>ind</v>
      </c>
      <c r="Q528" s="4" t="s">
        <v>64</v>
      </c>
      <c r="R528" s="4"/>
      <c r="S528" s="4"/>
      <c r="T528" s="4"/>
      <c r="U528" s="4" t="str">
        <f t="shared" si="41"/>
        <v/>
      </c>
      <c r="V528" s="7">
        <v>2</v>
      </c>
    </row>
    <row r="529" spans="4:22" x14ac:dyDescent="0.45">
      <c r="D529" s="43" t="s">
        <v>809</v>
      </c>
      <c r="E529" s="4" t="str">
        <f>LOWER(_Country_code)&amp;".mit.ener.die.oen."&amp;ScenarioNum</f>
        <v>irn.mit.ener.die.oen.2</v>
      </c>
      <c r="F529" s="4" t="str">
        <f t="shared" si="43"/>
        <v>N/A</v>
      </c>
      <c r="G529" s="4" t="str">
        <f t="shared" si="39"/>
        <v>irn.mit.ener_s.all.die.all.ktoe.2</v>
      </c>
      <c r="H529" s="4" t="s">
        <v>19</v>
      </c>
      <c r="I529" s="4" t="s">
        <v>158</v>
      </c>
      <c r="J529" s="4" t="s">
        <v>67</v>
      </c>
      <c r="K529" s="4" t="s">
        <v>159</v>
      </c>
      <c r="L529" s="4"/>
      <c r="M529" s="4" t="s">
        <v>165</v>
      </c>
      <c r="N529" s="4"/>
      <c r="O529" s="4"/>
      <c r="P529" s="4" t="str">
        <f t="shared" si="40"/>
        <v>oen</v>
      </c>
      <c r="Q529" s="4" t="s">
        <v>64</v>
      </c>
      <c r="R529" s="4"/>
      <c r="S529" s="4"/>
      <c r="T529" s="4"/>
      <c r="U529" s="4" t="str">
        <f t="shared" si="41"/>
        <v/>
      </c>
      <c r="V529" s="7">
        <v>2</v>
      </c>
    </row>
    <row r="530" spans="4:22" x14ac:dyDescent="0.45">
      <c r="D530" s="44" t="s">
        <v>810</v>
      </c>
      <c r="E530" s="4" t="str">
        <f>LOWER(_Country_code)&amp;".mit.ener.con.lpg."&amp;ScenarioNum</f>
        <v>irn.mit.ener.con.lpg.2</v>
      </c>
      <c r="F530" s="4" t="str">
        <f t="shared" si="43"/>
        <v>N/A</v>
      </c>
      <c r="G530" s="4" t="str">
        <f t="shared" si="39"/>
        <v>irn.mit.ener_s-f.all.lpg.all.ktoe.2</v>
      </c>
      <c r="H530" s="4" t="s">
        <v>19</v>
      </c>
      <c r="I530" s="4" t="s">
        <v>158</v>
      </c>
      <c r="J530" s="4" t="s">
        <v>163</v>
      </c>
      <c r="K530" s="4" t="s">
        <v>159</v>
      </c>
      <c r="L530" s="4"/>
      <c r="M530" s="4"/>
      <c r="N530" s="4" t="s">
        <v>46</v>
      </c>
      <c r="O530" s="4"/>
      <c r="P530" s="4" t="str">
        <f t="shared" si="40"/>
        <v>all</v>
      </c>
      <c r="Q530" s="4" t="s">
        <v>65</v>
      </c>
      <c r="R530" s="4"/>
      <c r="S530" s="4"/>
      <c r="T530" s="4"/>
      <c r="U530" s="4" t="str">
        <f t="shared" si="41"/>
        <v/>
      </c>
      <c r="V530" s="7">
        <v>2</v>
      </c>
    </row>
    <row r="531" spans="4:22" x14ac:dyDescent="0.45">
      <c r="D531" s="43" t="s">
        <v>811</v>
      </c>
      <c r="E531" s="4" t="str">
        <f>LOWER(_Country_code)&amp;".mit.ener.lpg.pow."&amp;ScenarioNum</f>
        <v>irn.mit.ener.lpg.pow.2</v>
      </c>
      <c r="F531" s="4" t="str">
        <f t="shared" si="43"/>
        <v>N/A</v>
      </c>
      <c r="G531" s="4" t="str">
        <f t="shared" si="39"/>
        <v>irn.mit.ener_s.all.lpg.all.ktoe.2</v>
      </c>
      <c r="H531" s="4" t="s">
        <v>19</v>
      </c>
      <c r="I531" s="4" t="s">
        <v>158</v>
      </c>
      <c r="J531" s="4" t="s">
        <v>67</v>
      </c>
      <c r="K531" s="4" t="s">
        <v>159</v>
      </c>
      <c r="L531" s="4"/>
      <c r="M531" s="4" t="s">
        <v>26</v>
      </c>
      <c r="N531" s="4"/>
      <c r="O531" s="4"/>
      <c r="P531" s="4" t="str">
        <f t="shared" si="40"/>
        <v>pow</v>
      </c>
      <c r="Q531" s="4" t="s">
        <v>65</v>
      </c>
      <c r="R531" s="4"/>
      <c r="S531" s="4"/>
      <c r="T531" s="4"/>
      <c r="U531" s="4" t="str">
        <f t="shared" si="41"/>
        <v/>
      </c>
      <c r="V531" s="7">
        <v>2</v>
      </c>
    </row>
    <row r="532" spans="4:22" x14ac:dyDescent="0.45">
      <c r="D532" s="43" t="s">
        <v>812</v>
      </c>
      <c r="E532" s="4" t="str">
        <f>LOWER(_Country_code)&amp;".mit.ener.lpg.tra."&amp;ScenarioNum</f>
        <v>irn.mit.ener.lpg.tra.2</v>
      </c>
      <c r="F532" s="4" t="str">
        <f t="shared" si="43"/>
        <v>N/A</v>
      </c>
      <c r="G532" s="4" t="str">
        <f t="shared" si="39"/>
        <v>irn.mit.ener_s.all.lpg.all.ktoe.2</v>
      </c>
      <c r="H532" s="4" t="s">
        <v>19</v>
      </c>
      <c r="I532" s="4" t="s">
        <v>158</v>
      </c>
      <c r="J532" s="4" t="s">
        <v>67</v>
      </c>
      <c r="K532" s="4" t="s">
        <v>159</v>
      </c>
      <c r="L532" s="4"/>
      <c r="M532" s="4" t="s">
        <v>27</v>
      </c>
      <c r="N532" s="4"/>
      <c r="O532" s="4"/>
      <c r="P532" s="4" t="str">
        <f t="shared" si="40"/>
        <v>tra</v>
      </c>
      <c r="Q532" s="4" t="s">
        <v>65</v>
      </c>
      <c r="R532" s="4"/>
      <c r="S532" s="4"/>
      <c r="T532" s="4"/>
      <c r="U532" s="4" t="str">
        <f t="shared" si="41"/>
        <v/>
      </c>
      <c r="V532" s="7">
        <v>2</v>
      </c>
    </row>
    <row r="533" spans="4:22" x14ac:dyDescent="0.45">
      <c r="D533" s="43" t="s">
        <v>813</v>
      </c>
      <c r="E533" s="4" t="str">
        <f>LOWER(_Country_code)&amp;".mit.ener.lpg.res."&amp;ScenarioNum</f>
        <v>irn.mit.ener.lpg.res.2</v>
      </c>
      <c r="F533" s="4" t="str">
        <f t="shared" si="43"/>
        <v>N/A</v>
      </c>
      <c r="G533" s="4" t="str">
        <f t="shared" si="39"/>
        <v>irn.mit.ener_s.all.lpg.all.ktoe.2</v>
      </c>
      <c r="H533" s="4" t="s">
        <v>19</v>
      </c>
      <c r="I533" s="4" t="s">
        <v>158</v>
      </c>
      <c r="J533" s="4" t="s">
        <v>67</v>
      </c>
      <c r="K533" s="4" t="s">
        <v>159</v>
      </c>
      <c r="L533" s="4"/>
      <c r="M533" s="4" t="s">
        <v>164</v>
      </c>
      <c r="N533" s="4"/>
      <c r="O533" s="4"/>
      <c r="P533" s="4" t="str">
        <f t="shared" si="40"/>
        <v>bld</v>
      </c>
      <c r="Q533" s="4" t="s">
        <v>65</v>
      </c>
      <c r="R533" s="4"/>
      <c r="S533" s="4"/>
      <c r="T533" s="4"/>
      <c r="U533" s="4" t="str">
        <f t="shared" si="41"/>
        <v/>
      </c>
      <c r="V533" s="7">
        <v>2</v>
      </c>
    </row>
    <row r="534" spans="4:22" x14ac:dyDescent="0.45">
      <c r="D534" s="43" t="s">
        <v>814</v>
      </c>
      <c r="E534" s="4" t="str">
        <f>LOWER(_Country_code)&amp;".mit.ener.lpg.ind."&amp;ScenarioNum</f>
        <v>irn.mit.ener.lpg.ind.2</v>
      </c>
      <c r="F534" s="4" t="str">
        <f t="shared" si="43"/>
        <v>N/A</v>
      </c>
      <c r="G534" s="4" t="str">
        <f t="shared" si="39"/>
        <v>irn.mit.ener_s.all.lpg.all.ktoe.2</v>
      </c>
      <c r="H534" s="4" t="s">
        <v>19</v>
      </c>
      <c r="I534" s="4" t="s">
        <v>158</v>
      </c>
      <c r="J534" s="4" t="s">
        <v>67</v>
      </c>
      <c r="K534" s="4" t="s">
        <v>159</v>
      </c>
      <c r="L534" s="4"/>
      <c r="M534" s="4" t="s">
        <v>29</v>
      </c>
      <c r="N534" s="4"/>
      <c r="O534" s="4"/>
      <c r="P534" s="4" t="str">
        <f t="shared" si="40"/>
        <v>ind</v>
      </c>
      <c r="Q534" s="4" t="s">
        <v>65</v>
      </c>
      <c r="R534" s="4"/>
      <c r="S534" s="4"/>
      <c r="T534" s="4"/>
      <c r="U534" s="4" t="str">
        <f t="shared" si="41"/>
        <v/>
      </c>
      <c r="V534" s="7">
        <v>2</v>
      </c>
    </row>
    <row r="535" spans="4:22" x14ac:dyDescent="0.45">
      <c r="D535" s="43" t="s">
        <v>815</v>
      </c>
      <c r="E535" s="4" t="str">
        <f>LOWER(_Country_code)&amp;".mit.ener.lpg.oen."&amp;ScenarioNum</f>
        <v>irn.mit.ener.lpg.oen.2</v>
      </c>
      <c r="F535" s="4" t="str">
        <f t="shared" si="43"/>
        <v>N/A</v>
      </c>
      <c r="G535" s="4" t="str">
        <f t="shared" si="39"/>
        <v>irn.mit.ener_s.all.lpg.all.ktoe.2</v>
      </c>
      <c r="H535" s="4" t="s">
        <v>19</v>
      </c>
      <c r="I535" s="4" t="s">
        <v>158</v>
      </c>
      <c r="J535" s="4" t="s">
        <v>67</v>
      </c>
      <c r="K535" s="4" t="s">
        <v>159</v>
      </c>
      <c r="L535" s="4"/>
      <c r="M535" s="4" t="s">
        <v>165</v>
      </c>
      <c r="N535" s="4"/>
      <c r="O535" s="4"/>
      <c r="P535" s="4" t="str">
        <f t="shared" si="40"/>
        <v>oen</v>
      </c>
      <c r="Q535" s="4" t="s">
        <v>65</v>
      </c>
      <c r="R535" s="4"/>
      <c r="S535" s="4"/>
      <c r="T535" s="4"/>
      <c r="U535" s="4" t="str">
        <f t="shared" si="41"/>
        <v/>
      </c>
      <c r="V535" s="7">
        <v>2</v>
      </c>
    </row>
    <row r="536" spans="4:22" x14ac:dyDescent="0.45">
      <c r="D536" s="44" t="s">
        <v>816</v>
      </c>
      <c r="E536" s="4" t="str">
        <f>LOWER(_Country_code)&amp;".mit.ener.con.ker."&amp;ScenarioNum</f>
        <v>irn.mit.ener.con.ker.2</v>
      </c>
      <c r="F536" s="4" t="str">
        <f t="shared" si="43"/>
        <v>N/A</v>
      </c>
      <c r="G536" s="4" t="str">
        <f t="shared" si="39"/>
        <v>irn.mit.ener_s-f.all.ker.all.ktoe.2</v>
      </c>
      <c r="H536" s="4" t="s">
        <v>19</v>
      </c>
      <c r="I536" s="4" t="s">
        <v>158</v>
      </c>
      <c r="J536" s="4" t="s">
        <v>163</v>
      </c>
      <c r="K536" s="4" t="s">
        <v>159</v>
      </c>
      <c r="L536" s="4"/>
      <c r="M536" s="4"/>
      <c r="N536" s="4" t="s">
        <v>46</v>
      </c>
      <c r="O536" s="4"/>
      <c r="P536" s="4" t="str">
        <f t="shared" si="40"/>
        <v>all</v>
      </c>
      <c r="Q536" s="4" t="s">
        <v>66</v>
      </c>
      <c r="R536" s="4"/>
      <c r="S536" s="4"/>
      <c r="T536" s="4"/>
      <c r="U536" s="4" t="str">
        <f t="shared" si="41"/>
        <v/>
      </c>
      <c r="V536" s="7">
        <v>2</v>
      </c>
    </row>
    <row r="537" spans="4:22" x14ac:dyDescent="0.45">
      <c r="D537" s="43" t="s">
        <v>817</v>
      </c>
      <c r="E537" s="4" t="str">
        <f>LOWER(_Country_code)&amp;".mit.ener.ker.pow."&amp;ScenarioNum</f>
        <v>irn.mit.ener.ker.pow.2</v>
      </c>
      <c r="F537" s="4" t="str">
        <f t="shared" si="43"/>
        <v>N/A</v>
      </c>
      <c r="G537" s="4" t="str">
        <f t="shared" si="39"/>
        <v>irn.mit.ener_s.all.ker.all.ktoe.2</v>
      </c>
      <c r="H537" s="4" t="s">
        <v>19</v>
      </c>
      <c r="I537" s="4" t="s">
        <v>158</v>
      </c>
      <c r="J537" s="4" t="s">
        <v>67</v>
      </c>
      <c r="K537" s="4" t="s">
        <v>159</v>
      </c>
      <c r="L537" s="4"/>
      <c r="M537" s="4" t="s">
        <v>26</v>
      </c>
      <c r="N537" s="4"/>
      <c r="O537" s="4"/>
      <c r="P537" s="4" t="str">
        <f t="shared" si="40"/>
        <v>pow</v>
      </c>
      <c r="Q537" s="4" t="s">
        <v>66</v>
      </c>
      <c r="R537" s="4"/>
      <c r="S537" s="4"/>
      <c r="T537" s="4"/>
      <c r="U537" s="4" t="str">
        <f t="shared" si="41"/>
        <v/>
      </c>
      <c r="V537" s="7">
        <v>2</v>
      </c>
    </row>
    <row r="538" spans="4:22" x14ac:dyDescent="0.45">
      <c r="D538" s="43" t="s">
        <v>818</v>
      </c>
      <c r="E538" s="4" t="str">
        <f>LOWER(_Country_code)&amp;".mit.ener.ker.tra."&amp;ScenarioNum</f>
        <v>irn.mit.ener.ker.tra.2</v>
      </c>
      <c r="F538" s="4" t="str">
        <f t="shared" si="43"/>
        <v>N/A</v>
      </c>
      <c r="G538" s="4" t="str">
        <f t="shared" si="39"/>
        <v>irn.mit.ener_s.all.ker.all.ktoe.2</v>
      </c>
      <c r="H538" s="4" t="s">
        <v>19</v>
      </c>
      <c r="I538" s="4" t="s">
        <v>158</v>
      </c>
      <c r="J538" s="4" t="s">
        <v>67</v>
      </c>
      <c r="K538" s="4" t="s">
        <v>159</v>
      </c>
      <c r="L538" s="4"/>
      <c r="M538" s="4" t="s">
        <v>27</v>
      </c>
      <c r="N538" s="4"/>
      <c r="O538" s="4"/>
      <c r="P538" s="4" t="str">
        <f t="shared" si="40"/>
        <v>tra</v>
      </c>
      <c r="Q538" s="4" t="s">
        <v>66</v>
      </c>
      <c r="R538" s="4"/>
      <c r="S538" s="4"/>
      <c r="T538" s="4"/>
      <c r="U538" s="4" t="str">
        <f t="shared" si="41"/>
        <v/>
      </c>
      <c r="V538" s="7">
        <v>2</v>
      </c>
    </row>
    <row r="539" spans="4:22" x14ac:dyDescent="0.45">
      <c r="D539" s="43" t="s">
        <v>819</v>
      </c>
      <c r="E539" s="4" t="str">
        <f>LOWER(_Country_code)&amp;".mit.ener.ker.res."&amp;ScenarioNum</f>
        <v>irn.mit.ener.ker.res.2</v>
      </c>
      <c r="F539" s="4" t="str">
        <f t="shared" si="43"/>
        <v>N/A</v>
      </c>
      <c r="G539" s="4" t="str">
        <f t="shared" si="39"/>
        <v>irn.mit.ener_s.all.ker.all.ktoe.2</v>
      </c>
      <c r="H539" s="4" t="s">
        <v>19</v>
      </c>
      <c r="I539" s="4" t="s">
        <v>158</v>
      </c>
      <c r="J539" s="4" t="s">
        <v>67</v>
      </c>
      <c r="K539" s="4" t="s">
        <v>159</v>
      </c>
      <c r="L539" s="4"/>
      <c r="M539" s="4" t="s">
        <v>164</v>
      </c>
      <c r="N539" s="4"/>
      <c r="O539" s="4"/>
      <c r="P539" s="4" t="str">
        <f t="shared" si="40"/>
        <v>bld</v>
      </c>
      <c r="Q539" s="4" t="s">
        <v>66</v>
      </c>
      <c r="R539" s="4"/>
      <c r="S539" s="4"/>
      <c r="T539" s="4"/>
      <c r="U539" s="4" t="str">
        <f t="shared" si="41"/>
        <v/>
      </c>
      <c r="V539" s="7">
        <v>2</v>
      </c>
    </row>
    <row r="540" spans="4:22" x14ac:dyDescent="0.45">
      <c r="D540" s="43" t="s">
        <v>820</v>
      </c>
      <c r="E540" s="4" t="str">
        <f>LOWER(_Country_code)&amp;".mit.ener.ker.ind."&amp;ScenarioNum</f>
        <v>irn.mit.ener.ker.ind.2</v>
      </c>
      <c r="F540" s="4" t="str">
        <f t="shared" si="43"/>
        <v>N/A</v>
      </c>
      <c r="G540" s="4" t="str">
        <f t="shared" ref="G540:G603" si="44">IF(D540="","",LOWER(_Country_code)&amp;"."&amp;H540&amp;"."&amp;IF(I540="","all",I540)&amp;"_"&amp;J540&amp;"."&amp;IF(R540="","all",R540)&amp;"."&amp;IF(Q540="","all",Q540)&amp;"."&amp;IF(U540="","all",U540)&amp;"."&amp;IF(K540="","all",K540)&amp;"."&amp;IF(V540="","all",V540))</f>
        <v>irn.mit.ener_s.all.ker.all.ktoe.2</v>
      </c>
      <c r="H540" s="4" t="s">
        <v>19</v>
      </c>
      <c r="I540" s="4" t="s">
        <v>158</v>
      </c>
      <c r="J540" s="4" t="s">
        <v>67</v>
      </c>
      <c r="K540" s="4" t="s">
        <v>159</v>
      </c>
      <c r="L540" s="4"/>
      <c r="M540" s="4" t="s">
        <v>29</v>
      </c>
      <c r="N540" s="4"/>
      <c r="O540" s="4"/>
      <c r="P540" s="4" t="str">
        <f t="shared" si="40"/>
        <v>ind</v>
      </c>
      <c r="Q540" s="4" t="s">
        <v>66</v>
      </c>
      <c r="R540" s="4"/>
      <c r="S540" s="4"/>
      <c r="T540" s="4"/>
      <c r="U540" s="4" t="str">
        <f t="shared" si="41"/>
        <v/>
      </c>
      <c r="V540" s="7">
        <v>2</v>
      </c>
    </row>
    <row r="541" spans="4:22" x14ac:dyDescent="0.45">
      <c r="D541" s="43" t="s">
        <v>821</v>
      </c>
      <c r="E541" s="4" t="str">
        <f>LOWER(_Country_code)&amp;".mit.ener.ker.oen."&amp;ScenarioNum</f>
        <v>irn.mit.ener.ker.oen.2</v>
      </c>
      <c r="F541" s="4" t="str">
        <f t="shared" si="43"/>
        <v>N/A</v>
      </c>
      <c r="G541" s="4" t="str">
        <f t="shared" si="44"/>
        <v>irn.mit.ener_s.all.ker.all.ktoe.2</v>
      </c>
      <c r="H541" s="4" t="s">
        <v>19</v>
      </c>
      <c r="I541" s="4" t="s">
        <v>158</v>
      </c>
      <c r="J541" s="4" t="s">
        <v>67</v>
      </c>
      <c r="K541" s="4" t="s">
        <v>159</v>
      </c>
      <c r="L541" s="4"/>
      <c r="M541" s="4" t="s">
        <v>165</v>
      </c>
      <c r="N541" s="4"/>
      <c r="O541" s="4"/>
      <c r="P541" s="4" t="str">
        <f t="shared" si="40"/>
        <v>oen</v>
      </c>
      <c r="Q541" s="4" t="s">
        <v>66</v>
      </c>
      <c r="R541" s="4"/>
      <c r="S541" s="4"/>
      <c r="T541" s="4"/>
      <c r="U541" s="4" t="str">
        <f t="shared" si="41"/>
        <v/>
      </c>
      <c r="V541" s="7">
        <v>2</v>
      </c>
    </row>
    <row r="542" spans="4:22" x14ac:dyDescent="0.45">
      <c r="D542" s="44" t="s">
        <v>822</v>
      </c>
      <c r="E542" s="4" t="str">
        <f>LOWER(_Country_code)&amp;".mit.ener.con.oop."&amp;ScenarioNum</f>
        <v>irn.mit.ener.con.oop.2</v>
      </c>
      <c r="F542" s="4" t="str">
        <f t="shared" si="43"/>
        <v>N/A</v>
      </c>
      <c r="G542" s="4" t="str">
        <f t="shared" si="44"/>
        <v>irn.mit.ener_s-f.all.oop.all.ktoe.2</v>
      </c>
      <c r="H542" s="4" t="s">
        <v>19</v>
      </c>
      <c r="I542" s="4" t="s">
        <v>158</v>
      </c>
      <c r="J542" s="4" t="s">
        <v>163</v>
      </c>
      <c r="K542" s="4" t="s">
        <v>159</v>
      </c>
      <c r="L542" s="4"/>
      <c r="M542" s="4"/>
      <c r="N542" s="4" t="s">
        <v>46</v>
      </c>
      <c r="O542" s="4"/>
      <c r="P542" s="4" t="str">
        <f t="shared" si="40"/>
        <v>all</v>
      </c>
      <c r="Q542" s="4" t="s">
        <v>113</v>
      </c>
      <c r="R542" s="4"/>
      <c r="S542" s="4"/>
      <c r="T542" s="4"/>
      <c r="U542" s="4" t="str">
        <f t="shared" si="41"/>
        <v/>
      </c>
      <c r="V542" s="7">
        <v>2</v>
      </c>
    </row>
    <row r="543" spans="4:22" x14ac:dyDescent="0.45">
      <c r="D543" s="43" t="s">
        <v>823</v>
      </c>
      <c r="E543" s="4" t="str">
        <f>LOWER(_Country_code)&amp;".mit.ener.oop.pow."&amp;ScenarioNum</f>
        <v>irn.mit.ener.oop.pow.2</v>
      </c>
      <c r="F543" s="4" t="str">
        <f t="shared" si="43"/>
        <v>N/A</v>
      </c>
      <c r="G543" s="4" t="str">
        <f t="shared" si="44"/>
        <v>irn.mit.ener_s.all.oop.all.ktoe.2</v>
      </c>
      <c r="H543" s="4" t="s">
        <v>19</v>
      </c>
      <c r="I543" s="4" t="s">
        <v>158</v>
      </c>
      <c r="J543" s="4" t="s">
        <v>67</v>
      </c>
      <c r="K543" s="4" t="s">
        <v>159</v>
      </c>
      <c r="L543" s="4"/>
      <c r="M543" s="4" t="s">
        <v>26</v>
      </c>
      <c r="N543" s="4"/>
      <c r="O543" s="4"/>
      <c r="P543" s="4" t="str">
        <f t="shared" si="40"/>
        <v>pow</v>
      </c>
      <c r="Q543" s="4" t="s">
        <v>113</v>
      </c>
      <c r="R543" s="4"/>
      <c r="S543" s="4"/>
      <c r="T543" s="4"/>
      <c r="U543" s="4" t="str">
        <f t="shared" si="41"/>
        <v/>
      </c>
      <c r="V543" s="7">
        <v>2</v>
      </c>
    </row>
    <row r="544" spans="4:22" x14ac:dyDescent="0.45">
      <c r="D544" s="43" t="s">
        <v>824</v>
      </c>
      <c r="E544" s="4" t="str">
        <f>LOWER(_Country_code)&amp;".mit.ener.oop.tra."&amp;ScenarioNum</f>
        <v>irn.mit.ener.oop.tra.2</v>
      </c>
      <c r="F544" s="4" t="str">
        <f t="shared" si="43"/>
        <v>N/A</v>
      </c>
      <c r="G544" s="4" t="str">
        <f t="shared" si="44"/>
        <v>irn.mit.ener_s.all.oop.all.ktoe.2</v>
      </c>
      <c r="H544" s="4" t="s">
        <v>19</v>
      </c>
      <c r="I544" s="4" t="s">
        <v>158</v>
      </c>
      <c r="J544" s="4" t="s">
        <v>67</v>
      </c>
      <c r="K544" s="4" t="s">
        <v>159</v>
      </c>
      <c r="L544" s="4"/>
      <c r="M544" s="4" t="s">
        <v>27</v>
      </c>
      <c r="N544" s="4"/>
      <c r="O544" s="4"/>
      <c r="P544" s="4" t="str">
        <f t="shared" si="40"/>
        <v>tra</v>
      </c>
      <c r="Q544" s="4" t="s">
        <v>113</v>
      </c>
      <c r="R544" s="4"/>
      <c r="S544" s="4"/>
      <c r="T544" s="4"/>
      <c r="U544" s="4" t="str">
        <f t="shared" si="41"/>
        <v/>
      </c>
      <c r="V544" s="7">
        <v>2</v>
      </c>
    </row>
    <row r="545" spans="4:22" x14ac:dyDescent="0.45">
      <c r="D545" s="43" t="s">
        <v>825</v>
      </c>
      <c r="E545" s="4" t="str">
        <f>LOWER(_Country_code)&amp;".mit.ener.oop.res."&amp;ScenarioNum</f>
        <v>irn.mit.ener.oop.res.2</v>
      </c>
      <c r="F545" s="4" t="str">
        <f t="shared" si="43"/>
        <v>N/A</v>
      </c>
      <c r="G545" s="4" t="str">
        <f t="shared" si="44"/>
        <v>irn.mit.ener_s.all.oop.all.ktoe.2</v>
      </c>
      <c r="H545" s="4" t="s">
        <v>19</v>
      </c>
      <c r="I545" s="4" t="s">
        <v>158</v>
      </c>
      <c r="J545" s="4" t="s">
        <v>67</v>
      </c>
      <c r="K545" s="4" t="s">
        <v>159</v>
      </c>
      <c r="L545" s="4"/>
      <c r="M545" s="4" t="s">
        <v>164</v>
      </c>
      <c r="N545" s="4"/>
      <c r="O545" s="4"/>
      <c r="P545" s="4" t="str">
        <f t="shared" si="40"/>
        <v>bld</v>
      </c>
      <c r="Q545" s="4" t="s">
        <v>113</v>
      </c>
      <c r="R545" s="4"/>
      <c r="S545" s="4"/>
      <c r="T545" s="4"/>
      <c r="U545" s="4" t="str">
        <f t="shared" si="41"/>
        <v/>
      </c>
      <c r="V545" s="7">
        <v>2</v>
      </c>
    </row>
    <row r="546" spans="4:22" x14ac:dyDescent="0.45">
      <c r="D546" s="43" t="s">
        <v>826</v>
      </c>
      <c r="E546" s="4" t="str">
        <f>LOWER(_Country_code)&amp;".mit.ener.oop.ind."&amp;ScenarioNum</f>
        <v>irn.mit.ener.oop.ind.2</v>
      </c>
      <c r="F546" s="4" t="str">
        <f t="shared" si="43"/>
        <v>N/A</v>
      </c>
      <c r="G546" s="4" t="str">
        <f t="shared" si="44"/>
        <v>irn.mit.ener_s.all.oop.all.ktoe.2</v>
      </c>
      <c r="H546" s="4" t="s">
        <v>19</v>
      </c>
      <c r="I546" s="4" t="s">
        <v>158</v>
      </c>
      <c r="J546" s="4" t="s">
        <v>67</v>
      </c>
      <c r="K546" s="4" t="s">
        <v>159</v>
      </c>
      <c r="L546" s="4"/>
      <c r="M546" s="4" t="s">
        <v>29</v>
      </c>
      <c r="N546" s="4"/>
      <c r="O546" s="4"/>
      <c r="P546" s="4" t="str">
        <f t="shared" si="40"/>
        <v>ind</v>
      </c>
      <c r="Q546" s="4" t="s">
        <v>113</v>
      </c>
      <c r="R546" s="4"/>
      <c r="S546" s="4"/>
      <c r="T546" s="4"/>
      <c r="U546" s="4" t="str">
        <f t="shared" si="41"/>
        <v/>
      </c>
      <c r="V546" s="7">
        <v>2</v>
      </c>
    </row>
    <row r="547" spans="4:22" x14ac:dyDescent="0.45">
      <c r="D547" s="43" t="s">
        <v>827</v>
      </c>
      <c r="E547" s="4" t="str">
        <f>LOWER(_Country_code)&amp;".mit.ener.oop.oen."&amp;ScenarioNum</f>
        <v>irn.mit.ener.oop.oen.2</v>
      </c>
      <c r="F547" s="4" t="str">
        <f t="shared" si="43"/>
        <v>N/A</v>
      </c>
      <c r="G547" s="4" t="str">
        <f t="shared" si="44"/>
        <v>irn.mit.ener_s.all.oop.all.ktoe.2</v>
      </c>
      <c r="H547" s="4" t="s">
        <v>19</v>
      </c>
      <c r="I547" s="4" t="s">
        <v>158</v>
      </c>
      <c r="J547" s="4" t="s">
        <v>67</v>
      </c>
      <c r="K547" s="4" t="s">
        <v>159</v>
      </c>
      <c r="L547" s="4"/>
      <c r="M547" s="4" t="s">
        <v>165</v>
      </c>
      <c r="N547" s="4"/>
      <c r="O547" s="4"/>
      <c r="P547" s="4" t="str">
        <f t="shared" si="40"/>
        <v>oen</v>
      </c>
      <c r="Q547" s="4" t="s">
        <v>113</v>
      </c>
      <c r="R547" s="4"/>
      <c r="S547" s="4"/>
      <c r="T547" s="4"/>
      <c r="U547" s="4" t="str">
        <f t="shared" si="41"/>
        <v/>
      </c>
      <c r="V547" s="7">
        <v>2</v>
      </c>
    </row>
    <row r="548" spans="4:22" x14ac:dyDescent="0.45">
      <c r="D548" s="44" t="s">
        <v>828</v>
      </c>
      <c r="E548" s="4" t="str">
        <f>LOWER(_Country_code)&amp;".mit.ener.tot.tot."&amp;ScenarioNum</f>
        <v>irn.mit.ener.tot.tot.2</v>
      </c>
      <c r="F548" s="4" t="str">
        <f t="shared" si="43"/>
        <v>N/A</v>
      </c>
      <c r="G548" s="4" t="str">
        <f t="shared" si="44"/>
        <v>irn.mit.ener_all.all.tot.all.ktoe.2</v>
      </c>
      <c r="H548" s="4" t="s">
        <v>19</v>
      </c>
      <c r="I548" s="4" t="s">
        <v>158</v>
      </c>
      <c r="J548" s="4" t="s">
        <v>46</v>
      </c>
      <c r="K548" s="4" t="s">
        <v>159</v>
      </c>
      <c r="L548" s="4"/>
      <c r="M548" s="4"/>
      <c r="N548" s="4" t="s">
        <v>46</v>
      </c>
      <c r="O548" s="4"/>
      <c r="P548" s="4" t="str">
        <f t="shared" si="40"/>
        <v>all</v>
      </c>
      <c r="Q548" s="4" t="s">
        <v>37</v>
      </c>
      <c r="R548" s="4"/>
      <c r="S548" s="4"/>
      <c r="T548" s="4"/>
      <c r="U548" s="4" t="str">
        <f t="shared" si="41"/>
        <v/>
      </c>
      <c r="V548" s="7">
        <v>2</v>
      </c>
    </row>
    <row r="549" spans="4:22" x14ac:dyDescent="0.45">
      <c r="D549" s="44" t="s">
        <v>829</v>
      </c>
      <c r="E549" s="4" t="str">
        <f>LOWER(_Country_code)&amp;".mit.ener.con.bio."&amp;ScenarioNum</f>
        <v>irn.mit.ener.con.bio.2</v>
      </c>
      <c r="F549" s="4" t="str">
        <f t="shared" si="43"/>
        <v>N/A</v>
      </c>
      <c r="G549" s="4" t="str">
        <f t="shared" si="44"/>
        <v>irn.mit.ener_s-f.all.bio.all.ktoe.2</v>
      </c>
      <c r="H549" s="4" t="s">
        <v>19</v>
      </c>
      <c r="I549" s="4" t="s">
        <v>158</v>
      </c>
      <c r="J549" s="4" t="s">
        <v>163</v>
      </c>
      <c r="K549" s="4" t="s">
        <v>159</v>
      </c>
      <c r="L549" s="4"/>
      <c r="M549" s="4" t="s">
        <v>26</v>
      </c>
      <c r="N549" s="4"/>
      <c r="O549" s="4"/>
      <c r="P549" s="4" t="str">
        <f t="shared" si="40"/>
        <v>pow</v>
      </c>
      <c r="Q549" s="4" t="s">
        <v>162</v>
      </c>
      <c r="R549" s="4"/>
      <c r="S549" s="4"/>
      <c r="T549" s="4"/>
      <c r="U549" s="4" t="str">
        <f t="shared" si="41"/>
        <v/>
      </c>
      <c r="V549" s="7">
        <v>2</v>
      </c>
    </row>
    <row r="550" spans="4:22" x14ac:dyDescent="0.45">
      <c r="D550" s="43" t="s">
        <v>830</v>
      </c>
      <c r="E550" s="4" t="str">
        <f>LOWER(_Country_code)&amp;".mit.ener.bio.pow."&amp;ScenarioNum</f>
        <v>irn.mit.ener.bio.pow.2</v>
      </c>
      <c r="F550" s="4" t="str">
        <f t="shared" si="43"/>
        <v>N/A</v>
      </c>
      <c r="G550" s="4" t="str">
        <f t="shared" si="44"/>
        <v>irn.mit.ener_s.all.bio.all.ktoe.2</v>
      </c>
      <c r="H550" s="4" t="s">
        <v>19</v>
      </c>
      <c r="I550" s="4" t="s">
        <v>158</v>
      </c>
      <c r="J550" s="4" t="s">
        <v>67</v>
      </c>
      <c r="K550" s="4" t="s">
        <v>159</v>
      </c>
      <c r="L550" s="4"/>
      <c r="M550" s="4" t="s">
        <v>27</v>
      </c>
      <c r="N550" s="4"/>
      <c r="O550" s="4"/>
      <c r="P550" s="4" t="str">
        <f t="shared" si="40"/>
        <v>tra</v>
      </c>
      <c r="Q550" s="4" t="s">
        <v>162</v>
      </c>
      <c r="R550" s="4"/>
      <c r="S550" s="4"/>
      <c r="T550" s="4"/>
      <c r="U550" s="4" t="str">
        <f t="shared" si="41"/>
        <v/>
      </c>
      <c r="V550" s="7">
        <v>2</v>
      </c>
    </row>
    <row r="551" spans="4:22" x14ac:dyDescent="0.45">
      <c r="D551" s="43" t="s">
        <v>831</v>
      </c>
      <c r="E551" s="4" t="str">
        <f>LOWER(_Country_code)&amp;".mit.ener.bio.tra."&amp;ScenarioNum</f>
        <v>irn.mit.ener.bio.tra.2</v>
      </c>
      <c r="F551" s="4" t="str">
        <f t="shared" si="43"/>
        <v>N/A</v>
      </c>
      <c r="G551" s="4" t="str">
        <f t="shared" si="44"/>
        <v>irn.mit.ener_s.all.bio.all.ktoe.2</v>
      </c>
      <c r="H551" s="4" t="s">
        <v>19</v>
      </c>
      <c r="I551" s="4" t="s">
        <v>158</v>
      </c>
      <c r="J551" s="4" t="s">
        <v>67</v>
      </c>
      <c r="K551" s="4" t="s">
        <v>159</v>
      </c>
      <c r="L551" s="4"/>
      <c r="M551" s="4" t="s">
        <v>164</v>
      </c>
      <c r="N551" s="4"/>
      <c r="O551" s="4"/>
      <c r="P551" s="4" t="str">
        <f t="shared" si="40"/>
        <v>bld</v>
      </c>
      <c r="Q551" s="4" t="s">
        <v>162</v>
      </c>
      <c r="R551" s="4"/>
      <c r="S551" s="4"/>
      <c r="T551" s="4"/>
      <c r="U551" s="4" t="str">
        <f t="shared" si="41"/>
        <v/>
      </c>
      <c r="V551" s="7">
        <v>2</v>
      </c>
    </row>
    <row r="552" spans="4:22" x14ac:dyDescent="0.45">
      <c r="D552" s="43" t="s">
        <v>832</v>
      </c>
      <c r="E552" s="4" t="str">
        <f>LOWER(_Country_code)&amp;".mit.ener.bio.res."&amp;ScenarioNum</f>
        <v>irn.mit.ener.bio.res.2</v>
      </c>
      <c r="F552" s="4" t="str">
        <f t="shared" si="43"/>
        <v>N/A</v>
      </c>
      <c r="G552" s="4" t="str">
        <f t="shared" si="44"/>
        <v>irn.mit.ener_s.all.bio.all.ktoe.2</v>
      </c>
      <c r="H552" s="4" t="s">
        <v>19</v>
      </c>
      <c r="I552" s="4" t="s">
        <v>158</v>
      </c>
      <c r="J552" s="4" t="s">
        <v>67</v>
      </c>
      <c r="K552" s="4" t="s">
        <v>159</v>
      </c>
      <c r="L552" s="4"/>
      <c r="M552" s="4" t="s">
        <v>29</v>
      </c>
      <c r="N552" s="4"/>
      <c r="O552" s="4"/>
      <c r="P552" s="4" t="str">
        <f t="shared" ref="P552:P615" si="45">L552&amp;IF(N552="",M552,N552)&amp;O552</f>
        <v>ind</v>
      </c>
      <c r="Q552" s="4" t="s">
        <v>162</v>
      </c>
      <c r="R552" s="4"/>
      <c r="S552" s="4"/>
      <c r="T552" s="4"/>
      <c r="U552" s="4" t="str">
        <f t="shared" ref="U552:U587" si="46">R552&amp;T552&amp;S552</f>
        <v/>
      </c>
      <c r="V552" s="7">
        <v>2</v>
      </c>
    </row>
    <row r="553" spans="4:22" x14ac:dyDescent="0.45">
      <c r="D553" s="43" t="s">
        <v>833</v>
      </c>
      <c r="E553" s="4" t="str">
        <f>LOWER(_Country_code)&amp;".mit.ener.bio.ind."&amp;ScenarioNum</f>
        <v>irn.mit.ener.bio.ind.2</v>
      </c>
      <c r="F553" s="4" t="str">
        <f t="shared" ref="F553:F584" si="47">IF(MTAct,E553&amp;"_"&amp;MSTScenarioID,"N/A")</f>
        <v>N/A</v>
      </c>
      <c r="G553" s="4" t="str">
        <f t="shared" si="44"/>
        <v>irn.mit.ener_s.all.bio.all.ktoe.2</v>
      </c>
      <c r="H553" s="4" t="s">
        <v>19</v>
      </c>
      <c r="I553" s="4" t="s">
        <v>158</v>
      </c>
      <c r="J553" s="4" t="s">
        <v>67</v>
      </c>
      <c r="K553" s="4" t="s">
        <v>159</v>
      </c>
      <c r="L553" s="4"/>
      <c r="M553" s="4" t="s">
        <v>165</v>
      </c>
      <c r="N553" s="4"/>
      <c r="O553" s="4"/>
      <c r="P553" s="4" t="str">
        <f t="shared" si="45"/>
        <v>oen</v>
      </c>
      <c r="Q553" s="4" t="s">
        <v>162</v>
      </c>
      <c r="R553" s="4"/>
      <c r="S553" s="4"/>
      <c r="T553" s="4"/>
      <c r="U553" s="4" t="str">
        <f t="shared" si="46"/>
        <v/>
      </c>
      <c r="V553" s="7">
        <v>2</v>
      </c>
    </row>
    <row r="554" spans="4:22" x14ac:dyDescent="0.45">
      <c r="D554" s="43" t="s">
        <v>834</v>
      </c>
      <c r="E554" s="4" t="str">
        <f>LOWER(_Country_code)&amp;".mit.ener.bio.oen."&amp;ScenarioNum</f>
        <v>irn.mit.ener.bio.oen.2</v>
      </c>
      <c r="F554" s="4" t="str">
        <f t="shared" si="47"/>
        <v>N/A</v>
      </c>
      <c r="G554" s="4" t="str">
        <f t="shared" si="44"/>
        <v>irn.mit.ener_s.all.bio.all.ktoe.2</v>
      </c>
      <c r="H554" s="4" t="s">
        <v>19</v>
      </c>
      <c r="I554" s="4" t="s">
        <v>158</v>
      </c>
      <c r="J554" s="4" t="s">
        <v>67</v>
      </c>
      <c r="K554" s="4" t="s">
        <v>159</v>
      </c>
      <c r="L554" s="4"/>
      <c r="M554" s="4"/>
      <c r="N554" s="4" t="s">
        <v>46</v>
      </c>
      <c r="O554" s="4"/>
      <c r="P554" s="4" t="str">
        <f t="shared" si="45"/>
        <v>all</v>
      </c>
      <c r="Q554" s="4" t="s">
        <v>162</v>
      </c>
      <c r="R554" s="4"/>
      <c r="S554" s="4"/>
      <c r="T554" s="4"/>
      <c r="U554" s="4" t="str">
        <f t="shared" si="46"/>
        <v/>
      </c>
      <c r="V554" s="7">
        <v>2</v>
      </c>
    </row>
    <row r="555" spans="4:22" x14ac:dyDescent="0.45">
      <c r="D555" s="40" t="s">
        <v>835</v>
      </c>
      <c r="E555" s="4" t="str">
        <f>LOWER(_Country_code)&amp;".mit.ener.con.tot."&amp;ScenarioNum</f>
        <v>irn.mit.ener.con.tot.2</v>
      </c>
      <c r="F555" s="4" t="str">
        <f t="shared" si="47"/>
        <v>N/A</v>
      </c>
      <c r="G555" s="4" t="str">
        <f t="shared" si="44"/>
        <v>irn.mit.ener_f.all.all.all.ktoe.2</v>
      </c>
      <c r="H555" s="4" t="s">
        <v>19</v>
      </c>
      <c r="I555" s="4" t="s">
        <v>158</v>
      </c>
      <c r="J555" s="4" t="s">
        <v>59</v>
      </c>
      <c r="K555" s="4" t="s">
        <v>159</v>
      </c>
      <c r="L555" s="4"/>
      <c r="M555" s="4"/>
      <c r="N555" s="4" t="s">
        <v>37</v>
      </c>
      <c r="O555" s="4"/>
      <c r="P555" s="4" t="str">
        <f t="shared" si="45"/>
        <v>tot</v>
      </c>
      <c r="Q555" s="4" t="s">
        <v>46</v>
      </c>
      <c r="R555" s="4"/>
      <c r="S555" s="4"/>
      <c r="T555" s="4"/>
      <c r="U555" s="4" t="str">
        <f t="shared" si="46"/>
        <v/>
      </c>
      <c r="V555" s="7">
        <v>2</v>
      </c>
    </row>
    <row r="556" spans="4:22" x14ac:dyDescent="0.45">
      <c r="D556" s="43" t="s">
        <v>836</v>
      </c>
      <c r="E556" s="4" t="str">
        <f>LOWER(_Country_code)&amp;".mit.ener.con.coa."&amp;ScenarioNum</f>
        <v>irn.mit.ener.con.coa.2</v>
      </c>
      <c r="F556" s="4" t="str">
        <f t="shared" si="47"/>
        <v>N/A</v>
      </c>
      <c r="G556" s="4" t="str">
        <f>IF(D556="","",LOWER(_Country_code)&amp;"."&amp;H556&amp;"."&amp;IF(I556="","all",I556)&amp;"_"&amp;J556&amp;"."&amp;IF(R556="","all",R556)&amp;"."&amp;IF(Q556="","all",Q556)&amp;"."&amp;IF(U556="","all",U556)&amp;"."&amp;IF(K556="","all",K556)&amp;"."&amp;IF(V556="","all",V556))</f>
        <v>irn.mit.ener_f.all.coa.all.ktoe.2</v>
      </c>
      <c r="H556" s="4" t="s">
        <v>19</v>
      </c>
      <c r="I556" s="4" t="s">
        <v>158</v>
      </c>
      <c r="J556" s="4" t="s">
        <v>59</v>
      </c>
      <c r="K556" s="4" t="s">
        <v>159</v>
      </c>
      <c r="L556" s="4"/>
      <c r="M556" s="4"/>
      <c r="N556" s="4" t="s">
        <v>37</v>
      </c>
      <c r="O556" s="4"/>
      <c r="P556" s="4" t="str">
        <f t="shared" si="45"/>
        <v>tot</v>
      </c>
      <c r="Q556" s="4" t="s">
        <v>60</v>
      </c>
      <c r="R556" s="4"/>
      <c r="S556" s="4"/>
      <c r="T556" s="4"/>
      <c r="U556" s="4" t="str">
        <f t="shared" si="46"/>
        <v/>
      </c>
      <c r="V556" s="7">
        <v>2</v>
      </c>
    </row>
    <row r="557" spans="4:22" x14ac:dyDescent="0.45">
      <c r="D557" s="43" t="s">
        <v>837</v>
      </c>
      <c r="E557" s="4" t="str">
        <f>LOWER(_Country_code)&amp;".mit.ener.con.nga."&amp;ScenarioNum</f>
        <v>irn.mit.ener.con.nga.2</v>
      </c>
      <c r="F557" s="4" t="str">
        <f t="shared" si="47"/>
        <v>N/A</v>
      </c>
      <c r="G557" s="4" t="str">
        <f t="shared" si="44"/>
        <v>irn.mit.ener_f.all.nga.all.ktoe.2</v>
      </c>
      <c r="H557" s="4" t="s">
        <v>19</v>
      </c>
      <c r="I557" s="4" t="s">
        <v>158</v>
      </c>
      <c r="J557" s="4" t="s">
        <v>59</v>
      </c>
      <c r="K557" s="4" t="s">
        <v>159</v>
      </c>
      <c r="L557" s="4"/>
      <c r="M557" s="4"/>
      <c r="N557" s="4" t="s">
        <v>37</v>
      </c>
      <c r="O557" s="4"/>
      <c r="P557" s="4" t="str">
        <f t="shared" si="45"/>
        <v>tot</v>
      </c>
      <c r="Q557" s="4" t="s">
        <v>61</v>
      </c>
      <c r="R557" s="4"/>
      <c r="S557" s="4"/>
      <c r="T557" s="4"/>
      <c r="U557" s="4" t="str">
        <f t="shared" si="46"/>
        <v/>
      </c>
      <c r="V557" s="7">
        <v>2</v>
      </c>
    </row>
    <row r="558" spans="4:22" x14ac:dyDescent="0.45">
      <c r="D558" s="43" t="s">
        <v>838</v>
      </c>
      <c r="E558" s="4" t="str">
        <f>LOWER(_Country_code)&amp;".mit.ener.con.oop."&amp;ScenarioNum</f>
        <v>irn.mit.ener.con.oop.2</v>
      </c>
      <c r="F558" s="4" t="str">
        <f t="shared" si="47"/>
        <v>N/A</v>
      </c>
      <c r="G558" s="4" t="str">
        <f t="shared" si="44"/>
        <v>irn.mit.ener_f.all.oop.all.ktoe.2</v>
      </c>
      <c r="H558" s="4" t="s">
        <v>19</v>
      </c>
      <c r="I558" s="4" t="s">
        <v>158</v>
      </c>
      <c r="J558" s="4" t="s">
        <v>59</v>
      </c>
      <c r="K558" s="4" t="s">
        <v>159</v>
      </c>
      <c r="L558" s="4"/>
      <c r="M558" s="4"/>
      <c r="N558" s="4" t="s">
        <v>37</v>
      </c>
      <c r="O558" s="4"/>
      <c r="P558" s="4" t="str">
        <f t="shared" si="45"/>
        <v>tot</v>
      </c>
      <c r="Q558" s="4" t="s">
        <v>113</v>
      </c>
      <c r="R558" s="4"/>
      <c r="S558" s="4"/>
      <c r="T558" s="4"/>
      <c r="U558" s="4" t="str">
        <f t="shared" si="46"/>
        <v/>
      </c>
      <c r="V558" s="7">
        <v>2</v>
      </c>
    </row>
    <row r="559" spans="4:22" x14ac:dyDescent="0.45">
      <c r="D559" s="43" t="s">
        <v>839</v>
      </c>
      <c r="E559" s="4" t="str">
        <f>LOWER(_Country_code)&amp;".mit.ener.con.gso."&amp;ScenarioNum</f>
        <v>irn.mit.ener.con.gso.2</v>
      </c>
      <c r="F559" s="4" t="str">
        <f t="shared" si="47"/>
        <v>N/A</v>
      </c>
      <c r="G559" s="4" t="str">
        <f t="shared" si="44"/>
        <v>irn.mit.ener_f.all.gso.all.ktoe.2</v>
      </c>
      <c r="H559" s="4" t="s">
        <v>19</v>
      </c>
      <c r="I559" s="4" t="s">
        <v>158</v>
      </c>
      <c r="J559" s="4" t="s">
        <v>59</v>
      </c>
      <c r="K559" s="4" t="s">
        <v>159</v>
      </c>
      <c r="L559" s="4"/>
      <c r="M559" s="4"/>
      <c r="N559" s="4" t="s">
        <v>37</v>
      </c>
      <c r="O559" s="4"/>
      <c r="P559" s="4" t="str">
        <f t="shared" si="45"/>
        <v>tot</v>
      </c>
      <c r="Q559" s="4" t="s">
        <v>63</v>
      </c>
      <c r="R559" s="4"/>
      <c r="S559" s="4"/>
      <c r="T559" s="4"/>
      <c r="U559" s="4" t="str">
        <f t="shared" si="46"/>
        <v/>
      </c>
      <c r="V559" s="7">
        <v>2</v>
      </c>
    </row>
    <row r="560" spans="4:22" x14ac:dyDescent="0.45">
      <c r="D560" s="43" t="s">
        <v>840</v>
      </c>
      <c r="E560" s="4" t="str">
        <f>LOWER(_Country_code)&amp;".mit.ener.con.die."&amp;ScenarioNum</f>
        <v>irn.mit.ener.con.die.2</v>
      </c>
      <c r="F560" s="4" t="str">
        <f t="shared" si="47"/>
        <v>N/A</v>
      </c>
      <c r="G560" s="4" t="str">
        <f t="shared" si="44"/>
        <v>irn.mit.ener_f.all.die.all.ktoe.2</v>
      </c>
      <c r="H560" s="4" t="s">
        <v>19</v>
      </c>
      <c r="I560" s="4" t="s">
        <v>158</v>
      </c>
      <c r="J560" s="4" t="s">
        <v>59</v>
      </c>
      <c r="K560" s="4" t="s">
        <v>159</v>
      </c>
      <c r="L560" s="4"/>
      <c r="M560" s="4"/>
      <c r="N560" s="4" t="s">
        <v>37</v>
      </c>
      <c r="O560" s="4"/>
      <c r="P560" s="4" t="str">
        <f t="shared" si="45"/>
        <v>tot</v>
      </c>
      <c r="Q560" s="4" t="s">
        <v>64</v>
      </c>
      <c r="R560" s="4"/>
      <c r="S560" s="4"/>
      <c r="T560" s="4"/>
      <c r="U560" s="4" t="str">
        <f t="shared" si="46"/>
        <v/>
      </c>
      <c r="V560" s="7">
        <v>2</v>
      </c>
    </row>
    <row r="561" spans="4:22" x14ac:dyDescent="0.45">
      <c r="D561" s="43" t="s">
        <v>841</v>
      </c>
      <c r="E561" s="4" t="str">
        <f>LOWER(_Country_code)&amp;".mit.ener.con.lpg."&amp;ScenarioNum</f>
        <v>irn.mit.ener.con.lpg.2</v>
      </c>
      <c r="F561" s="4" t="str">
        <f t="shared" si="47"/>
        <v>N/A</v>
      </c>
      <c r="G561" s="4" t="str">
        <f t="shared" si="44"/>
        <v>irn.mit.ener_f.all.lpg.all.ktoe.2</v>
      </c>
      <c r="H561" s="4" t="s">
        <v>19</v>
      </c>
      <c r="I561" s="4" t="s">
        <v>158</v>
      </c>
      <c r="J561" s="4" t="s">
        <v>59</v>
      </c>
      <c r="K561" s="4" t="s">
        <v>159</v>
      </c>
      <c r="L561" s="4"/>
      <c r="M561" s="4"/>
      <c r="N561" s="4" t="s">
        <v>37</v>
      </c>
      <c r="O561" s="4"/>
      <c r="P561" s="4" t="str">
        <f t="shared" si="45"/>
        <v>tot</v>
      </c>
      <c r="Q561" s="4" t="s">
        <v>65</v>
      </c>
      <c r="R561" s="4"/>
      <c r="S561" s="4"/>
      <c r="T561" s="4"/>
      <c r="U561" s="4" t="str">
        <f t="shared" si="46"/>
        <v/>
      </c>
      <c r="V561" s="7">
        <v>2</v>
      </c>
    </row>
    <row r="562" spans="4:22" x14ac:dyDescent="0.45">
      <c r="D562" s="43" t="s">
        <v>842</v>
      </c>
      <c r="E562" s="4" t="str">
        <f>LOWER(_Country_code)&amp;".mit.ener.con.ker."&amp;ScenarioNum</f>
        <v>irn.mit.ener.con.ker.2</v>
      </c>
      <c r="F562" s="4" t="str">
        <f t="shared" si="47"/>
        <v>N/A</v>
      </c>
      <c r="G562" s="4" t="str">
        <f t="shared" si="44"/>
        <v>irn.mit.ener_f.all.ker.all.ktoe.2</v>
      </c>
      <c r="H562" s="4" t="s">
        <v>19</v>
      </c>
      <c r="I562" s="4" t="s">
        <v>158</v>
      </c>
      <c r="J562" s="4" t="s">
        <v>59</v>
      </c>
      <c r="K562" s="4" t="s">
        <v>159</v>
      </c>
      <c r="L562" s="4"/>
      <c r="M562" s="4"/>
      <c r="N562" s="4" t="s">
        <v>37</v>
      </c>
      <c r="O562" s="4"/>
      <c r="P562" s="4" t="str">
        <f t="shared" si="45"/>
        <v>tot</v>
      </c>
      <c r="Q562" s="4" t="s">
        <v>66</v>
      </c>
      <c r="R562" s="4"/>
      <c r="S562" s="4"/>
      <c r="T562" s="4"/>
      <c r="U562" s="4" t="str">
        <f t="shared" si="46"/>
        <v/>
      </c>
      <c r="V562" s="7">
        <v>2</v>
      </c>
    </row>
    <row r="563" spans="4:22" x14ac:dyDescent="0.45">
      <c r="D563" s="43" t="s">
        <v>843</v>
      </c>
      <c r="E563" s="4" t="str">
        <f>LOWER(_Country_code)&amp;".mit.ener.con.bio."&amp;ScenarioNum</f>
        <v>irn.mit.ener.con.bio.2</v>
      </c>
      <c r="F563" s="4" t="str">
        <f t="shared" si="47"/>
        <v>N/A</v>
      </c>
      <c r="G563" s="4" t="str">
        <f t="shared" si="44"/>
        <v>irn.mit.ener_f.all.bio.all.ktoe.2</v>
      </c>
      <c r="H563" s="4" t="s">
        <v>19</v>
      </c>
      <c r="I563" s="4" t="s">
        <v>158</v>
      </c>
      <c r="J563" s="4" t="s">
        <v>59</v>
      </c>
      <c r="K563" s="4" t="s">
        <v>159</v>
      </c>
      <c r="L563" s="4"/>
      <c r="M563" s="4"/>
      <c r="N563" s="4" t="s">
        <v>37</v>
      </c>
      <c r="O563" s="4"/>
      <c r="P563" s="4" t="str">
        <f t="shared" si="45"/>
        <v>tot</v>
      </c>
      <c r="Q563" s="4" t="s">
        <v>162</v>
      </c>
      <c r="R563" s="4"/>
      <c r="S563" s="4"/>
      <c r="T563" s="4"/>
      <c r="U563" s="4" t="str">
        <f t="shared" si="46"/>
        <v/>
      </c>
      <c r="V563" s="7">
        <v>2</v>
      </c>
    </row>
    <row r="564" spans="4:22" x14ac:dyDescent="0.45">
      <c r="D564" s="43" t="s">
        <v>844</v>
      </c>
      <c r="E564" s="4" t="str">
        <f>LOWER(_Country_code)&amp;".mit.ener.con.nrn."&amp;ScenarioNum</f>
        <v>irn.mit.ener.con.nrn.2</v>
      </c>
      <c r="F564" s="4" t="str">
        <f t="shared" si="47"/>
        <v>N/A</v>
      </c>
      <c r="G564" s="4" t="str">
        <f t="shared" si="44"/>
        <v>irn.mit.ener_f.all.nrn.all.ktoe.2</v>
      </c>
      <c r="H564" s="4" t="s">
        <v>19</v>
      </c>
      <c r="I564" s="4" t="s">
        <v>158</v>
      </c>
      <c r="J564" s="4" t="s">
        <v>59</v>
      </c>
      <c r="K564" s="4" t="s">
        <v>159</v>
      </c>
      <c r="L564" s="4"/>
      <c r="M564" s="4"/>
      <c r="N564" s="4" t="s">
        <v>37</v>
      </c>
      <c r="O564" s="4"/>
      <c r="P564" s="4" t="str">
        <f t="shared" si="45"/>
        <v>tot</v>
      </c>
      <c r="Q564" s="4" t="s">
        <v>167</v>
      </c>
      <c r="R564" s="4"/>
      <c r="S564" s="4"/>
      <c r="T564" s="4"/>
      <c r="U564" s="4" t="str">
        <f t="shared" si="46"/>
        <v/>
      </c>
      <c r="V564" s="7">
        <v>2</v>
      </c>
    </row>
    <row r="565" spans="4:22" x14ac:dyDescent="0.45">
      <c r="D565" s="42" t="s">
        <v>845</v>
      </c>
      <c r="E565" s="4" t="str">
        <f>[1]Mitigation!H14162</f>
        <v>irn.mit.elec.twh.tot.1</v>
      </c>
      <c r="F565" s="4" t="str">
        <f t="shared" si="47"/>
        <v>N/A</v>
      </c>
      <c r="G565" s="4" t="str">
        <f t="shared" si="44"/>
        <v>irn.mit.elec_all.all.all.all.twh.1</v>
      </c>
      <c r="H565" s="4" t="s">
        <v>19</v>
      </c>
      <c r="I565" s="4" t="s">
        <v>168</v>
      </c>
      <c r="J565" s="4" t="s">
        <v>46</v>
      </c>
      <c r="K565" s="4" t="s">
        <v>169</v>
      </c>
      <c r="L565" s="4"/>
      <c r="M565" s="4"/>
      <c r="N565" s="4" t="s">
        <v>37</v>
      </c>
      <c r="O565" s="4"/>
      <c r="P565" s="4" t="str">
        <f t="shared" si="45"/>
        <v>tot</v>
      </c>
      <c r="Q565" s="4" t="s">
        <v>46</v>
      </c>
      <c r="R565" s="4"/>
      <c r="S565" s="4"/>
      <c r="T565" s="4"/>
      <c r="U565" s="4" t="str">
        <f t="shared" si="46"/>
        <v/>
      </c>
      <c r="V565" s="7">
        <v>1</v>
      </c>
    </row>
    <row r="566" spans="4:22" x14ac:dyDescent="0.45">
      <c r="D566" s="43" t="s">
        <v>846</v>
      </c>
      <c r="E566" s="4" t="str">
        <f>[1]Mitigation!H14163</f>
        <v>irn.mit.elec.twh.coa.1</v>
      </c>
      <c r="F566" s="4" t="str">
        <f t="shared" si="47"/>
        <v>N/A</v>
      </c>
      <c r="G566" s="4" t="str">
        <f t="shared" si="44"/>
        <v>irn.mit.elec_f.all.coa.all.twh.1</v>
      </c>
      <c r="H566" s="4" t="s">
        <v>19</v>
      </c>
      <c r="I566" s="4" t="s">
        <v>168</v>
      </c>
      <c r="J566" s="4" t="s">
        <v>59</v>
      </c>
      <c r="K566" s="4" t="s">
        <v>169</v>
      </c>
      <c r="L566" s="4"/>
      <c r="M566" s="4"/>
      <c r="N566" s="4" t="s">
        <v>46</v>
      </c>
      <c r="O566" s="4"/>
      <c r="P566" s="4" t="str">
        <f t="shared" si="45"/>
        <v>all</v>
      </c>
      <c r="Q566" s="4" t="s">
        <v>60</v>
      </c>
      <c r="R566" s="4"/>
      <c r="S566" s="4"/>
      <c r="T566" s="4"/>
      <c r="U566" s="4" t="str">
        <f t="shared" si="46"/>
        <v/>
      </c>
      <c r="V566" s="7">
        <v>1</v>
      </c>
    </row>
    <row r="567" spans="4:22" x14ac:dyDescent="0.45">
      <c r="D567" s="43" t="s">
        <v>847</v>
      </c>
      <c r="E567" s="4" t="str">
        <f>[1]Mitigation!H14164</f>
        <v>irn.mit.elec.twh.nga.1</v>
      </c>
      <c r="F567" s="4" t="str">
        <f t="shared" si="47"/>
        <v>N/A</v>
      </c>
      <c r="G567" s="4" t="str">
        <f t="shared" si="44"/>
        <v>irn.mit.elec_f.all.nga.all.twh.1</v>
      </c>
      <c r="H567" s="4" t="s">
        <v>19</v>
      </c>
      <c r="I567" s="4" t="s">
        <v>168</v>
      </c>
      <c r="J567" s="4" t="s">
        <v>59</v>
      </c>
      <c r="K567" s="4" t="s">
        <v>169</v>
      </c>
      <c r="L567" s="4"/>
      <c r="M567" s="4"/>
      <c r="N567" s="4" t="s">
        <v>46</v>
      </c>
      <c r="O567" s="4"/>
      <c r="P567" s="4" t="str">
        <f t="shared" si="45"/>
        <v>all</v>
      </c>
      <c r="Q567" s="4" t="s">
        <v>61</v>
      </c>
      <c r="R567" s="4"/>
      <c r="S567" s="4"/>
      <c r="T567" s="4"/>
      <c r="U567" s="4" t="str">
        <f t="shared" si="46"/>
        <v/>
      </c>
      <c r="V567" s="7">
        <v>1</v>
      </c>
    </row>
    <row r="568" spans="4:22" x14ac:dyDescent="0.45">
      <c r="D568" s="43" t="s">
        <v>848</v>
      </c>
      <c r="E568" s="4" t="str">
        <f>[1]Mitigation!H14165</f>
        <v>irn.mit.elec.twh.oop.1</v>
      </c>
      <c r="F568" s="4" t="str">
        <f t="shared" si="47"/>
        <v>N/A</v>
      </c>
      <c r="G568" s="4" t="str">
        <f t="shared" si="44"/>
        <v>irn.mit.elec_f.all.oop.all.twh.1</v>
      </c>
      <c r="H568" s="4" t="s">
        <v>19</v>
      </c>
      <c r="I568" s="4" t="s">
        <v>168</v>
      </c>
      <c r="J568" s="4" t="s">
        <v>59</v>
      </c>
      <c r="K568" s="4" t="s">
        <v>169</v>
      </c>
      <c r="L568" s="4"/>
      <c r="M568" s="4"/>
      <c r="N568" s="4" t="s">
        <v>46</v>
      </c>
      <c r="O568" s="4"/>
      <c r="P568" s="4" t="str">
        <f t="shared" si="45"/>
        <v>all</v>
      </c>
      <c r="Q568" s="4" t="s">
        <v>113</v>
      </c>
      <c r="R568" s="4"/>
      <c r="S568" s="4"/>
      <c r="T568" s="4"/>
      <c r="U568" s="4" t="str">
        <f t="shared" si="46"/>
        <v/>
      </c>
      <c r="V568" s="7">
        <v>1</v>
      </c>
    </row>
    <row r="569" spans="4:22" x14ac:dyDescent="0.45">
      <c r="D569" s="43" t="s">
        <v>849</v>
      </c>
      <c r="E569" s="4" t="str">
        <f>[1]Mitigation!H14166</f>
        <v>irn.mit.elec.twh.nuc.1</v>
      </c>
      <c r="F569" s="4" t="str">
        <f t="shared" si="47"/>
        <v>N/A</v>
      </c>
      <c r="G569" s="4" t="str">
        <f t="shared" si="44"/>
        <v>irn.mit.elec_f.all.nuc.all.twh.1</v>
      </c>
      <c r="H569" s="4" t="s">
        <v>19</v>
      </c>
      <c r="I569" s="4" t="s">
        <v>168</v>
      </c>
      <c r="J569" s="4" t="s">
        <v>59</v>
      </c>
      <c r="K569" s="4" t="s">
        <v>169</v>
      </c>
      <c r="L569" s="4"/>
      <c r="M569" s="4"/>
      <c r="N569" s="4" t="s">
        <v>46</v>
      </c>
      <c r="O569" s="4"/>
      <c r="P569" s="4" t="str">
        <f t="shared" si="45"/>
        <v>all</v>
      </c>
      <c r="Q569" s="4" t="s">
        <v>160</v>
      </c>
      <c r="R569" s="4"/>
      <c r="S569" s="4"/>
      <c r="T569" s="4"/>
      <c r="U569" s="4" t="str">
        <f t="shared" si="46"/>
        <v/>
      </c>
      <c r="V569" s="7">
        <v>1</v>
      </c>
    </row>
    <row r="570" spans="4:22" x14ac:dyDescent="0.45">
      <c r="D570" s="43" t="s">
        <v>850</v>
      </c>
      <c r="E570" s="4" t="str">
        <f>[1]Mitigation!H14167</f>
        <v>irn.mit.elec.twh.wnd.1</v>
      </c>
      <c r="F570" s="4" t="str">
        <f t="shared" si="47"/>
        <v>N/A</v>
      </c>
      <c r="G570" s="4" t="str">
        <f t="shared" si="44"/>
        <v>irn.mit.elec_f.all.wnd.all.twh.1</v>
      </c>
      <c r="H570" s="4" t="s">
        <v>19</v>
      </c>
      <c r="I570" s="4" t="s">
        <v>168</v>
      </c>
      <c r="J570" s="4" t="s">
        <v>59</v>
      </c>
      <c r="K570" s="4" t="s">
        <v>169</v>
      </c>
      <c r="L570" s="4"/>
      <c r="M570" s="4"/>
      <c r="N570" s="4" t="s">
        <v>46</v>
      </c>
      <c r="O570" s="4"/>
      <c r="P570" s="4" t="str">
        <f t="shared" si="45"/>
        <v>all</v>
      </c>
      <c r="Q570" s="4" t="s">
        <v>170</v>
      </c>
      <c r="R570" s="4"/>
      <c r="S570" s="4"/>
      <c r="T570" s="4"/>
      <c r="U570" s="4" t="str">
        <f t="shared" si="46"/>
        <v/>
      </c>
      <c r="V570" s="7">
        <v>1</v>
      </c>
    </row>
    <row r="571" spans="4:22" x14ac:dyDescent="0.45">
      <c r="D571" s="43" t="s">
        <v>851</v>
      </c>
      <c r="E571" s="4" t="str">
        <f>[1]Mitigation!H14168</f>
        <v>irn.mit.elec.twh.sol.1</v>
      </c>
      <c r="F571" s="4" t="str">
        <f t="shared" si="47"/>
        <v>N/A</v>
      </c>
      <c r="G571" s="4" t="str">
        <f t="shared" si="44"/>
        <v>irn.mit.elec_f.all.sol.all.twh.1</v>
      </c>
      <c r="H571" s="4" t="s">
        <v>19</v>
      </c>
      <c r="I571" s="4" t="s">
        <v>168</v>
      </c>
      <c r="J571" s="4" t="s">
        <v>59</v>
      </c>
      <c r="K571" s="4" t="s">
        <v>169</v>
      </c>
      <c r="L571" s="4"/>
      <c r="M571" s="4"/>
      <c r="N571" s="4" t="s">
        <v>46</v>
      </c>
      <c r="O571" s="4"/>
      <c r="P571" s="4" t="str">
        <f t="shared" si="45"/>
        <v>all</v>
      </c>
      <c r="Q571" s="4" t="s">
        <v>171</v>
      </c>
      <c r="R571" s="4"/>
      <c r="S571" s="4"/>
      <c r="T571" s="4"/>
      <c r="U571" s="4" t="str">
        <f t="shared" si="46"/>
        <v/>
      </c>
      <c r="V571" s="7">
        <v>1</v>
      </c>
    </row>
    <row r="572" spans="4:22" x14ac:dyDescent="0.45">
      <c r="D572" s="43" t="s">
        <v>852</v>
      </c>
      <c r="E572" s="4" t="str">
        <f>[1]Mitigation!H14169</f>
        <v>irn.mit.elec.twh.hyd.1</v>
      </c>
      <c r="F572" s="4" t="str">
        <f t="shared" si="47"/>
        <v>N/A</v>
      </c>
      <c r="G572" s="4" t="str">
        <f t="shared" si="44"/>
        <v>irn.mit.elec_f.all.hyd.all.twh.1</v>
      </c>
      <c r="H572" s="4" t="s">
        <v>19</v>
      </c>
      <c r="I572" s="4" t="s">
        <v>168</v>
      </c>
      <c r="J572" s="4" t="s">
        <v>59</v>
      </c>
      <c r="K572" s="4" t="s">
        <v>169</v>
      </c>
      <c r="L572" s="4"/>
      <c r="M572" s="4"/>
      <c r="N572" s="4" t="s">
        <v>46</v>
      </c>
      <c r="O572" s="4"/>
      <c r="P572" s="4" t="str">
        <f t="shared" si="45"/>
        <v>all</v>
      </c>
      <c r="Q572" s="4" t="s">
        <v>172</v>
      </c>
      <c r="R572" s="4"/>
      <c r="S572" s="4"/>
      <c r="T572" s="4"/>
      <c r="U572" s="4" t="str">
        <f t="shared" si="46"/>
        <v/>
      </c>
      <c r="V572" s="7">
        <v>1</v>
      </c>
    </row>
    <row r="573" spans="4:22" x14ac:dyDescent="0.45">
      <c r="D573" s="43" t="s">
        <v>853</v>
      </c>
      <c r="E573" s="4" t="str">
        <f>[1]Mitigation!H14170</f>
        <v>irn.mit.elec.twh.ore.1</v>
      </c>
      <c r="F573" s="4" t="str">
        <f t="shared" si="47"/>
        <v>N/A</v>
      </c>
      <c r="G573" s="4" t="str">
        <f t="shared" si="44"/>
        <v>irn.mit.elec_f.all.ore.all.twh.1</v>
      </c>
      <c r="H573" s="4" t="s">
        <v>19</v>
      </c>
      <c r="I573" s="4" t="s">
        <v>168</v>
      </c>
      <c r="J573" s="4" t="s">
        <v>59</v>
      </c>
      <c r="K573" s="4" t="s">
        <v>169</v>
      </c>
      <c r="L573" s="4"/>
      <c r="M573" s="4"/>
      <c r="N573" s="4" t="s">
        <v>46</v>
      </c>
      <c r="O573" s="4"/>
      <c r="P573" s="4" t="str">
        <f t="shared" si="45"/>
        <v>all</v>
      </c>
      <c r="Q573" s="4" t="s">
        <v>173</v>
      </c>
      <c r="R573" s="4"/>
      <c r="S573" s="4"/>
      <c r="T573" s="4"/>
      <c r="U573" s="4" t="str">
        <f t="shared" si="46"/>
        <v/>
      </c>
      <c r="V573" s="7">
        <v>1</v>
      </c>
    </row>
    <row r="574" spans="4:22" x14ac:dyDescent="0.45">
      <c r="D574" s="43" t="s">
        <v>854</v>
      </c>
      <c r="E574" s="4" t="str">
        <f>[1]Mitigation!H14171</f>
        <v>irn.mit.elec.twh.bio.1</v>
      </c>
      <c r="F574" s="4" t="str">
        <f t="shared" si="47"/>
        <v>N/A</v>
      </c>
      <c r="G574" s="4" t="str">
        <f t="shared" si="44"/>
        <v>irn.mit.elec_f.all.bio.all.twh.1</v>
      </c>
      <c r="H574" s="4" t="s">
        <v>19</v>
      </c>
      <c r="I574" s="4" t="s">
        <v>168</v>
      </c>
      <c r="J574" s="4" t="s">
        <v>59</v>
      </c>
      <c r="K574" s="4" t="s">
        <v>169</v>
      </c>
      <c r="L574" s="4"/>
      <c r="M574" s="4"/>
      <c r="N574" s="4" t="s">
        <v>46</v>
      </c>
      <c r="O574" s="4"/>
      <c r="P574" s="4" t="str">
        <f t="shared" si="45"/>
        <v>all</v>
      </c>
      <c r="Q574" s="4" t="s">
        <v>162</v>
      </c>
      <c r="R574" s="4"/>
      <c r="S574" s="4"/>
      <c r="T574" s="4"/>
      <c r="U574" s="4" t="str">
        <f t="shared" si="46"/>
        <v/>
      </c>
      <c r="V574" s="7">
        <v>1</v>
      </c>
    </row>
    <row r="575" spans="4:22" x14ac:dyDescent="0.45">
      <c r="D575" s="43" t="s">
        <v>855</v>
      </c>
      <c r="E575" s="4" t="str">
        <f>[1]Mitigation!H14172</f>
        <v>irn.mit.elec.twh.ren.1</v>
      </c>
      <c r="F575" s="4" t="str">
        <f t="shared" si="47"/>
        <v>N/A</v>
      </c>
      <c r="G575" s="4" t="str">
        <f t="shared" si="44"/>
        <v>irn.mit.elec_f.all.ren.all.twh.1</v>
      </c>
      <c r="H575" s="4" t="s">
        <v>19</v>
      </c>
      <c r="I575" s="4" t="s">
        <v>168</v>
      </c>
      <c r="J575" s="4" t="s">
        <v>59</v>
      </c>
      <c r="K575" s="4" t="s">
        <v>169</v>
      </c>
      <c r="L575" s="4"/>
      <c r="M575" s="4"/>
      <c r="N575" s="4" t="s">
        <v>46</v>
      </c>
      <c r="O575" s="4"/>
      <c r="P575" s="4" t="str">
        <f t="shared" si="45"/>
        <v>all</v>
      </c>
      <c r="Q575" s="4" t="s">
        <v>174</v>
      </c>
      <c r="R575" s="4"/>
      <c r="S575" s="4"/>
      <c r="T575" s="4"/>
      <c r="U575" s="4" t="str">
        <f t="shared" si="46"/>
        <v/>
      </c>
      <c r="V575" s="7">
        <v>1</v>
      </c>
    </row>
    <row r="576" spans="4:22" x14ac:dyDescent="0.45">
      <c r="D576" s="42" t="s">
        <v>856</v>
      </c>
      <c r="E576" s="4" t="str">
        <f>[1]Mitigation!H14177</f>
        <v>irn.mit.elec.twh.tot.2</v>
      </c>
      <c r="F576" s="4" t="str">
        <f t="shared" si="47"/>
        <v>N/A</v>
      </c>
      <c r="G576" s="4" t="str">
        <f t="shared" si="44"/>
        <v>irn.mit.elec_all.all.all.all.twh.2</v>
      </c>
      <c r="H576" s="4" t="s">
        <v>19</v>
      </c>
      <c r="I576" s="4" t="s">
        <v>168</v>
      </c>
      <c r="J576" s="4" t="s">
        <v>46</v>
      </c>
      <c r="K576" s="4" t="s">
        <v>169</v>
      </c>
      <c r="L576" s="4"/>
      <c r="M576" s="4"/>
      <c r="N576" s="4" t="s">
        <v>37</v>
      </c>
      <c r="O576" s="4"/>
      <c r="P576" s="4" t="str">
        <f t="shared" si="45"/>
        <v>tot</v>
      </c>
      <c r="Q576" s="4" t="s">
        <v>46</v>
      </c>
      <c r="R576" s="4"/>
      <c r="S576" s="4"/>
      <c r="T576" s="4"/>
      <c r="U576" s="4" t="str">
        <f t="shared" si="46"/>
        <v/>
      </c>
      <c r="V576" s="7">
        <v>2</v>
      </c>
    </row>
    <row r="577" spans="4:22" x14ac:dyDescent="0.45">
      <c r="D577" s="43" t="s">
        <v>857</v>
      </c>
      <c r="E577" s="4" t="str">
        <f>[1]Mitigation!H14178</f>
        <v>irn.mit.elec.twh.coa.2</v>
      </c>
      <c r="F577" s="4" t="str">
        <f t="shared" si="47"/>
        <v>N/A</v>
      </c>
      <c r="G577" s="4" t="str">
        <f t="shared" si="44"/>
        <v>irn.mit.elec_f.all.coa.all.twh.2</v>
      </c>
      <c r="H577" s="4" t="s">
        <v>19</v>
      </c>
      <c r="I577" s="4" t="s">
        <v>168</v>
      </c>
      <c r="J577" s="4" t="s">
        <v>59</v>
      </c>
      <c r="K577" s="4" t="s">
        <v>169</v>
      </c>
      <c r="L577" s="4"/>
      <c r="M577" s="4"/>
      <c r="N577" s="4" t="s">
        <v>46</v>
      </c>
      <c r="O577" s="4"/>
      <c r="P577" s="4" t="str">
        <f t="shared" si="45"/>
        <v>all</v>
      </c>
      <c r="Q577" s="4" t="s">
        <v>60</v>
      </c>
      <c r="R577" s="4"/>
      <c r="S577" s="4"/>
      <c r="T577" s="4"/>
      <c r="U577" s="4" t="str">
        <f t="shared" si="46"/>
        <v/>
      </c>
      <c r="V577" s="7">
        <v>2</v>
      </c>
    </row>
    <row r="578" spans="4:22" x14ac:dyDescent="0.45">
      <c r="D578" s="43" t="s">
        <v>858</v>
      </c>
      <c r="E578" s="4" t="str">
        <f>[1]Mitigation!H14179</f>
        <v>irn.mit.elec.twh.nga.2</v>
      </c>
      <c r="F578" s="4" t="str">
        <f t="shared" si="47"/>
        <v>N/A</v>
      </c>
      <c r="G578" s="4" t="str">
        <f t="shared" si="44"/>
        <v>irn.mit.elec_f.all.nga.all.twh.2</v>
      </c>
      <c r="H578" s="4" t="s">
        <v>19</v>
      </c>
      <c r="I578" s="4" t="s">
        <v>168</v>
      </c>
      <c r="J578" s="4" t="s">
        <v>59</v>
      </c>
      <c r="K578" s="4" t="s">
        <v>169</v>
      </c>
      <c r="L578" s="4"/>
      <c r="M578" s="4"/>
      <c r="N578" s="4" t="s">
        <v>46</v>
      </c>
      <c r="O578" s="4"/>
      <c r="P578" s="4" t="str">
        <f t="shared" si="45"/>
        <v>all</v>
      </c>
      <c r="Q578" s="4" t="s">
        <v>61</v>
      </c>
      <c r="R578" s="4"/>
      <c r="S578" s="4"/>
      <c r="T578" s="4"/>
      <c r="U578" s="4" t="str">
        <f t="shared" si="46"/>
        <v/>
      </c>
      <c r="V578" s="7">
        <v>2</v>
      </c>
    </row>
    <row r="579" spans="4:22" x14ac:dyDescent="0.45">
      <c r="D579" s="43" t="s">
        <v>859</v>
      </c>
      <c r="E579" s="4" t="str">
        <f>[1]Mitigation!H14180</f>
        <v>irn.mit.elec.twh.oop.2</v>
      </c>
      <c r="F579" s="4" t="str">
        <f t="shared" si="47"/>
        <v>N/A</v>
      </c>
      <c r="G579" s="4" t="str">
        <f t="shared" si="44"/>
        <v>irn.mit.elec_f.all.oop.all.twh.2</v>
      </c>
      <c r="H579" s="4" t="s">
        <v>19</v>
      </c>
      <c r="I579" s="4" t="s">
        <v>168</v>
      </c>
      <c r="J579" s="4" t="s">
        <v>59</v>
      </c>
      <c r="K579" s="4" t="s">
        <v>169</v>
      </c>
      <c r="L579" s="4"/>
      <c r="M579" s="4"/>
      <c r="N579" s="4" t="s">
        <v>46</v>
      </c>
      <c r="O579" s="4"/>
      <c r="P579" s="4" t="str">
        <f t="shared" si="45"/>
        <v>all</v>
      </c>
      <c r="Q579" s="4" t="s">
        <v>113</v>
      </c>
      <c r="R579" s="4"/>
      <c r="S579" s="4"/>
      <c r="T579" s="4"/>
      <c r="U579" s="4" t="str">
        <f t="shared" si="46"/>
        <v/>
      </c>
      <c r="V579" s="7">
        <v>2</v>
      </c>
    </row>
    <row r="580" spans="4:22" x14ac:dyDescent="0.45">
      <c r="D580" s="43" t="s">
        <v>860</v>
      </c>
      <c r="E580" s="4" t="str">
        <f>[1]Mitigation!H14181</f>
        <v>irn.mit.elec.twh.nuc.2</v>
      </c>
      <c r="F580" s="4" t="str">
        <f t="shared" si="47"/>
        <v>N/A</v>
      </c>
      <c r="G580" s="4" t="str">
        <f t="shared" si="44"/>
        <v>irn.mit.elec_f.all.nuc.all.twh.2</v>
      </c>
      <c r="H580" s="4" t="s">
        <v>19</v>
      </c>
      <c r="I580" s="4" t="s">
        <v>168</v>
      </c>
      <c r="J580" s="4" t="s">
        <v>59</v>
      </c>
      <c r="K580" s="4" t="s">
        <v>169</v>
      </c>
      <c r="L580" s="4"/>
      <c r="M580" s="4"/>
      <c r="N580" s="4" t="s">
        <v>46</v>
      </c>
      <c r="O580" s="4"/>
      <c r="P580" s="4" t="str">
        <f t="shared" si="45"/>
        <v>all</v>
      </c>
      <c r="Q580" s="4" t="s">
        <v>160</v>
      </c>
      <c r="R580" s="4"/>
      <c r="S580" s="4"/>
      <c r="T580" s="4"/>
      <c r="U580" s="4" t="str">
        <f t="shared" si="46"/>
        <v/>
      </c>
      <c r="V580" s="7">
        <v>2</v>
      </c>
    </row>
    <row r="581" spans="4:22" x14ac:dyDescent="0.45">
      <c r="D581" s="43" t="s">
        <v>861</v>
      </c>
      <c r="E581" s="4" t="str">
        <f>[1]Mitigation!H14182</f>
        <v>irn.mit.elec.twh.wnd.2</v>
      </c>
      <c r="F581" s="4" t="str">
        <f t="shared" si="47"/>
        <v>N/A</v>
      </c>
      <c r="G581" s="4" t="str">
        <f t="shared" si="44"/>
        <v>irn.mit.elec_f.all.wnd.all.twh.2</v>
      </c>
      <c r="H581" s="4" t="s">
        <v>19</v>
      </c>
      <c r="I581" s="4" t="s">
        <v>168</v>
      </c>
      <c r="J581" s="4" t="s">
        <v>59</v>
      </c>
      <c r="K581" s="4" t="s">
        <v>169</v>
      </c>
      <c r="L581" s="4"/>
      <c r="M581" s="4"/>
      <c r="N581" s="4" t="s">
        <v>46</v>
      </c>
      <c r="O581" s="4"/>
      <c r="P581" s="4" t="str">
        <f t="shared" si="45"/>
        <v>all</v>
      </c>
      <c r="Q581" s="4" t="s">
        <v>170</v>
      </c>
      <c r="R581" s="4"/>
      <c r="S581" s="4"/>
      <c r="T581" s="4"/>
      <c r="U581" s="4" t="str">
        <f t="shared" si="46"/>
        <v/>
      </c>
      <c r="V581" s="7">
        <v>2</v>
      </c>
    </row>
    <row r="582" spans="4:22" x14ac:dyDescent="0.45">
      <c r="D582" s="43" t="s">
        <v>862</v>
      </c>
      <c r="E582" s="4" t="str">
        <f>[1]Mitigation!H14183</f>
        <v>irn.mit.elec.twh.sol.2</v>
      </c>
      <c r="F582" s="4" t="str">
        <f t="shared" si="47"/>
        <v>N/A</v>
      </c>
      <c r="G582" s="4" t="str">
        <f t="shared" si="44"/>
        <v>irn.mit.elec_f.all.sol.all.twh.2</v>
      </c>
      <c r="H582" s="4" t="s">
        <v>19</v>
      </c>
      <c r="I582" s="4" t="s">
        <v>168</v>
      </c>
      <c r="J582" s="4" t="s">
        <v>59</v>
      </c>
      <c r="K582" s="4" t="s">
        <v>169</v>
      </c>
      <c r="L582" s="4"/>
      <c r="M582" s="4"/>
      <c r="N582" s="4" t="s">
        <v>46</v>
      </c>
      <c r="O582" s="4"/>
      <c r="P582" s="4" t="str">
        <f t="shared" si="45"/>
        <v>all</v>
      </c>
      <c r="Q582" s="4" t="s">
        <v>171</v>
      </c>
      <c r="R582" s="4"/>
      <c r="S582" s="4"/>
      <c r="T582" s="4"/>
      <c r="U582" s="4" t="str">
        <f t="shared" si="46"/>
        <v/>
      </c>
      <c r="V582" s="7">
        <v>2</v>
      </c>
    </row>
    <row r="583" spans="4:22" x14ac:dyDescent="0.45">
      <c r="D583" s="43" t="s">
        <v>863</v>
      </c>
      <c r="E583" s="4" t="str">
        <f>[1]Mitigation!H14184</f>
        <v>irn.mit.elec.twh.hyd.2</v>
      </c>
      <c r="F583" s="4" t="str">
        <f t="shared" si="47"/>
        <v>N/A</v>
      </c>
      <c r="G583" s="4" t="str">
        <f t="shared" si="44"/>
        <v>irn.mit.elec_f.all.hyd.all.twh.2</v>
      </c>
      <c r="H583" s="4" t="s">
        <v>19</v>
      </c>
      <c r="I583" s="4" t="s">
        <v>168</v>
      </c>
      <c r="J583" s="4" t="s">
        <v>59</v>
      </c>
      <c r="K583" s="4" t="s">
        <v>169</v>
      </c>
      <c r="L583" s="4"/>
      <c r="M583" s="4"/>
      <c r="N583" s="4" t="s">
        <v>46</v>
      </c>
      <c r="O583" s="4"/>
      <c r="P583" s="4" t="str">
        <f t="shared" si="45"/>
        <v>all</v>
      </c>
      <c r="Q583" s="4" t="s">
        <v>172</v>
      </c>
      <c r="R583" s="4"/>
      <c r="S583" s="4"/>
      <c r="T583" s="4"/>
      <c r="U583" s="4" t="str">
        <f t="shared" si="46"/>
        <v/>
      </c>
      <c r="V583" s="7">
        <v>2</v>
      </c>
    </row>
    <row r="584" spans="4:22" x14ac:dyDescent="0.45">
      <c r="D584" s="43" t="s">
        <v>864</v>
      </c>
      <c r="E584" s="4" t="str">
        <f>[1]Mitigation!H14185</f>
        <v>irn.mit.elec.twh.ore.2</v>
      </c>
      <c r="F584" s="4" t="str">
        <f t="shared" si="47"/>
        <v>N/A</v>
      </c>
      <c r="G584" s="4" t="str">
        <f t="shared" si="44"/>
        <v>irn.mit.elec_f.all.ore.all.twh.2</v>
      </c>
      <c r="H584" s="4" t="s">
        <v>19</v>
      </c>
      <c r="I584" s="4" t="s">
        <v>168</v>
      </c>
      <c r="J584" s="4" t="s">
        <v>59</v>
      </c>
      <c r="K584" s="4" t="s">
        <v>169</v>
      </c>
      <c r="L584" s="4"/>
      <c r="M584" s="4"/>
      <c r="N584" s="4" t="s">
        <v>46</v>
      </c>
      <c r="O584" s="4"/>
      <c r="P584" s="4" t="str">
        <f t="shared" si="45"/>
        <v>all</v>
      </c>
      <c r="Q584" s="4" t="s">
        <v>173</v>
      </c>
      <c r="R584" s="4"/>
      <c r="S584" s="4"/>
      <c r="T584" s="4"/>
      <c r="U584" s="4" t="str">
        <f t="shared" si="46"/>
        <v/>
      </c>
      <c r="V584" s="7">
        <v>2</v>
      </c>
    </row>
    <row r="585" spans="4:22" x14ac:dyDescent="0.45">
      <c r="D585" s="43" t="s">
        <v>865</v>
      </c>
      <c r="E585" s="4" t="str">
        <f>[1]Mitigation!H14186</f>
        <v>irn.mit.elec.twh.bio.2</v>
      </c>
      <c r="F585" s="4" t="str">
        <f>IF(MTAct,E585&amp;"_"&amp;MSTScenarioID,"N/A")</f>
        <v>N/A</v>
      </c>
      <c r="G585" s="4" t="str">
        <f t="shared" si="44"/>
        <v>irn.mit.elec_f.all.bio.all.twh.2</v>
      </c>
      <c r="H585" s="4" t="s">
        <v>19</v>
      </c>
      <c r="I585" s="4" t="s">
        <v>168</v>
      </c>
      <c r="J585" s="4" t="s">
        <v>59</v>
      </c>
      <c r="K585" s="4" t="s">
        <v>169</v>
      </c>
      <c r="L585" s="4"/>
      <c r="M585" s="4"/>
      <c r="N585" s="4" t="s">
        <v>46</v>
      </c>
      <c r="O585" s="4"/>
      <c r="P585" s="4" t="str">
        <f t="shared" si="45"/>
        <v>all</v>
      </c>
      <c r="Q585" s="4" t="s">
        <v>162</v>
      </c>
      <c r="R585" s="4"/>
      <c r="S585" s="4"/>
      <c r="T585" s="4"/>
      <c r="U585" s="4" t="str">
        <f t="shared" si="46"/>
        <v/>
      </c>
      <c r="V585" s="7">
        <v>2</v>
      </c>
    </row>
    <row r="586" spans="4:22" x14ac:dyDescent="0.45">
      <c r="D586" s="43" t="s">
        <v>866</v>
      </c>
      <c r="E586" s="4" t="str">
        <f>[1]Mitigation!H14187</f>
        <v>irn.mit.elec.twh.ren.2</v>
      </c>
      <c r="F586" s="4" t="str">
        <f>IF(MTAct,E586&amp;"_"&amp;MSTScenarioID,"N/A")</f>
        <v>N/A</v>
      </c>
      <c r="G586" s="4" t="str">
        <f t="shared" si="44"/>
        <v>irn.mit.elec_f.all.ren.all.twh.2</v>
      </c>
      <c r="H586" s="4" t="s">
        <v>19</v>
      </c>
      <c r="I586" s="4" t="s">
        <v>168</v>
      </c>
      <c r="J586" s="4" t="s">
        <v>59</v>
      </c>
      <c r="K586" s="4" t="s">
        <v>169</v>
      </c>
      <c r="L586" s="4"/>
      <c r="M586" s="4"/>
      <c r="N586" s="4" t="s">
        <v>46</v>
      </c>
      <c r="O586" s="4"/>
      <c r="P586" s="4" t="str">
        <f t="shared" si="45"/>
        <v>all</v>
      </c>
      <c r="Q586" s="4" t="s">
        <v>174</v>
      </c>
      <c r="R586" s="4"/>
      <c r="S586" s="4"/>
      <c r="T586" s="4"/>
      <c r="U586" s="4" t="str">
        <f t="shared" si="46"/>
        <v/>
      </c>
      <c r="V586" s="7">
        <v>2</v>
      </c>
    </row>
    <row r="587" spans="4:22" x14ac:dyDescent="0.45">
      <c r="D587" s="2"/>
      <c r="E587" s="3"/>
      <c r="F587" s="3"/>
      <c r="G587" s="3" t="str">
        <f t="shared" si="44"/>
        <v/>
      </c>
      <c r="H587" s="3" t="s">
        <v>18</v>
      </c>
      <c r="I587" s="3"/>
      <c r="J587" s="3" t="s">
        <v>18</v>
      </c>
      <c r="K587" s="3"/>
      <c r="L587" s="3"/>
      <c r="M587" s="3"/>
      <c r="N587" s="3"/>
      <c r="O587" s="3"/>
      <c r="P587" s="3" t="str">
        <f t="shared" si="45"/>
        <v/>
      </c>
      <c r="Q587" s="3"/>
      <c r="R587" s="3"/>
      <c r="S587" s="3"/>
      <c r="T587" s="3"/>
      <c r="U587" s="3" t="str">
        <f t="shared" si="46"/>
        <v/>
      </c>
      <c r="V587" s="3"/>
    </row>
    <row r="588" spans="4:22" x14ac:dyDescent="0.45">
      <c r="D588" s="44" t="s">
        <v>867</v>
      </c>
      <c r="E588" s="4" t="str">
        <f>[1]Mitigation!H8828</f>
        <v>irn.mit.ener.tot.rod.</v>
      </c>
      <c r="F588" s="4" t="str">
        <f>IF(MTAct,E588&amp;"_"&amp;MSTScenarioID,"N/A")</f>
        <v>N/A</v>
      </c>
      <c r="G588" s="4" t="str">
        <f t="shared" si="44"/>
        <v>irn.mit.ener_s.e.tot.all.ktoe.2</v>
      </c>
      <c r="H588" s="4" t="s">
        <v>19</v>
      </c>
      <c r="I588" s="4" t="s">
        <v>158</v>
      </c>
      <c r="J588" s="4" t="s">
        <v>67</v>
      </c>
      <c r="K588" s="4" t="s">
        <v>159</v>
      </c>
      <c r="L588" s="4"/>
      <c r="M588" s="4"/>
      <c r="N588" s="4" t="s">
        <v>27</v>
      </c>
      <c r="O588" s="4"/>
      <c r="P588" s="4" t="str">
        <f t="shared" si="45"/>
        <v>tra</v>
      </c>
      <c r="Q588" s="4" t="s">
        <v>37</v>
      </c>
      <c r="R588" s="4" t="s">
        <v>175</v>
      </c>
      <c r="S588" s="4"/>
      <c r="T588" s="4"/>
      <c r="U588" s="4"/>
      <c r="V588" s="9">
        <f>[1]Mitigation!$C$6767</f>
        <v>2</v>
      </c>
    </row>
    <row r="589" spans="4:22" x14ac:dyDescent="0.45">
      <c r="D589" s="43" t="s">
        <v>868</v>
      </c>
      <c r="E589" s="4" t="str">
        <f>[1]Mitigation!H8814</f>
        <v>irn.mit.ener.rod.coa.e.2</v>
      </c>
      <c r="F589" s="4" t="str">
        <f t="shared" ref="F589:F664" si="48">IF(MTAct,E589&amp;"_"&amp;MSTScenarioID,"N/A")</f>
        <v>N/A</v>
      </c>
      <c r="G589" s="4" t="str">
        <f t="shared" si="44"/>
        <v>irn.mit.ener_g-f.e.coa.e.ktoe.2</v>
      </c>
      <c r="H589" s="4" t="s">
        <v>19</v>
      </c>
      <c r="I589" s="4" t="s">
        <v>158</v>
      </c>
      <c r="J589" s="4" t="s">
        <v>176</v>
      </c>
      <c r="K589" s="4" t="s">
        <v>159</v>
      </c>
      <c r="L589" s="4"/>
      <c r="M589" s="4" t="s">
        <v>27</v>
      </c>
      <c r="N589" s="4" t="s">
        <v>177</v>
      </c>
      <c r="O589" s="4"/>
      <c r="P589" s="4" t="str">
        <f t="shared" si="45"/>
        <v>rod</v>
      </c>
      <c r="Q589" s="4" t="s">
        <v>60</v>
      </c>
      <c r="R589" s="4" t="s">
        <v>175</v>
      </c>
      <c r="S589" s="4"/>
      <c r="T589" s="4"/>
      <c r="U589" s="4" t="str">
        <f>R589&amp;T589&amp;S589</f>
        <v>e</v>
      </c>
      <c r="V589" s="9">
        <f>[1]Mitigation!$C$6767</f>
        <v>2</v>
      </c>
    </row>
    <row r="590" spans="4:22" x14ac:dyDescent="0.45">
      <c r="D590" s="43" t="s">
        <v>869</v>
      </c>
      <c r="E590" s="4" t="str">
        <f>[1]Mitigation!H8815</f>
        <v>irn.mit.ener.rod.nga.e.2</v>
      </c>
      <c r="F590" s="4" t="str">
        <f t="shared" si="48"/>
        <v>N/A</v>
      </c>
      <c r="G590" s="4" t="str">
        <f t="shared" si="44"/>
        <v>irn.mit.ener_g-f.e.nga.all.ktoe.2</v>
      </c>
      <c r="H590" s="4" t="s">
        <v>19</v>
      </c>
      <c r="I590" s="4" t="s">
        <v>158</v>
      </c>
      <c r="J590" s="4" t="s">
        <v>176</v>
      </c>
      <c r="K590" s="4" t="s">
        <v>159</v>
      </c>
      <c r="L590" s="4"/>
      <c r="M590" s="4" t="s">
        <v>27</v>
      </c>
      <c r="N590" s="4" t="s">
        <v>177</v>
      </c>
      <c r="O590" s="4"/>
      <c r="P590" s="4" t="str">
        <f t="shared" si="45"/>
        <v>rod</v>
      </c>
      <c r="Q590" s="4" t="s">
        <v>61</v>
      </c>
      <c r="R590" s="4" t="s">
        <v>175</v>
      </c>
      <c r="S590" s="4"/>
      <c r="T590" s="4"/>
      <c r="U590" s="4"/>
      <c r="V590" s="9">
        <f>[1]Mitigation!$C$6767</f>
        <v>2</v>
      </c>
    </row>
    <row r="591" spans="4:22" x14ac:dyDescent="0.45">
      <c r="D591" s="43" t="s">
        <v>870</v>
      </c>
      <c r="E591" s="4" t="str">
        <f>[1]Mitigation!H8816</f>
        <v>irn.mit.ener.rod.gso.e.2</v>
      </c>
      <c r="F591" s="4" t="str">
        <f t="shared" si="48"/>
        <v>N/A</v>
      </c>
      <c r="G591" s="4" t="str">
        <f t="shared" si="44"/>
        <v>irn.mit.ener_g-f.e.gso.all.ktoe.2</v>
      </c>
      <c r="H591" s="4" t="s">
        <v>19</v>
      </c>
      <c r="I591" s="4" t="s">
        <v>158</v>
      </c>
      <c r="J591" s="4" t="s">
        <v>176</v>
      </c>
      <c r="K591" s="4" t="s">
        <v>159</v>
      </c>
      <c r="L591" s="4"/>
      <c r="M591" s="4" t="s">
        <v>27</v>
      </c>
      <c r="N591" s="4" t="s">
        <v>177</v>
      </c>
      <c r="O591" s="4"/>
      <c r="P591" s="4" t="str">
        <f t="shared" si="45"/>
        <v>rod</v>
      </c>
      <c r="Q591" s="4" t="s">
        <v>63</v>
      </c>
      <c r="R591" s="4" t="s">
        <v>175</v>
      </c>
      <c r="S591" s="4"/>
      <c r="T591" s="4"/>
      <c r="U591" s="4"/>
      <c r="V591" s="9">
        <f>[1]Mitigation!$C$6767</f>
        <v>2</v>
      </c>
    </row>
    <row r="592" spans="4:22" x14ac:dyDescent="0.45">
      <c r="D592" s="43" t="s">
        <v>871</v>
      </c>
      <c r="E592" s="4" t="str">
        <f>[1]Mitigation!H8817</f>
        <v>irn.mit.ener.rod.die.e.2</v>
      </c>
      <c r="F592" s="4" t="str">
        <f t="shared" si="48"/>
        <v>N/A</v>
      </c>
      <c r="G592" s="4" t="str">
        <f t="shared" si="44"/>
        <v>irn.mit.ener_g-f.e.die.all.ktoe.2</v>
      </c>
      <c r="H592" s="4" t="s">
        <v>19</v>
      </c>
      <c r="I592" s="4" t="s">
        <v>158</v>
      </c>
      <c r="J592" s="4" t="s">
        <v>176</v>
      </c>
      <c r="K592" s="4" t="s">
        <v>159</v>
      </c>
      <c r="L592" s="4"/>
      <c r="M592" s="4" t="s">
        <v>27</v>
      </c>
      <c r="N592" s="4" t="s">
        <v>177</v>
      </c>
      <c r="O592" s="4"/>
      <c r="P592" s="4" t="str">
        <f t="shared" si="45"/>
        <v>rod</v>
      </c>
      <c r="Q592" s="4" t="s">
        <v>64</v>
      </c>
      <c r="R592" s="4" t="s">
        <v>175</v>
      </c>
      <c r="S592" s="4"/>
      <c r="T592" s="4"/>
      <c r="U592" s="4"/>
      <c r="V592" s="9">
        <f>[1]Mitigation!$C$6767</f>
        <v>2</v>
      </c>
    </row>
    <row r="593" spans="4:22" x14ac:dyDescent="0.45">
      <c r="D593" s="43" t="s">
        <v>872</v>
      </c>
      <c r="E593" s="4" t="str">
        <f>[1]Mitigation!H8818</f>
        <v>irn.mit.ener.rod.lpg.e.2</v>
      </c>
      <c r="F593" s="4" t="str">
        <f t="shared" si="48"/>
        <v>N/A</v>
      </c>
      <c r="G593" s="4" t="str">
        <f t="shared" si="44"/>
        <v>irn.mit.ener_g-f.e.lpg.all.ktoe.2</v>
      </c>
      <c r="H593" s="4" t="s">
        <v>19</v>
      </c>
      <c r="I593" s="4" t="s">
        <v>158</v>
      </c>
      <c r="J593" s="4" t="s">
        <v>176</v>
      </c>
      <c r="K593" s="4" t="s">
        <v>159</v>
      </c>
      <c r="L593" s="4"/>
      <c r="M593" s="4" t="s">
        <v>27</v>
      </c>
      <c r="N593" s="4" t="s">
        <v>177</v>
      </c>
      <c r="O593" s="4"/>
      <c r="P593" s="4" t="str">
        <f t="shared" si="45"/>
        <v>rod</v>
      </c>
      <c r="Q593" s="4" t="s">
        <v>65</v>
      </c>
      <c r="R593" s="4" t="s">
        <v>175</v>
      </c>
      <c r="S593" s="4"/>
      <c r="T593" s="4"/>
      <c r="U593" s="4"/>
      <c r="V593" s="9">
        <f>[1]Mitigation!$C$6767</f>
        <v>2</v>
      </c>
    </row>
    <row r="594" spans="4:22" x14ac:dyDescent="0.45">
      <c r="D594" s="43" t="s">
        <v>873</v>
      </c>
      <c r="E594" s="4" t="str">
        <f>[1]Mitigation!H8819</f>
        <v>irn.mit.ener.rod.ker.e.2</v>
      </c>
      <c r="F594" s="4" t="str">
        <f t="shared" si="48"/>
        <v>N/A</v>
      </c>
      <c r="G594" s="4" t="str">
        <f t="shared" si="44"/>
        <v>irn.mit.ener_g-f.e.ker.all.ktoe.2</v>
      </c>
      <c r="H594" s="4" t="s">
        <v>19</v>
      </c>
      <c r="I594" s="4" t="s">
        <v>158</v>
      </c>
      <c r="J594" s="4" t="s">
        <v>176</v>
      </c>
      <c r="K594" s="4" t="s">
        <v>159</v>
      </c>
      <c r="L594" s="4"/>
      <c r="M594" s="4" t="s">
        <v>27</v>
      </c>
      <c r="N594" s="4" t="s">
        <v>177</v>
      </c>
      <c r="O594" s="4"/>
      <c r="P594" s="4" t="str">
        <f t="shared" si="45"/>
        <v>rod</v>
      </c>
      <c r="Q594" s="4" t="s">
        <v>66</v>
      </c>
      <c r="R594" s="4" t="s">
        <v>175</v>
      </c>
      <c r="S594" s="4"/>
      <c r="T594" s="4"/>
      <c r="U594" s="4"/>
      <c r="V594" s="9">
        <f>[1]Mitigation!$C$6767</f>
        <v>2</v>
      </c>
    </row>
    <row r="595" spans="4:22" x14ac:dyDescent="0.45">
      <c r="D595" s="43" t="s">
        <v>874</v>
      </c>
      <c r="E595" s="4" t="str">
        <f>[1]Mitigation!H8820</f>
        <v>irn.mit.ener.rod.oop.e.2</v>
      </c>
      <c r="F595" s="4" t="str">
        <f t="shared" si="48"/>
        <v>N/A</v>
      </c>
      <c r="G595" s="4" t="str">
        <f t="shared" si="44"/>
        <v>irn.mit.ener_g-f.e.oop.all.ktoe.2</v>
      </c>
      <c r="H595" s="4" t="s">
        <v>19</v>
      </c>
      <c r="I595" s="4" t="s">
        <v>158</v>
      </c>
      <c r="J595" s="4" t="s">
        <v>176</v>
      </c>
      <c r="K595" s="4" t="s">
        <v>159</v>
      </c>
      <c r="L595" s="4"/>
      <c r="M595" s="4" t="s">
        <v>27</v>
      </c>
      <c r="N595" s="4" t="s">
        <v>177</v>
      </c>
      <c r="O595" s="4"/>
      <c r="P595" s="4" t="str">
        <f t="shared" si="45"/>
        <v>rod</v>
      </c>
      <c r="Q595" s="4" t="s">
        <v>113</v>
      </c>
      <c r="R595" s="4" t="s">
        <v>175</v>
      </c>
      <c r="S595" s="4"/>
      <c r="T595" s="4"/>
      <c r="U595" s="4"/>
      <c r="V595" s="9">
        <f>[1]Mitigation!$C$6767</f>
        <v>2</v>
      </c>
    </row>
    <row r="596" spans="4:22" x14ac:dyDescent="0.45">
      <c r="D596" s="43" t="s">
        <v>875</v>
      </c>
      <c r="E596" s="4" t="str">
        <f>[1]Mitigation!H8821</f>
        <v>irn.mit.ener.rod.bio.e.2</v>
      </c>
      <c r="F596" s="4" t="str">
        <f t="shared" si="48"/>
        <v>N/A</v>
      </c>
      <c r="G596" s="4" t="str">
        <f t="shared" si="44"/>
        <v>irn.mit.ener_g-f.e.bio.all.ktoe.2</v>
      </c>
      <c r="H596" s="4" t="s">
        <v>19</v>
      </c>
      <c r="I596" s="4" t="s">
        <v>158</v>
      </c>
      <c r="J596" s="4" t="s">
        <v>176</v>
      </c>
      <c r="K596" s="4" t="s">
        <v>159</v>
      </c>
      <c r="L596" s="4"/>
      <c r="M596" s="4" t="s">
        <v>27</v>
      </c>
      <c r="N596" s="4" t="s">
        <v>177</v>
      </c>
      <c r="O596" s="4"/>
      <c r="P596" s="4" t="str">
        <f t="shared" si="45"/>
        <v>rod</v>
      </c>
      <c r="Q596" s="4" t="s">
        <v>162</v>
      </c>
      <c r="R596" s="4" t="s">
        <v>175</v>
      </c>
      <c r="S596" s="4"/>
      <c r="T596" s="4"/>
      <c r="U596" s="4"/>
      <c r="V596" s="9">
        <f>[1]Mitigation!$C$6767</f>
        <v>2</v>
      </c>
    </row>
    <row r="597" spans="4:22" x14ac:dyDescent="0.45">
      <c r="D597" s="43" t="s">
        <v>876</v>
      </c>
      <c r="E597" s="4" t="str">
        <f>[1]Mitigation!H8824</f>
        <v>irn.mit.ener.rod.obf.e.2</v>
      </c>
      <c r="F597" s="4" t="str">
        <f t="shared" si="48"/>
        <v>N/A</v>
      </c>
      <c r="G597" s="4" t="str">
        <f t="shared" si="44"/>
        <v>irn.mit.ener_g-f.e.ren.all.ktoe.2</v>
      </c>
      <c r="H597" s="4" t="s">
        <v>19</v>
      </c>
      <c r="I597" s="4" t="s">
        <v>158</v>
      </c>
      <c r="J597" s="4" t="s">
        <v>176</v>
      </c>
      <c r="K597" s="4" t="s">
        <v>159</v>
      </c>
      <c r="L597" s="4"/>
      <c r="M597" s="4" t="s">
        <v>27</v>
      </c>
      <c r="N597" s="4" t="s">
        <v>177</v>
      </c>
      <c r="O597" s="4"/>
      <c r="P597" s="4" t="str">
        <f t="shared" si="45"/>
        <v>rod</v>
      </c>
      <c r="Q597" s="4" t="s">
        <v>174</v>
      </c>
      <c r="R597" s="4" t="s">
        <v>175</v>
      </c>
      <c r="S597" s="4"/>
      <c r="T597" s="4"/>
      <c r="U597" s="4"/>
      <c r="V597" s="9">
        <f>[1]Mitigation!$C$6767</f>
        <v>2</v>
      </c>
    </row>
    <row r="598" spans="4:22" x14ac:dyDescent="0.45">
      <c r="D598" s="43" t="s">
        <v>877</v>
      </c>
      <c r="E598" s="4" t="str">
        <f>[1]Mitigation!H8844</f>
        <v>irn.mit.ener.ral.coa.e.2</v>
      </c>
      <c r="F598" s="4" t="str">
        <f t="shared" si="48"/>
        <v>N/A</v>
      </c>
      <c r="G598" s="4" t="str">
        <f t="shared" si="44"/>
        <v>irn.mit.ener_g-f.e.coa.all.ktoe.2</v>
      </c>
      <c r="H598" s="4" t="s">
        <v>19</v>
      </c>
      <c r="I598" s="4" t="s">
        <v>158</v>
      </c>
      <c r="J598" s="4" t="s">
        <v>176</v>
      </c>
      <c r="K598" s="4" t="s">
        <v>159</v>
      </c>
      <c r="L598" s="4"/>
      <c r="M598" s="4" t="s">
        <v>27</v>
      </c>
      <c r="N598" s="4" t="s">
        <v>178</v>
      </c>
      <c r="O598" s="4"/>
      <c r="P598" s="4" t="str">
        <f t="shared" si="45"/>
        <v>ral</v>
      </c>
      <c r="Q598" s="4" t="s">
        <v>60</v>
      </c>
      <c r="R598" s="4" t="s">
        <v>175</v>
      </c>
      <c r="S598" s="4"/>
      <c r="T598" s="4"/>
      <c r="U598" s="4"/>
      <c r="V598" s="9">
        <f>[1]Mitigation!$C$6767</f>
        <v>2</v>
      </c>
    </row>
    <row r="599" spans="4:22" x14ac:dyDescent="0.45">
      <c r="D599" s="43" t="s">
        <v>878</v>
      </c>
      <c r="E599" s="4" t="str">
        <f>[1]Mitigation!H8845</f>
        <v>irn.mit.ener.ral.nga.e.2</v>
      </c>
      <c r="F599" s="4" t="str">
        <f t="shared" si="48"/>
        <v>N/A</v>
      </c>
      <c r="G599" s="4" t="str">
        <f t="shared" si="44"/>
        <v>irn.mit.ener_g-f.e.nga.all.ktoe.2</v>
      </c>
      <c r="H599" s="4" t="s">
        <v>19</v>
      </c>
      <c r="I599" s="4" t="s">
        <v>158</v>
      </c>
      <c r="J599" s="4" t="s">
        <v>176</v>
      </c>
      <c r="K599" s="4" t="s">
        <v>159</v>
      </c>
      <c r="L599" s="4"/>
      <c r="M599" s="4" t="s">
        <v>27</v>
      </c>
      <c r="N599" s="4" t="s">
        <v>178</v>
      </c>
      <c r="O599" s="4"/>
      <c r="P599" s="4" t="str">
        <f t="shared" si="45"/>
        <v>ral</v>
      </c>
      <c r="Q599" s="4" t="s">
        <v>61</v>
      </c>
      <c r="R599" s="4" t="s">
        <v>175</v>
      </c>
      <c r="S599" s="4"/>
      <c r="T599" s="4"/>
      <c r="U599" s="4"/>
      <c r="V599" s="9">
        <f>[1]Mitigation!$C$6767</f>
        <v>2</v>
      </c>
    </row>
    <row r="600" spans="4:22" x14ac:dyDescent="0.45">
      <c r="D600" s="43" t="s">
        <v>879</v>
      </c>
      <c r="E600" s="4" t="str">
        <f>[1]Mitigation!H8846</f>
        <v>irn.mit.ener.ral.gso.e.2</v>
      </c>
      <c r="F600" s="4" t="str">
        <f t="shared" si="48"/>
        <v>N/A</v>
      </c>
      <c r="G600" s="4" t="str">
        <f t="shared" si="44"/>
        <v>irn.mit.ener_g-f.e.gso.all.ktoe.2</v>
      </c>
      <c r="H600" s="4" t="s">
        <v>19</v>
      </c>
      <c r="I600" s="4" t="s">
        <v>158</v>
      </c>
      <c r="J600" s="4" t="s">
        <v>176</v>
      </c>
      <c r="K600" s="4" t="s">
        <v>159</v>
      </c>
      <c r="L600" s="4"/>
      <c r="M600" s="4" t="s">
        <v>27</v>
      </c>
      <c r="N600" s="4" t="s">
        <v>178</v>
      </c>
      <c r="O600" s="4"/>
      <c r="P600" s="4" t="str">
        <f t="shared" si="45"/>
        <v>ral</v>
      </c>
      <c r="Q600" s="4" t="s">
        <v>63</v>
      </c>
      <c r="R600" s="4" t="s">
        <v>175</v>
      </c>
      <c r="S600" s="4"/>
      <c r="T600" s="4"/>
      <c r="U600" s="4"/>
      <c r="V600" s="9">
        <f>[1]Mitigation!$C$6767</f>
        <v>2</v>
      </c>
    </row>
    <row r="601" spans="4:22" x14ac:dyDescent="0.45">
      <c r="D601" s="43" t="s">
        <v>880</v>
      </c>
      <c r="E601" s="4" t="str">
        <f>[1]Mitigation!H8847</f>
        <v>irn.mit.ener.ral.die.e.2</v>
      </c>
      <c r="F601" s="4" t="str">
        <f t="shared" si="48"/>
        <v>N/A</v>
      </c>
      <c r="G601" s="4" t="str">
        <f t="shared" si="44"/>
        <v>irn.mit.ener_g-f.e.die.all.ktoe.2</v>
      </c>
      <c r="H601" s="4" t="s">
        <v>19</v>
      </c>
      <c r="I601" s="4" t="s">
        <v>158</v>
      </c>
      <c r="J601" s="4" t="s">
        <v>176</v>
      </c>
      <c r="K601" s="4" t="s">
        <v>159</v>
      </c>
      <c r="L601" s="4"/>
      <c r="M601" s="4" t="s">
        <v>27</v>
      </c>
      <c r="N601" s="4" t="s">
        <v>178</v>
      </c>
      <c r="O601" s="4"/>
      <c r="P601" s="4" t="str">
        <f t="shared" si="45"/>
        <v>ral</v>
      </c>
      <c r="Q601" s="4" t="s">
        <v>64</v>
      </c>
      <c r="R601" s="4" t="s">
        <v>175</v>
      </c>
      <c r="S601" s="4"/>
      <c r="T601" s="4"/>
      <c r="U601" s="4"/>
      <c r="V601" s="9">
        <f>[1]Mitigation!$C$6767</f>
        <v>2</v>
      </c>
    </row>
    <row r="602" spans="4:22" x14ac:dyDescent="0.45">
      <c r="D602" s="43" t="s">
        <v>881</v>
      </c>
      <c r="E602" s="4" t="str">
        <f>[1]Mitigation!H8848</f>
        <v>irn.mit.ener.ral.lpg.e.2</v>
      </c>
      <c r="F602" s="4" t="str">
        <f t="shared" si="48"/>
        <v>N/A</v>
      </c>
      <c r="G602" s="4" t="str">
        <f t="shared" si="44"/>
        <v>irn.mit.ener_g-f.e.lpg.all.ktoe.2</v>
      </c>
      <c r="H602" s="4" t="s">
        <v>19</v>
      </c>
      <c r="I602" s="4" t="s">
        <v>158</v>
      </c>
      <c r="J602" s="4" t="s">
        <v>176</v>
      </c>
      <c r="K602" s="4" t="s">
        <v>159</v>
      </c>
      <c r="L602" s="4"/>
      <c r="M602" s="4" t="s">
        <v>27</v>
      </c>
      <c r="N602" s="4" t="s">
        <v>178</v>
      </c>
      <c r="O602" s="4"/>
      <c r="P602" s="4" t="str">
        <f t="shared" si="45"/>
        <v>ral</v>
      </c>
      <c r="Q602" s="4" t="s">
        <v>65</v>
      </c>
      <c r="R602" s="4" t="s">
        <v>175</v>
      </c>
      <c r="S602" s="4"/>
      <c r="T602" s="4"/>
      <c r="U602" s="4"/>
      <c r="V602" s="9">
        <f>[1]Mitigation!$C$6767</f>
        <v>2</v>
      </c>
    </row>
    <row r="603" spans="4:22" x14ac:dyDescent="0.45">
      <c r="D603" s="43" t="s">
        <v>882</v>
      </c>
      <c r="E603" s="4" t="str">
        <f>[1]Mitigation!H8849</f>
        <v>irn.mit.ener.ral.ker.e.2</v>
      </c>
      <c r="F603" s="4" t="str">
        <f t="shared" si="48"/>
        <v>N/A</v>
      </c>
      <c r="G603" s="4" t="str">
        <f t="shared" si="44"/>
        <v>irn.mit.ener_g-f.e.ker.all.ktoe.2</v>
      </c>
      <c r="H603" s="4" t="s">
        <v>19</v>
      </c>
      <c r="I603" s="4" t="s">
        <v>158</v>
      </c>
      <c r="J603" s="4" t="s">
        <v>176</v>
      </c>
      <c r="K603" s="4" t="s">
        <v>159</v>
      </c>
      <c r="L603" s="4"/>
      <c r="M603" s="4" t="s">
        <v>27</v>
      </c>
      <c r="N603" s="4" t="s">
        <v>178</v>
      </c>
      <c r="O603" s="4"/>
      <c r="P603" s="4" t="str">
        <f t="shared" si="45"/>
        <v>ral</v>
      </c>
      <c r="Q603" s="4" t="s">
        <v>66</v>
      </c>
      <c r="R603" s="4" t="s">
        <v>175</v>
      </c>
      <c r="S603" s="4"/>
      <c r="T603" s="4"/>
      <c r="U603" s="4"/>
      <c r="V603" s="9">
        <f>[1]Mitigation!$C$6767</f>
        <v>2</v>
      </c>
    </row>
    <row r="604" spans="4:22" x14ac:dyDescent="0.45">
      <c r="D604" s="43" t="s">
        <v>883</v>
      </c>
      <c r="E604" s="4" t="str">
        <f>[1]Mitigation!H8850</f>
        <v>irn.mit.ener.ral.oop.e.2</v>
      </c>
      <c r="F604" s="4" t="str">
        <f t="shared" si="48"/>
        <v>N/A</v>
      </c>
      <c r="G604" s="4" t="str">
        <f t="shared" ref="G604:G667" si="49">IF(D604="","",LOWER(_Country_code)&amp;"."&amp;H604&amp;"."&amp;IF(I604="","all",I604)&amp;"_"&amp;J604&amp;"."&amp;IF(R604="","all",R604)&amp;"."&amp;IF(Q604="","all",Q604)&amp;"."&amp;IF(U604="","all",U604)&amp;"."&amp;IF(K604="","all",K604)&amp;"."&amp;IF(V604="","all",V604))</f>
        <v>irn.mit.ener_g-f.e.oop.all.ktoe.2</v>
      </c>
      <c r="H604" s="4" t="s">
        <v>19</v>
      </c>
      <c r="I604" s="4" t="s">
        <v>158</v>
      </c>
      <c r="J604" s="4" t="s">
        <v>176</v>
      </c>
      <c r="K604" s="4" t="s">
        <v>159</v>
      </c>
      <c r="L604" s="4"/>
      <c r="M604" s="4" t="s">
        <v>27</v>
      </c>
      <c r="N604" s="4" t="s">
        <v>178</v>
      </c>
      <c r="O604" s="4"/>
      <c r="P604" s="4" t="str">
        <f t="shared" si="45"/>
        <v>ral</v>
      </c>
      <c r="Q604" s="4" t="s">
        <v>113</v>
      </c>
      <c r="R604" s="4" t="s">
        <v>175</v>
      </c>
      <c r="S604" s="4"/>
      <c r="T604" s="4"/>
      <c r="U604" s="4"/>
      <c r="V604" s="9">
        <f>[1]Mitigation!$C$6767</f>
        <v>2</v>
      </c>
    </row>
    <row r="605" spans="4:22" x14ac:dyDescent="0.45">
      <c r="D605" s="43" t="s">
        <v>884</v>
      </c>
      <c r="E605" s="4" t="str">
        <f>[1]Mitigation!H8851</f>
        <v>irn.mit.ener.ral.bio.e.2</v>
      </c>
      <c r="F605" s="4" t="str">
        <f t="shared" si="48"/>
        <v>N/A</v>
      </c>
      <c r="G605" s="4" t="str">
        <f t="shared" si="49"/>
        <v>irn.mit.ener_g-f.e.bio.all.ktoe.2</v>
      </c>
      <c r="H605" s="4" t="s">
        <v>19</v>
      </c>
      <c r="I605" s="4" t="s">
        <v>158</v>
      </c>
      <c r="J605" s="4" t="s">
        <v>176</v>
      </c>
      <c r="K605" s="4" t="s">
        <v>159</v>
      </c>
      <c r="L605" s="4"/>
      <c r="M605" s="4" t="s">
        <v>27</v>
      </c>
      <c r="N605" s="4" t="s">
        <v>178</v>
      </c>
      <c r="O605" s="4"/>
      <c r="P605" s="4" t="str">
        <f t="shared" si="45"/>
        <v>ral</v>
      </c>
      <c r="Q605" s="4" t="s">
        <v>162</v>
      </c>
      <c r="R605" s="4" t="s">
        <v>175</v>
      </c>
      <c r="S605" s="4"/>
      <c r="T605" s="4"/>
      <c r="U605" s="4"/>
      <c r="V605" s="9">
        <f>[1]Mitigation!$C$6767</f>
        <v>2</v>
      </c>
    </row>
    <row r="606" spans="4:22" x14ac:dyDescent="0.45">
      <c r="D606" s="43" t="s">
        <v>885</v>
      </c>
      <c r="E606" s="4" t="str">
        <f>[1]Mitigation!H8852</f>
        <v>irn.mit.ener.ral.ren.e.2</v>
      </c>
      <c r="F606" s="4" t="str">
        <f t="shared" si="48"/>
        <v>N/A</v>
      </c>
      <c r="G606" s="4" t="str">
        <f t="shared" si="49"/>
        <v>irn.mit.ener_g-f.e.ren.all.ktoe.2</v>
      </c>
      <c r="H606" s="4" t="s">
        <v>19</v>
      </c>
      <c r="I606" s="4" t="s">
        <v>158</v>
      </c>
      <c r="J606" s="4" t="s">
        <v>176</v>
      </c>
      <c r="K606" s="4" t="s">
        <v>159</v>
      </c>
      <c r="L606" s="4"/>
      <c r="M606" s="4" t="s">
        <v>27</v>
      </c>
      <c r="N606" s="4" t="s">
        <v>178</v>
      </c>
      <c r="O606" s="4"/>
      <c r="P606" s="4" t="str">
        <f t="shared" si="45"/>
        <v>ral</v>
      </c>
      <c r="Q606" s="4" t="s">
        <v>174</v>
      </c>
      <c r="R606" s="4" t="s">
        <v>175</v>
      </c>
      <c r="S606" s="4"/>
      <c r="T606" s="4"/>
      <c r="U606" s="4"/>
      <c r="V606" s="9">
        <f>[1]Mitigation!$C$6767</f>
        <v>2</v>
      </c>
    </row>
    <row r="607" spans="4:22" x14ac:dyDescent="0.45">
      <c r="D607" s="43" t="s">
        <v>886</v>
      </c>
      <c r="E607" s="4" t="str">
        <f>[1]Mitigation!H8894</f>
        <v>irn.mit.ener.nav.coa.e.2</v>
      </c>
      <c r="F607" s="4" t="str">
        <f t="shared" si="48"/>
        <v>N/A</v>
      </c>
      <c r="G607" s="4" t="str">
        <f t="shared" si="49"/>
        <v>irn.mit.ener_g-f.e.coa.all.ktoe.2</v>
      </c>
      <c r="H607" s="4" t="s">
        <v>19</v>
      </c>
      <c r="I607" s="4" t="s">
        <v>158</v>
      </c>
      <c r="J607" s="4" t="s">
        <v>176</v>
      </c>
      <c r="K607" s="4" t="s">
        <v>159</v>
      </c>
      <c r="L607" s="4"/>
      <c r="M607" s="4" t="s">
        <v>27</v>
      </c>
      <c r="N607" s="4" t="s">
        <v>179</v>
      </c>
      <c r="O607" s="4"/>
      <c r="P607" s="4" t="str">
        <f t="shared" si="45"/>
        <v>nav</v>
      </c>
      <c r="Q607" s="4" t="s">
        <v>60</v>
      </c>
      <c r="R607" s="4" t="s">
        <v>175</v>
      </c>
      <c r="S607" s="4"/>
      <c r="T607" s="4"/>
      <c r="U607" s="4"/>
      <c r="V607" s="9">
        <f>[1]Mitigation!$C$6767</f>
        <v>2</v>
      </c>
    </row>
    <row r="608" spans="4:22" x14ac:dyDescent="0.45">
      <c r="D608" s="43" t="s">
        <v>887</v>
      </c>
      <c r="E608" s="4" t="str">
        <f>[1]Mitigation!H8895</f>
        <v>irn.mit.ener.nav.nga.e.2</v>
      </c>
      <c r="F608" s="4" t="str">
        <f t="shared" si="48"/>
        <v>N/A</v>
      </c>
      <c r="G608" s="4" t="str">
        <f t="shared" si="49"/>
        <v>irn.mit.ener_g-f.e.nga.all.ktoe.2</v>
      </c>
      <c r="H608" s="4" t="s">
        <v>19</v>
      </c>
      <c r="I608" s="4" t="s">
        <v>158</v>
      </c>
      <c r="J608" s="4" t="s">
        <v>176</v>
      </c>
      <c r="K608" s="4" t="s">
        <v>159</v>
      </c>
      <c r="L608" s="4"/>
      <c r="M608" s="4" t="s">
        <v>27</v>
      </c>
      <c r="N608" s="4" t="s">
        <v>179</v>
      </c>
      <c r="O608" s="4"/>
      <c r="P608" s="4" t="str">
        <f t="shared" si="45"/>
        <v>nav</v>
      </c>
      <c r="Q608" s="4" t="s">
        <v>61</v>
      </c>
      <c r="R608" s="4" t="s">
        <v>175</v>
      </c>
      <c r="S608" s="4"/>
      <c r="T608" s="4"/>
      <c r="U608" s="4"/>
      <c r="V608" s="9">
        <f>[1]Mitigation!$C$6767</f>
        <v>2</v>
      </c>
    </row>
    <row r="609" spans="4:22" x14ac:dyDescent="0.45">
      <c r="D609" s="43" t="s">
        <v>888</v>
      </c>
      <c r="E609" s="4" t="str">
        <f>[1]Mitigation!H8896</f>
        <v>irn.mit.ener.nav.gso.e.2</v>
      </c>
      <c r="F609" s="4" t="str">
        <f t="shared" si="48"/>
        <v>N/A</v>
      </c>
      <c r="G609" s="4" t="str">
        <f t="shared" si="49"/>
        <v>irn.mit.ener_g-f.e.gso.all.ktoe.2</v>
      </c>
      <c r="H609" s="4" t="s">
        <v>19</v>
      </c>
      <c r="I609" s="4" t="s">
        <v>158</v>
      </c>
      <c r="J609" s="4" t="s">
        <v>176</v>
      </c>
      <c r="K609" s="4" t="s">
        <v>159</v>
      </c>
      <c r="L609" s="4"/>
      <c r="M609" s="4" t="s">
        <v>27</v>
      </c>
      <c r="N609" s="4" t="s">
        <v>179</v>
      </c>
      <c r="O609" s="4"/>
      <c r="P609" s="4" t="str">
        <f t="shared" si="45"/>
        <v>nav</v>
      </c>
      <c r="Q609" s="4" t="s">
        <v>63</v>
      </c>
      <c r="R609" s="4" t="s">
        <v>175</v>
      </c>
      <c r="S609" s="4"/>
      <c r="T609" s="4"/>
      <c r="U609" s="4"/>
      <c r="V609" s="9">
        <f>[1]Mitigation!$C$6767</f>
        <v>2</v>
      </c>
    </row>
    <row r="610" spans="4:22" x14ac:dyDescent="0.45">
      <c r="D610" s="43" t="s">
        <v>889</v>
      </c>
      <c r="E610" s="4" t="str">
        <f>[1]Mitigation!H8897</f>
        <v>irn.mit.ener.nav.die.e.2</v>
      </c>
      <c r="F610" s="4" t="str">
        <f t="shared" si="48"/>
        <v>N/A</v>
      </c>
      <c r="G610" s="4" t="str">
        <f t="shared" si="49"/>
        <v>irn.mit.ener_g-f.e.die.all.ktoe.2</v>
      </c>
      <c r="H610" s="4" t="s">
        <v>19</v>
      </c>
      <c r="I610" s="4" t="s">
        <v>158</v>
      </c>
      <c r="J610" s="4" t="s">
        <v>176</v>
      </c>
      <c r="K610" s="4" t="s">
        <v>159</v>
      </c>
      <c r="L610" s="4"/>
      <c r="M610" s="4" t="s">
        <v>27</v>
      </c>
      <c r="N610" s="4" t="s">
        <v>179</v>
      </c>
      <c r="O610" s="4"/>
      <c r="P610" s="4" t="str">
        <f t="shared" si="45"/>
        <v>nav</v>
      </c>
      <c r="Q610" s="4" t="s">
        <v>64</v>
      </c>
      <c r="R610" s="4" t="s">
        <v>175</v>
      </c>
      <c r="S610" s="4"/>
      <c r="T610" s="4"/>
      <c r="U610" s="4"/>
      <c r="V610" s="9">
        <f>[1]Mitigation!$C$6767</f>
        <v>2</v>
      </c>
    </row>
    <row r="611" spans="4:22" x14ac:dyDescent="0.45">
      <c r="D611" s="43" t="s">
        <v>890</v>
      </c>
      <c r="E611" s="4" t="str">
        <f>[1]Mitigation!H8898</f>
        <v>irn.mit.ener.nav.lpg.e.2</v>
      </c>
      <c r="F611" s="4" t="str">
        <f t="shared" si="48"/>
        <v>N/A</v>
      </c>
      <c r="G611" s="4" t="str">
        <f t="shared" si="49"/>
        <v>irn.mit.ener_g-f.e.lpg.all.ktoe.2</v>
      </c>
      <c r="H611" s="4" t="s">
        <v>19</v>
      </c>
      <c r="I611" s="4" t="s">
        <v>158</v>
      </c>
      <c r="J611" s="4" t="s">
        <v>176</v>
      </c>
      <c r="K611" s="4" t="s">
        <v>159</v>
      </c>
      <c r="L611" s="4"/>
      <c r="M611" s="4" t="s">
        <v>27</v>
      </c>
      <c r="N611" s="4" t="s">
        <v>179</v>
      </c>
      <c r="O611" s="4"/>
      <c r="P611" s="4" t="str">
        <f t="shared" si="45"/>
        <v>nav</v>
      </c>
      <c r="Q611" s="4" t="s">
        <v>65</v>
      </c>
      <c r="R611" s="4" t="s">
        <v>175</v>
      </c>
      <c r="S611" s="4"/>
      <c r="T611" s="4"/>
      <c r="U611" s="4"/>
      <c r="V611" s="9">
        <f>[1]Mitigation!$C$6767</f>
        <v>2</v>
      </c>
    </row>
    <row r="612" spans="4:22" x14ac:dyDescent="0.45">
      <c r="D612" s="43" t="s">
        <v>891</v>
      </c>
      <c r="E612" s="4" t="str">
        <f>[1]Mitigation!H8899</f>
        <v>irn.mit.ener.nav.ker.e.2</v>
      </c>
      <c r="F612" s="4" t="str">
        <f t="shared" si="48"/>
        <v>N/A</v>
      </c>
      <c r="G612" s="4" t="str">
        <f t="shared" si="49"/>
        <v>irn.mit.ener_g-f.e.ker.all.ktoe.2</v>
      </c>
      <c r="H612" s="4" t="s">
        <v>19</v>
      </c>
      <c r="I612" s="4" t="s">
        <v>158</v>
      </c>
      <c r="J612" s="4" t="s">
        <v>176</v>
      </c>
      <c r="K612" s="4" t="s">
        <v>159</v>
      </c>
      <c r="L612" s="4"/>
      <c r="M612" s="4" t="s">
        <v>27</v>
      </c>
      <c r="N612" s="4" t="s">
        <v>179</v>
      </c>
      <c r="O612" s="4"/>
      <c r="P612" s="4" t="str">
        <f t="shared" si="45"/>
        <v>nav</v>
      </c>
      <c r="Q612" s="4" t="s">
        <v>66</v>
      </c>
      <c r="R612" s="4" t="s">
        <v>175</v>
      </c>
      <c r="S612" s="4"/>
      <c r="T612" s="4"/>
      <c r="U612" s="4"/>
      <c r="V612" s="9">
        <f>[1]Mitigation!$C$6767</f>
        <v>2</v>
      </c>
    </row>
    <row r="613" spans="4:22" x14ac:dyDescent="0.45">
      <c r="D613" s="43" t="s">
        <v>892</v>
      </c>
      <c r="E613" s="4" t="str">
        <f>[1]Mitigation!H8900</f>
        <v>irn.mit.ener.nav.oop.e.2</v>
      </c>
      <c r="F613" s="4" t="str">
        <f t="shared" si="48"/>
        <v>N/A</v>
      </c>
      <c r="G613" s="4" t="str">
        <f t="shared" si="49"/>
        <v>irn.mit.ener_g-f.e.oop.all.ktoe.2</v>
      </c>
      <c r="H613" s="4" t="s">
        <v>19</v>
      </c>
      <c r="I613" s="4" t="s">
        <v>158</v>
      </c>
      <c r="J613" s="4" t="s">
        <v>176</v>
      </c>
      <c r="K613" s="4" t="s">
        <v>159</v>
      </c>
      <c r="L613" s="4"/>
      <c r="M613" s="4" t="s">
        <v>27</v>
      </c>
      <c r="N613" s="4" t="s">
        <v>179</v>
      </c>
      <c r="O613" s="4"/>
      <c r="P613" s="4" t="str">
        <f t="shared" si="45"/>
        <v>nav</v>
      </c>
      <c r="Q613" s="4" t="s">
        <v>113</v>
      </c>
      <c r="R613" s="4" t="s">
        <v>175</v>
      </c>
      <c r="S613" s="4"/>
      <c r="T613" s="4"/>
      <c r="U613" s="4"/>
      <c r="V613" s="9">
        <f>[1]Mitigation!$C$6767</f>
        <v>2</v>
      </c>
    </row>
    <row r="614" spans="4:22" x14ac:dyDescent="0.45">
      <c r="D614" s="43" t="s">
        <v>893</v>
      </c>
      <c r="E614" s="4" t="str">
        <f>[1]Mitigation!H8901</f>
        <v>irn.mit.ener.nav.bio.e.2</v>
      </c>
      <c r="F614" s="4" t="str">
        <f t="shared" si="48"/>
        <v>N/A</v>
      </c>
      <c r="G614" s="4" t="str">
        <f t="shared" si="49"/>
        <v>irn.mit.ener_g-f.e.bio.all.ktoe.2</v>
      </c>
      <c r="H614" s="4" t="s">
        <v>19</v>
      </c>
      <c r="I614" s="4" t="s">
        <v>158</v>
      </c>
      <c r="J614" s="4" t="s">
        <v>176</v>
      </c>
      <c r="K614" s="4" t="s">
        <v>159</v>
      </c>
      <c r="L614" s="4"/>
      <c r="M614" s="4" t="s">
        <v>27</v>
      </c>
      <c r="N614" s="4" t="s">
        <v>179</v>
      </c>
      <c r="O614" s="4"/>
      <c r="P614" s="4" t="str">
        <f t="shared" si="45"/>
        <v>nav</v>
      </c>
      <c r="Q614" s="4" t="s">
        <v>162</v>
      </c>
      <c r="R614" s="4" t="s">
        <v>175</v>
      </c>
      <c r="S614" s="4"/>
      <c r="T614" s="4"/>
      <c r="U614" s="4"/>
      <c r="V614" s="9">
        <f>[1]Mitigation!$C$6767</f>
        <v>2</v>
      </c>
    </row>
    <row r="615" spans="4:22" x14ac:dyDescent="0.45">
      <c r="D615" s="43" t="s">
        <v>894</v>
      </c>
      <c r="E615" s="4" t="str">
        <f>[1]Mitigation!H8902</f>
        <v>irn.mit.ener.nav.ren.e.2</v>
      </c>
      <c r="F615" s="4" t="str">
        <f t="shared" si="48"/>
        <v>N/A</v>
      </c>
      <c r="G615" s="4" t="str">
        <f t="shared" si="49"/>
        <v>irn.mit.ener_g-f.e.ren.all.ktoe.2</v>
      </c>
      <c r="H615" s="4" t="s">
        <v>19</v>
      </c>
      <c r="I615" s="4" t="s">
        <v>158</v>
      </c>
      <c r="J615" s="4" t="s">
        <v>176</v>
      </c>
      <c r="K615" s="4" t="s">
        <v>159</v>
      </c>
      <c r="L615" s="4"/>
      <c r="M615" s="4" t="s">
        <v>27</v>
      </c>
      <c r="N615" s="4" t="s">
        <v>179</v>
      </c>
      <c r="O615" s="4"/>
      <c r="P615" s="4" t="str">
        <f t="shared" si="45"/>
        <v>nav</v>
      </c>
      <c r="Q615" s="4" t="s">
        <v>174</v>
      </c>
      <c r="R615" s="4" t="s">
        <v>175</v>
      </c>
      <c r="S615" s="4"/>
      <c r="T615" s="4"/>
      <c r="U615" s="4"/>
      <c r="V615" s="9">
        <f>[1]Mitigation!$C$6767</f>
        <v>2</v>
      </c>
    </row>
    <row r="616" spans="4:22" x14ac:dyDescent="0.45">
      <c r="D616" s="43" t="s">
        <v>895</v>
      </c>
      <c r="E616" s="4" t="str">
        <f>[1]Mitigation!H8869</f>
        <v>irn.mit.ener.avi.coa.e.2</v>
      </c>
      <c r="F616" s="4" t="str">
        <f t="shared" si="48"/>
        <v>N/A</v>
      </c>
      <c r="G616" s="4" t="str">
        <f t="shared" si="49"/>
        <v>irn.mit.ener_g-f.e.coa.all.ktoe.2</v>
      </c>
      <c r="H616" s="4" t="s">
        <v>19</v>
      </c>
      <c r="I616" s="4" t="s">
        <v>158</v>
      </c>
      <c r="J616" s="4" t="s">
        <v>176</v>
      </c>
      <c r="K616" s="4" t="s">
        <v>159</v>
      </c>
      <c r="L616" s="4"/>
      <c r="M616" s="4" t="s">
        <v>27</v>
      </c>
      <c r="N616" s="4" t="str">
        <f>[1]Mitigation!$Z$61</f>
        <v>avi</v>
      </c>
      <c r="O616" s="4"/>
      <c r="P616" s="4" t="str">
        <f t="shared" ref="P616:P679" si="50">L616&amp;IF(N616="",M616,N616)&amp;O616</f>
        <v>avi</v>
      </c>
      <c r="Q616" s="4" t="s">
        <v>60</v>
      </c>
      <c r="R616" s="4" t="s">
        <v>175</v>
      </c>
      <c r="S616" s="4"/>
      <c r="T616" s="4"/>
      <c r="U616" s="4"/>
      <c r="V616" s="9">
        <f>[1]Mitigation!$C$6767</f>
        <v>2</v>
      </c>
    </row>
    <row r="617" spans="4:22" x14ac:dyDescent="0.45">
      <c r="D617" s="43" t="s">
        <v>896</v>
      </c>
      <c r="E617" s="4" t="str">
        <f>[1]Mitigation!H8870</f>
        <v>irn.mit.ener.avi.nga.e.2</v>
      </c>
      <c r="F617" s="4" t="str">
        <f t="shared" si="48"/>
        <v>N/A</v>
      </c>
      <c r="G617" s="4" t="str">
        <f t="shared" si="49"/>
        <v>irn.mit.ener_g-f.e.nga.all.ktoe.2</v>
      </c>
      <c r="H617" s="4" t="s">
        <v>19</v>
      </c>
      <c r="I617" s="4" t="s">
        <v>158</v>
      </c>
      <c r="J617" s="4" t="s">
        <v>176</v>
      </c>
      <c r="K617" s="4" t="s">
        <v>159</v>
      </c>
      <c r="L617" s="4"/>
      <c r="M617" s="4" t="s">
        <v>27</v>
      </c>
      <c r="N617" s="4" t="str">
        <f>[1]Mitigation!$Z$61</f>
        <v>avi</v>
      </c>
      <c r="O617" s="4"/>
      <c r="P617" s="4" t="str">
        <f t="shared" si="50"/>
        <v>avi</v>
      </c>
      <c r="Q617" s="4" t="s">
        <v>61</v>
      </c>
      <c r="R617" s="4" t="s">
        <v>175</v>
      </c>
      <c r="S617" s="4"/>
      <c r="T617" s="4"/>
      <c r="U617" s="4"/>
      <c r="V617" s="9">
        <f>[1]Mitigation!$C$6767</f>
        <v>2</v>
      </c>
    </row>
    <row r="618" spans="4:22" x14ac:dyDescent="0.45">
      <c r="D618" s="43" t="s">
        <v>897</v>
      </c>
      <c r="E618" s="4" t="str">
        <f>[1]Mitigation!H8871</f>
        <v>irn.mit.ener.avi.gso.e.2</v>
      </c>
      <c r="F618" s="4" t="str">
        <f t="shared" si="48"/>
        <v>N/A</v>
      </c>
      <c r="G618" s="4" t="str">
        <f t="shared" si="49"/>
        <v>irn.mit.ener_g-f.e.gso.all.ktoe.2</v>
      </c>
      <c r="H618" s="4" t="s">
        <v>19</v>
      </c>
      <c r="I618" s="4" t="s">
        <v>158</v>
      </c>
      <c r="J618" s="4" t="s">
        <v>176</v>
      </c>
      <c r="K618" s="4" t="s">
        <v>159</v>
      </c>
      <c r="L618" s="4"/>
      <c r="M618" s="4" t="s">
        <v>27</v>
      </c>
      <c r="N618" s="4" t="str">
        <f>[1]Mitigation!$Z$61</f>
        <v>avi</v>
      </c>
      <c r="O618" s="4"/>
      <c r="P618" s="4" t="str">
        <f t="shared" si="50"/>
        <v>avi</v>
      </c>
      <c r="Q618" s="4" t="s">
        <v>63</v>
      </c>
      <c r="R618" s="4" t="s">
        <v>175</v>
      </c>
      <c r="S618" s="4"/>
      <c r="T618" s="4"/>
      <c r="U618" s="4"/>
      <c r="V618" s="9">
        <f>[1]Mitigation!$C$6767</f>
        <v>2</v>
      </c>
    </row>
    <row r="619" spans="4:22" x14ac:dyDescent="0.45">
      <c r="D619" s="43" t="s">
        <v>898</v>
      </c>
      <c r="E619" s="4" t="str">
        <f>[1]Mitigation!H8872</f>
        <v>irn.mit.ener.avi.die.e.2</v>
      </c>
      <c r="F619" s="4" t="str">
        <f t="shared" si="48"/>
        <v>N/A</v>
      </c>
      <c r="G619" s="4" t="str">
        <f t="shared" si="49"/>
        <v>irn.mit.ener_g-f.e.die.all.ktoe.2</v>
      </c>
      <c r="H619" s="4" t="s">
        <v>19</v>
      </c>
      <c r="I619" s="4" t="s">
        <v>158</v>
      </c>
      <c r="J619" s="4" t="s">
        <v>176</v>
      </c>
      <c r="K619" s="4" t="s">
        <v>159</v>
      </c>
      <c r="L619" s="4"/>
      <c r="M619" s="4" t="s">
        <v>27</v>
      </c>
      <c r="N619" s="4" t="str">
        <f>[1]Mitigation!$Z$61</f>
        <v>avi</v>
      </c>
      <c r="O619" s="4"/>
      <c r="P619" s="4" t="str">
        <f t="shared" si="50"/>
        <v>avi</v>
      </c>
      <c r="Q619" s="4" t="s">
        <v>64</v>
      </c>
      <c r="R619" s="4" t="s">
        <v>175</v>
      </c>
      <c r="S619" s="4"/>
      <c r="T619" s="4"/>
      <c r="U619" s="4"/>
      <c r="V619" s="9">
        <f>[1]Mitigation!$C$6767</f>
        <v>2</v>
      </c>
    </row>
    <row r="620" spans="4:22" x14ac:dyDescent="0.45">
      <c r="D620" s="43" t="s">
        <v>899</v>
      </c>
      <c r="E620" s="4" t="str">
        <f>[1]Mitigation!H8873</f>
        <v>irn.mit.ener.avi.lpg.e.2</v>
      </c>
      <c r="F620" s="4" t="str">
        <f t="shared" si="48"/>
        <v>N/A</v>
      </c>
      <c r="G620" s="4" t="str">
        <f t="shared" si="49"/>
        <v>irn.mit.ener_g-f.e.lpg.all.ktoe.2</v>
      </c>
      <c r="H620" s="4" t="s">
        <v>19</v>
      </c>
      <c r="I620" s="4" t="s">
        <v>158</v>
      </c>
      <c r="J620" s="4" t="s">
        <v>176</v>
      </c>
      <c r="K620" s="4" t="s">
        <v>159</v>
      </c>
      <c r="L620" s="4"/>
      <c r="M620" s="4" t="s">
        <v>27</v>
      </c>
      <c r="N620" s="4" t="str">
        <f>[1]Mitigation!$Z$61</f>
        <v>avi</v>
      </c>
      <c r="O620" s="4"/>
      <c r="P620" s="4" t="str">
        <f t="shared" si="50"/>
        <v>avi</v>
      </c>
      <c r="Q620" s="4" t="s">
        <v>65</v>
      </c>
      <c r="R620" s="4" t="s">
        <v>175</v>
      </c>
      <c r="S620" s="4"/>
      <c r="T620" s="4"/>
      <c r="U620" s="4"/>
      <c r="V620" s="9">
        <f>[1]Mitigation!$C$6767</f>
        <v>2</v>
      </c>
    </row>
    <row r="621" spans="4:22" x14ac:dyDescent="0.45">
      <c r="D621" s="43" t="s">
        <v>900</v>
      </c>
      <c r="E621" s="4" t="str">
        <f>[1]Mitigation!H8874</f>
        <v>irn.mit.ener.avi.ker.e.2</v>
      </c>
      <c r="F621" s="4" t="str">
        <f t="shared" si="48"/>
        <v>N/A</v>
      </c>
      <c r="G621" s="4" t="str">
        <f t="shared" si="49"/>
        <v>irn.mit.ener_g-f.e.ker.all.ktoe.2</v>
      </c>
      <c r="H621" s="4" t="s">
        <v>19</v>
      </c>
      <c r="I621" s="4" t="s">
        <v>158</v>
      </c>
      <c r="J621" s="4" t="s">
        <v>176</v>
      </c>
      <c r="K621" s="4" t="s">
        <v>159</v>
      </c>
      <c r="L621" s="4"/>
      <c r="M621" s="4" t="s">
        <v>27</v>
      </c>
      <c r="N621" s="4" t="str">
        <f>[1]Mitigation!$Z$61</f>
        <v>avi</v>
      </c>
      <c r="O621" s="4"/>
      <c r="P621" s="4" t="str">
        <f t="shared" si="50"/>
        <v>avi</v>
      </c>
      <c r="Q621" s="4" t="s">
        <v>66</v>
      </c>
      <c r="R621" s="4" t="s">
        <v>175</v>
      </c>
      <c r="S621" s="4"/>
      <c r="T621" s="4"/>
      <c r="U621" s="4"/>
      <c r="V621" s="9">
        <f>[1]Mitigation!$C$6767</f>
        <v>2</v>
      </c>
    </row>
    <row r="622" spans="4:22" x14ac:dyDescent="0.45">
      <c r="D622" s="43" t="s">
        <v>901</v>
      </c>
      <c r="E622" s="4" t="str">
        <f>[1]Mitigation!H8875</f>
        <v>irn.mit.ener.avi.oop.e.2</v>
      </c>
      <c r="F622" s="4" t="str">
        <f t="shared" si="48"/>
        <v>N/A</v>
      </c>
      <c r="G622" s="4" t="str">
        <f t="shared" si="49"/>
        <v>irn.mit.ener_g-f.e.oop.all.ktoe.2</v>
      </c>
      <c r="H622" s="4" t="s">
        <v>19</v>
      </c>
      <c r="I622" s="4" t="s">
        <v>158</v>
      </c>
      <c r="J622" s="4" t="s">
        <v>176</v>
      </c>
      <c r="K622" s="4" t="s">
        <v>159</v>
      </c>
      <c r="L622" s="4"/>
      <c r="M622" s="4" t="s">
        <v>27</v>
      </c>
      <c r="N622" s="4" t="str">
        <f>[1]Mitigation!$Z$61</f>
        <v>avi</v>
      </c>
      <c r="O622" s="4"/>
      <c r="P622" s="4" t="str">
        <f t="shared" si="50"/>
        <v>avi</v>
      </c>
      <c r="Q622" s="4" t="s">
        <v>113</v>
      </c>
      <c r="R622" s="4" t="s">
        <v>175</v>
      </c>
      <c r="S622" s="4"/>
      <c r="T622" s="4"/>
      <c r="U622" s="4"/>
      <c r="V622" s="9">
        <f>[1]Mitigation!$C$6767</f>
        <v>2</v>
      </c>
    </row>
    <row r="623" spans="4:22" x14ac:dyDescent="0.45">
      <c r="D623" s="43" t="s">
        <v>902</v>
      </c>
      <c r="E623" s="4" t="str">
        <f>[1]Mitigation!H8876</f>
        <v>irn.mit.ener.avi.bio.e.2</v>
      </c>
      <c r="F623" s="4" t="str">
        <f t="shared" si="48"/>
        <v>N/A</v>
      </c>
      <c r="G623" s="4" t="str">
        <f t="shared" si="49"/>
        <v>irn.mit.ener_g-f.e.bio.all.ktoe.2</v>
      </c>
      <c r="H623" s="4" t="s">
        <v>19</v>
      </c>
      <c r="I623" s="4" t="s">
        <v>158</v>
      </c>
      <c r="J623" s="4" t="s">
        <v>176</v>
      </c>
      <c r="K623" s="4" t="s">
        <v>159</v>
      </c>
      <c r="L623" s="4"/>
      <c r="M623" s="4" t="s">
        <v>27</v>
      </c>
      <c r="N623" s="4" t="str">
        <f>[1]Mitigation!$Z$61</f>
        <v>avi</v>
      </c>
      <c r="O623" s="4"/>
      <c r="P623" s="4" t="str">
        <f t="shared" si="50"/>
        <v>avi</v>
      </c>
      <c r="Q623" s="4" t="s">
        <v>162</v>
      </c>
      <c r="R623" s="4" t="s">
        <v>175</v>
      </c>
      <c r="S623" s="4"/>
      <c r="T623" s="4"/>
      <c r="U623" s="4"/>
      <c r="V623" s="9">
        <f>[1]Mitigation!$C$6767</f>
        <v>2</v>
      </c>
    </row>
    <row r="624" spans="4:22" x14ac:dyDescent="0.45">
      <c r="D624" s="43" t="s">
        <v>903</v>
      </c>
      <c r="E624" s="4" t="str">
        <f>[1]Mitigation!H8877</f>
        <v>irn.mit.ener.avi.ren.e.2</v>
      </c>
      <c r="F624" s="4" t="str">
        <f t="shared" si="48"/>
        <v>N/A</v>
      </c>
      <c r="G624" s="4" t="str">
        <f t="shared" si="49"/>
        <v>irn.mit.ener_g-f.e.ren.all.ktoe.2</v>
      </c>
      <c r="H624" s="4" t="s">
        <v>19</v>
      </c>
      <c r="I624" s="4" t="s">
        <v>158</v>
      </c>
      <c r="J624" s="4" t="s">
        <v>176</v>
      </c>
      <c r="K624" s="4" t="s">
        <v>159</v>
      </c>
      <c r="L624" s="4"/>
      <c r="M624" s="4" t="s">
        <v>27</v>
      </c>
      <c r="N624" s="4" t="str">
        <f>[1]Mitigation!$Z$61</f>
        <v>avi</v>
      </c>
      <c r="O624" s="4"/>
      <c r="P624" s="4" t="str">
        <f t="shared" si="50"/>
        <v>avi</v>
      </c>
      <c r="Q624" s="4" t="s">
        <v>174</v>
      </c>
      <c r="R624" s="4" t="s">
        <v>175</v>
      </c>
      <c r="S624" s="4"/>
      <c r="T624" s="4"/>
      <c r="U624" s="4"/>
      <c r="V624" s="9">
        <f>[1]Mitigation!$C$6767</f>
        <v>2</v>
      </c>
    </row>
    <row r="625" spans="4:22" x14ac:dyDescent="0.45">
      <c r="D625" s="43" t="s">
        <v>904</v>
      </c>
      <c r="E625" s="4" t="str">
        <f>[1]Mitigation!H8878</f>
        <v>irn.mit.ener.avi.jfu.e.2</v>
      </c>
      <c r="F625" s="4" t="str">
        <f t="shared" si="48"/>
        <v>N/A</v>
      </c>
      <c r="G625" s="4" t="str">
        <f t="shared" si="49"/>
        <v>irn.mit.ener_g-f.e.jfu.all.ktoe.2</v>
      </c>
      <c r="H625" s="4" t="s">
        <v>19</v>
      </c>
      <c r="I625" s="4" t="s">
        <v>158</v>
      </c>
      <c r="J625" s="4" t="s">
        <v>176</v>
      </c>
      <c r="K625" s="4" t="s">
        <v>159</v>
      </c>
      <c r="L625" s="4"/>
      <c r="M625" s="4" t="s">
        <v>27</v>
      </c>
      <c r="N625" s="4" t="str">
        <f>[1]Mitigation!$Z$61</f>
        <v>avi</v>
      </c>
      <c r="O625" s="4"/>
      <c r="P625" s="4" t="str">
        <f t="shared" si="50"/>
        <v>avi</v>
      </c>
      <c r="Q625" s="4" t="s">
        <v>180</v>
      </c>
      <c r="R625" s="4" t="s">
        <v>175</v>
      </c>
      <c r="S625" s="4"/>
      <c r="T625" s="4"/>
      <c r="U625" s="4"/>
      <c r="V625" s="9">
        <f>[1]Mitigation!$C$6767</f>
        <v>2</v>
      </c>
    </row>
    <row r="626" spans="4:22" x14ac:dyDescent="0.45">
      <c r="D626" s="44" t="s">
        <v>905</v>
      </c>
      <c r="E626" s="4" t="str">
        <f>[1]Mitigation!H9050</f>
        <v>irn.mit.ener.bld.tot.e.2</v>
      </c>
      <c r="F626" s="4" t="str">
        <f>IF(MTAct,E626&amp;"_"&amp;MSTScenarioID,"N/A")</f>
        <v>N/A</v>
      </c>
      <c r="G626" s="4" t="str">
        <f t="shared" si="49"/>
        <v>irn.mit.ener_s.e.tot.all.ktoe.2</v>
      </c>
      <c r="H626" s="4" t="s">
        <v>19</v>
      </c>
      <c r="I626" s="4" t="s">
        <v>158</v>
      </c>
      <c r="J626" s="4" t="s">
        <v>67</v>
      </c>
      <c r="K626" s="4" t="s">
        <v>159</v>
      </c>
      <c r="L626" s="4"/>
      <c r="M626" s="4"/>
      <c r="N626" s="4" t="s">
        <v>164</v>
      </c>
      <c r="O626" s="4"/>
      <c r="P626" s="4" t="s">
        <v>164</v>
      </c>
      <c r="Q626" s="4" t="s">
        <v>37</v>
      </c>
      <c r="R626" s="4" t="s">
        <v>175</v>
      </c>
      <c r="S626" s="4"/>
      <c r="T626" s="4"/>
      <c r="U626" s="4"/>
      <c r="V626" s="9">
        <f>[1]Mitigation!$C$6767</f>
        <v>2</v>
      </c>
    </row>
    <row r="627" spans="4:22" x14ac:dyDescent="0.45">
      <c r="D627" s="43" t="s">
        <v>906</v>
      </c>
      <c r="E627" s="4" t="str">
        <f>[1]Mitigation!H8939</f>
        <v>irn.mit.ener.res.coa.e.2</v>
      </c>
      <c r="F627" s="4" t="str">
        <f t="shared" si="48"/>
        <v>N/A</v>
      </c>
      <c r="G627" s="4" t="str">
        <f t="shared" si="49"/>
        <v>irn.mit.ener_g-f.e.coa.all.ktoe.2</v>
      </c>
      <c r="H627" s="4" t="s">
        <v>19</v>
      </c>
      <c r="I627" s="4" t="s">
        <v>158</v>
      </c>
      <c r="J627" s="4" t="s">
        <v>176</v>
      </c>
      <c r="K627" s="4" t="s">
        <v>159</v>
      </c>
      <c r="L627" s="4"/>
      <c r="M627" s="4" t="s">
        <v>164</v>
      </c>
      <c r="N627" s="4" t="s">
        <v>28</v>
      </c>
      <c r="O627" s="4"/>
      <c r="P627" s="4" t="str">
        <f t="shared" si="50"/>
        <v>res</v>
      </c>
      <c r="Q627" s="4" t="s">
        <v>60</v>
      </c>
      <c r="R627" s="4" t="s">
        <v>175</v>
      </c>
      <c r="S627" s="4"/>
      <c r="T627" s="4"/>
      <c r="U627" s="4"/>
      <c r="V627" s="9">
        <f>[1]Mitigation!$C$6767</f>
        <v>2</v>
      </c>
    </row>
    <row r="628" spans="4:22" x14ac:dyDescent="0.45">
      <c r="D628" s="43" t="s">
        <v>907</v>
      </c>
      <c r="E628" s="4" t="str">
        <f>[1]Mitigation!H8940</f>
        <v>irn.mit.ener.res.nga.e.2</v>
      </c>
      <c r="F628" s="4" t="str">
        <f t="shared" si="48"/>
        <v>N/A</v>
      </c>
      <c r="G628" s="4" t="str">
        <f t="shared" si="49"/>
        <v>irn.mit.ener_g-f.e.nga.all.ktoe.2</v>
      </c>
      <c r="H628" s="4" t="s">
        <v>19</v>
      </c>
      <c r="I628" s="4" t="s">
        <v>158</v>
      </c>
      <c r="J628" s="4" t="s">
        <v>176</v>
      </c>
      <c r="K628" s="4" t="s">
        <v>159</v>
      </c>
      <c r="L628" s="4"/>
      <c r="M628" s="4" t="s">
        <v>164</v>
      </c>
      <c r="N628" s="4" t="s">
        <v>28</v>
      </c>
      <c r="O628" s="4"/>
      <c r="P628" s="4" t="str">
        <f t="shared" si="50"/>
        <v>res</v>
      </c>
      <c r="Q628" s="4" t="s">
        <v>61</v>
      </c>
      <c r="R628" s="4" t="s">
        <v>175</v>
      </c>
      <c r="S628" s="4"/>
      <c r="T628" s="4"/>
      <c r="U628" s="4"/>
      <c r="V628" s="9">
        <f>[1]Mitigation!$C$6767</f>
        <v>2</v>
      </c>
    </row>
    <row r="629" spans="4:22" x14ac:dyDescent="0.45">
      <c r="D629" s="43" t="s">
        <v>908</v>
      </c>
      <c r="E629" s="4" t="str">
        <f>[1]Mitigation!H8941</f>
        <v>irn.mit.ener.res.gso.e.2</v>
      </c>
      <c r="F629" s="4" t="str">
        <f t="shared" si="48"/>
        <v>N/A</v>
      </c>
      <c r="G629" s="4" t="str">
        <f t="shared" si="49"/>
        <v>irn.mit.ener_g-f.e.gso.all.ktoe.2</v>
      </c>
      <c r="H629" s="4" t="s">
        <v>19</v>
      </c>
      <c r="I629" s="4" t="s">
        <v>158</v>
      </c>
      <c r="J629" s="4" t="s">
        <v>176</v>
      </c>
      <c r="K629" s="4" t="s">
        <v>159</v>
      </c>
      <c r="L629" s="4"/>
      <c r="M629" s="4" t="s">
        <v>164</v>
      </c>
      <c r="N629" s="4" t="s">
        <v>28</v>
      </c>
      <c r="O629" s="4"/>
      <c r="P629" s="4" t="str">
        <f t="shared" si="50"/>
        <v>res</v>
      </c>
      <c r="Q629" s="4" t="s">
        <v>63</v>
      </c>
      <c r="R629" s="4" t="s">
        <v>175</v>
      </c>
      <c r="S629" s="4"/>
      <c r="T629" s="4"/>
      <c r="U629" s="4"/>
      <c r="V629" s="9">
        <f>[1]Mitigation!$C$6767</f>
        <v>2</v>
      </c>
    </row>
    <row r="630" spans="4:22" x14ac:dyDescent="0.45">
      <c r="D630" s="43" t="s">
        <v>909</v>
      </c>
      <c r="E630" s="4" t="str">
        <f>[1]Mitigation!H8942</f>
        <v>irn.mit.ener.res.die.e.2</v>
      </c>
      <c r="F630" s="4" t="str">
        <f t="shared" si="48"/>
        <v>N/A</v>
      </c>
      <c r="G630" s="4" t="str">
        <f t="shared" si="49"/>
        <v>irn.mit.ener_g-f.e.die.all.ktoe.2</v>
      </c>
      <c r="H630" s="4" t="s">
        <v>19</v>
      </c>
      <c r="I630" s="4" t="s">
        <v>158</v>
      </c>
      <c r="J630" s="4" t="s">
        <v>176</v>
      </c>
      <c r="K630" s="4" t="s">
        <v>159</v>
      </c>
      <c r="L630" s="4"/>
      <c r="M630" s="4" t="s">
        <v>164</v>
      </c>
      <c r="N630" s="4" t="s">
        <v>28</v>
      </c>
      <c r="O630" s="4"/>
      <c r="P630" s="4" t="str">
        <f t="shared" si="50"/>
        <v>res</v>
      </c>
      <c r="Q630" s="4" t="s">
        <v>64</v>
      </c>
      <c r="R630" s="4" t="s">
        <v>175</v>
      </c>
      <c r="S630" s="4"/>
      <c r="T630" s="4"/>
      <c r="U630" s="4"/>
      <c r="V630" s="9">
        <f>[1]Mitigation!$C$6767</f>
        <v>2</v>
      </c>
    </row>
    <row r="631" spans="4:22" x14ac:dyDescent="0.45">
      <c r="D631" s="43" t="s">
        <v>910</v>
      </c>
      <c r="E631" s="4" t="str">
        <f>[1]Mitigation!H8943</f>
        <v>irn.mit.ener.res.lpg.e.2</v>
      </c>
      <c r="F631" s="4" t="str">
        <f t="shared" si="48"/>
        <v>N/A</v>
      </c>
      <c r="G631" s="4" t="str">
        <f t="shared" si="49"/>
        <v>irn.mit.ener_g-f.e.lpg.all.ktoe.2</v>
      </c>
      <c r="H631" s="4" t="s">
        <v>19</v>
      </c>
      <c r="I631" s="4" t="s">
        <v>158</v>
      </c>
      <c r="J631" s="4" t="s">
        <v>176</v>
      </c>
      <c r="K631" s="4" t="s">
        <v>159</v>
      </c>
      <c r="L631" s="4"/>
      <c r="M631" s="4" t="s">
        <v>164</v>
      </c>
      <c r="N631" s="4" t="s">
        <v>28</v>
      </c>
      <c r="O631" s="4"/>
      <c r="P631" s="4" t="str">
        <f t="shared" si="50"/>
        <v>res</v>
      </c>
      <c r="Q631" s="4" t="s">
        <v>65</v>
      </c>
      <c r="R631" s="4" t="s">
        <v>175</v>
      </c>
      <c r="S631" s="4"/>
      <c r="T631" s="4"/>
      <c r="U631" s="4"/>
      <c r="V631" s="9">
        <f>[1]Mitigation!$C$6767</f>
        <v>2</v>
      </c>
    </row>
    <row r="632" spans="4:22" x14ac:dyDescent="0.45">
      <c r="D632" s="43" t="s">
        <v>911</v>
      </c>
      <c r="E632" s="4" t="str">
        <f>[1]Mitigation!H8944</f>
        <v>irn.mit.ener.res.ker.e.2</v>
      </c>
      <c r="F632" s="4" t="str">
        <f t="shared" si="48"/>
        <v>N/A</v>
      </c>
      <c r="G632" s="4" t="str">
        <f t="shared" si="49"/>
        <v>irn.mit.ener_g-f.e.ker.all.ktoe.2</v>
      </c>
      <c r="H632" s="4" t="s">
        <v>19</v>
      </c>
      <c r="I632" s="4" t="s">
        <v>158</v>
      </c>
      <c r="J632" s="4" t="s">
        <v>176</v>
      </c>
      <c r="K632" s="4" t="s">
        <v>159</v>
      </c>
      <c r="L632" s="4"/>
      <c r="M632" s="4" t="s">
        <v>164</v>
      </c>
      <c r="N632" s="4" t="s">
        <v>28</v>
      </c>
      <c r="O632" s="4"/>
      <c r="P632" s="4" t="str">
        <f t="shared" si="50"/>
        <v>res</v>
      </c>
      <c r="Q632" s="4" t="s">
        <v>66</v>
      </c>
      <c r="R632" s="4" t="s">
        <v>175</v>
      </c>
      <c r="S632" s="4"/>
      <c r="T632" s="4"/>
      <c r="U632" s="4"/>
      <c r="V632" s="9">
        <f>[1]Mitigation!$C$6767</f>
        <v>2</v>
      </c>
    </row>
    <row r="633" spans="4:22" x14ac:dyDescent="0.45">
      <c r="D633" s="43" t="s">
        <v>912</v>
      </c>
      <c r="E633" s="4" t="str">
        <f>[1]Mitigation!H8945</f>
        <v>irn.mit.ener.res.oop.e.2</v>
      </c>
      <c r="F633" s="4" t="str">
        <f t="shared" si="48"/>
        <v>N/A</v>
      </c>
      <c r="G633" s="4" t="str">
        <f t="shared" si="49"/>
        <v>irn.mit.ener_g-f.e.oop.all.ktoe.2</v>
      </c>
      <c r="H633" s="4" t="s">
        <v>19</v>
      </c>
      <c r="I633" s="4" t="s">
        <v>158</v>
      </c>
      <c r="J633" s="4" t="s">
        <v>176</v>
      </c>
      <c r="K633" s="4" t="s">
        <v>159</v>
      </c>
      <c r="L633" s="4"/>
      <c r="M633" s="4" t="s">
        <v>164</v>
      </c>
      <c r="N633" s="4" t="s">
        <v>28</v>
      </c>
      <c r="O633" s="4"/>
      <c r="P633" s="4" t="str">
        <f t="shared" si="50"/>
        <v>res</v>
      </c>
      <c r="Q633" s="4" t="s">
        <v>113</v>
      </c>
      <c r="R633" s="4" t="s">
        <v>175</v>
      </c>
      <c r="S633" s="4"/>
      <c r="T633" s="4"/>
      <c r="U633" s="4"/>
      <c r="V633" s="9">
        <f>[1]Mitigation!$C$6767</f>
        <v>2</v>
      </c>
    </row>
    <row r="634" spans="4:22" x14ac:dyDescent="0.45">
      <c r="D634" s="43" t="s">
        <v>913</v>
      </c>
      <c r="E634" s="4" t="str">
        <f>[1]Mitigation!H8946</f>
        <v>irn.mit.ener.res.bio.e.2</v>
      </c>
      <c r="F634" s="4" t="str">
        <f t="shared" si="48"/>
        <v>N/A</v>
      </c>
      <c r="G634" s="4" t="str">
        <f t="shared" si="49"/>
        <v>irn.mit.ener_g-f.e.bio.all.ktoe.2</v>
      </c>
      <c r="H634" s="4" t="s">
        <v>19</v>
      </c>
      <c r="I634" s="4" t="s">
        <v>158</v>
      </c>
      <c r="J634" s="4" t="s">
        <v>176</v>
      </c>
      <c r="K634" s="4" t="s">
        <v>159</v>
      </c>
      <c r="L634" s="4"/>
      <c r="M634" s="4" t="s">
        <v>164</v>
      </c>
      <c r="N634" s="4" t="s">
        <v>28</v>
      </c>
      <c r="O634" s="4"/>
      <c r="P634" s="4" t="str">
        <f t="shared" si="50"/>
        <v>res</v>
      </c>
      <c r="Q634" s="4" t="s">
        <v>162</v>
      </c>
      <c r="R634" s="4" t="s">
        <v>175</v>
      </c>
      <c r="S634" s="4"/>
      <c r="T634" s="4"/>
      <c r="U634" s="4"/>
      <c r="V634" s="9">
        <f>[1]Mitigation!$C$6767</f>
        <v>2</v>
      </c>
    </row>
    <row r="635" spans="4:22" x14ac:dyDescent="0.45">
      <c r="D635" s="43" t="s">
        <v>914</v>
      </c>
      <c r="E635" s="4" t="str">
        <f>[1]Mitigation!H8947</f>
        <v>irn.mit.ener.res.ren.e.2</v>
      </c>
      <c r="F635" s="4" t="str">
        <f t="shared" si="48"/>
        <v>N/A</v>
      </c>
      <c r="G635" s="4" t="str">
        <f t="shared" si="49"/>
        <v>irn.mit.ener_g-f.e.ren.all.ktoe.2</v>
      </c>
      <c r="H635" s="4" t="s">
        <v>19</v>
      </c>
      <c r="I635" s="4" t="s">
        <v>158</v>
      </c>
      <c r="J635" s="4" t="s">
        <v>176</v>
      </c>
      <c r="K635" s="4" t="s">
        <v>159</v>
      </c>
      <c r="L635" s="4"/>
      <c r="M635" s="4" t="s">
        <v>164</v>
      </c>
      <c r="N635" s="4" t="s">
        <v>28</v>
      </c>
      <c r="O635" s="4"/>
      <c r="P635" s="4" t="str">
        <f t="shared" si="50"/>
        <v>res</v>
      </c>
      <c r="Q635" s="4" t="s">
        <v>174</v>
      </c>
      <c r="R635" s="4" t="s">
        <v>175</v>
      </c>
      <c r="S635" s="4"/>
      <c r="T635" s="4"/>
      <c r="U635" s="4"/>
      <c r="V635" s="9">
        <f>[1]Mitigation!$C$6767</f>
        <v>2</v>
      </c>
    </row>
    <row r="636" spans="4:22" x14ac:dyDescent="0.45">
      <c r="D636" s="43" t="s">
        <v>915</v>
      </c>
      <c r="E636" s="4" t="str">
        <f>[1]Mitigation!H8995</f>
        <v>irn.mit.ener.foo.coa.e.2</v>
      </c>
      <c r="F636" s="4" t="str">
        <f t="shared" si="48"/>
        <v>N/A</v>
      </c>
      <c r="G636" s="4" t="str">
        <f t="shared" si="49"/>
        <v>irn.mit.ener_g-f.e.coa.all.ktoe.2</v>
      </c>
      <c r="H636" s="4" t="s">
        <v>19</v>
      </c>
      <c r="I636" s="4" t="s">
        <v>158</v>
      </c>
      <c r="J636" s="4" t="s">
        <v>176</v>
      </c>
      <c r="K636" s="4" t="s">
        <v>159</v>
      </c>
      <c r="L636" s="4"/>
      <c r="M636" s="4" t="s">
        <v>164</v>
      </c>
      <c r="N636" s="4" t="str">
        <f>[1]Mitigation!$Z$65</f>
        <v>foo</v>
      </c>
      <c r="O636" s="4"/>
      <c r="P636" s="4" t="str">
        <f t="shared" si="50"/>
        <v>foo</v>
      </c>
      <c r="Q636" s="4" t="s">
        <v>60</v>
      </c>
      <c r="R636" s="4" t="s">
        <v>175</v>
      </c>
      <c r="S636" s="4"/>
      <c r="T636" s="4"/>
      <c r="U636" s="4"/>
      <c r="V636" s="9">
        <f>[1]Mitigation!$C$6767</f>
        <v>2</v>
      </c>
    </row>
    <row r="637" spans="4:22" x14ac:dyDescent="0.45">
      <c r="D637" s="43" t="s">
        <v>916</v>
      </c>
      <c r="E637" s="4" t="str">
        <f>[1]Mitigation!H8996</f>
        <v>irn.mit.ener.foo.nga.e.2</v>
      </c>
      <c r="F637" s="4" t="str">
        <f t="shared" si="48"/>
        <v>N/A</v>
      </c>
      <c r="G637" s="4" t="str">
        <f t="shared" si="49"/>
        <v>irn.mit.ener_g-f.e.nga.all.ktoe.2</v>
      </c>
      <c r="H637" s="4" t="s">
        <v>19</v>
      </c>
      <c r="I637" s="4" t="s">
        <v>158</v>
      </c>
      <c r="J637" s="4" t="s">
        <v>176</v>
      </c>
      <c r="K637" s="4" t="s">
        <v>159</v>
      </c>
      <c r="L637" s="4"/>
      <c r="M637" s="4" t="s">
        <v>164</v>
      </c>
      <c r="N637" s="4" t="str">
        <f>[1]Mitigation!$Z$65</f>
        <v>foo</v>
      </c>
      <c r="O637" s="4"/>
      <c r="P637" s="4" t="str">
        <f t="shared" si="50"/>
        <v>foo</v>
      </c>
      <c r="Q637" s="4" t="s">
        <v>61</v>
      </c>
      <c r="R637" s="4" t="s">
        <v>175</v>
      </c>
      <c r="S637" s="4"/>
      <c r="T637" s="4"/>
      <c r="U637" s="4"/>
      <c r="V637" s="9">
        <f>[1]Mitigation!$C$6767</f>
        <v>2</v>
      </c>
    </row>
    <row r="638" spans="4:22" x14ac:dyDescent="0.45">
      <c r="D638" s="43" t="s">
        <v>917</v>
      </c>
      <c r="E638" s="4" t="str">
        <f>[1]Mitigation!H8997</f>
        <v>irn.mit.ener.foo.gso.e.2</v>
      </c>
      <c r="F638" s="4" t="str">
        <f t="shared" si="48"/>
        <v>N/A</v>
      </c>
      <c r="G638" s="4" t="str">
        <f t="shared" si="49"/>
        <v>irn.mit.ener_g-f.e.gso.all.ktoe.2</v>
      </c>
      <c r="H638" s="4" t="s">
        <v>19</v>
      </c>
      <c r="I638" s="4" t="s">
        <v>158</v>
      </c>
      <c r="J638" s="4" t="s">
        <v>176</v>
      </c>
      <c r="K638" s="4" t="s">
        <v>159</v>
      </c>
      <c r="L638" s="4"/>
      <c r="M638" s="4" t="s">
        <v>164</v>
      </c>
      <c r="N638" s="4" t="str">
        <f>[1]Mitigation!$Z$65</f>
        <v>foo</v>
      </c>
      <c r="O638" s="4"/>
      <c r="P638" s="4" t="str">
        <f t="shared" si="50"/>
        <v>foo</v>
      </c>
      <c r="Q638" s="4" t="s">
        <v>63</v>
      </c>
      <c r="R638" s="4" t="s">
        <v>175</v>
      </c>
      <c r="S638" s="4"/>
      <c r="T638" s="4"/>
      <c r="U638" s="4"/>
      <c r="V638" s="9">
        <f>[1]Mitigation!$C$6767</f>
        <v>2</v>
      </c>
    </row>
    <row r="639" spans="4:22" x14ac:dyDescent="0.45">
      <c r="D639" s="43" t="s">
        <v>918</v>
      </c>
      <c r="E639" s="4" t="str">
        <f>[1]Mitigation!H8998</f>
        <v>irn.mit.ener.foo.die.e.2</v>
      </c>
      <c r="F639" s="4" t="str">
        <f t="shared" si="48"/>
        <v>N/A</v>
      </c>
      <c r="G639" s="4" t="str">
        <f t="shared" si="49"/>
        <v>irn.mit.ener_g-f.e.die.all.ktoe.2</v>
      </c>
      <c r="H639" s="4" t="s">
        <v>19</v>
      </c>
      <c r="I639" s="4" t="s">
        <v>158</v>
      </c>
      <c r="J639" s="4" t="s">
        <v>176</v>
      </c>
      <c r="K639" s="4" t="s">
        <v>159</v>
      </c>
      <c r="L639" s="4"/>
      <c r="M639" s="4" t="s">
        <v>164</v>
      </c>
      <c r="N639" s="4" t="str">
        <f>[1]Mitigation!$Z$65</f>
        <v>foo</v>
      </c>
      <c r="O639" s="4"/>
      <c r="P639" s="4" t="str">
        <f t="shared" si="50"/>
        <v>foo</v>
      </c>
      <c r="Q639" s="4" t="s">
        <v>64</v>
      </c>
      <c r="R639" s="4" t="s">
        <v>175</v>
      </c>
      <c r="S639" s="4"/>
      <c r="T639" s="4"/>
      <c r="U639" s="4"/>
      <c r="V639" s="9">
        <f>[1]Mitigation!$C$6767</f>
        <v>2</v>
      </c>
    </row>
    <row r="640" spans="4:22" x14ac:dyDescent="0.45">
      <c r="D640" s="43" t="s">
        <v>919</v>
      </c>
      <c r="E640" s="4" t="str">
        <f>[1]Mitigation!H8999</f>
        <v>irn.mit.ener.foo.lpg.e.2</v>
      </c>
      <c r="F640" s="4" t="str">
        <f t="shared" si="48"/>
        <v>N/A</v>
      </c>
      <c r="G640" s="4" t="str">
        <f t="shared" si="49"/>
        <v>irn.mit.ener_g-f.e.lpg.all.ktoe.2</v>
      </c>
      <c r="H640" s="4" t="s">
        <v>19</v>
      </c>
      <c r="I640" s="4" t="s">
        <v>158</v>
      </c>
      <c r="J640" s="4" t="s">
        <v>176</v>
      </c>
      <c r="K640" s="4" t="s">
        <v>159</v>
      </c>
      <c r="L640" s="4"/>
      <c r="M640" s="4" t="s">
        <v>164</v>
      </c>
      <c r="N640" s="4" t="str">
        <f>[1]Mitigation!$Z$65</f>
        <v>foo</v>
      </c>
      <c r="O640" s="4"/>
      <c r="P640" s="4" t="str">
        <f t="shared" si="50"/>
        <v>foo</v>
      </c>
      <c r="Q640" s="4" t="s">
        <v>65</v>
      </c>
      <c r="R640" s="4" t="s">
        <v>175</v>
      </c>
      <c r="S640" s="4"/>
      <c r="T640" s="4"/>
      <c r="U640" s="4"/>
      <c r="V640" s="9">
        <f>[1]Mitigation!$C$6767</f>
        <v>2</v>
      </c>
    </row>
    <row r="641" spans="4:22" x14ac:dyDescent="0.45">
      <c r="D641" s="43" t="s">
        <v>920</v>
      </c>
      <c r="E641" s="4" t="str">
        <f>[1]Mitigation!H9000</f>
        <v>irn.mit.ener.foo.ker.e.2</v>
      </c>
      <c r="F641" s="4" t="str">
        <f t="shared" si="48"/>
        <v>N/A</v>
      </c>
      <c r="G641" s="4" t="str">
        <f t="shared" si="49"/>
        <v>irn.mit.ener_g-f.e.ker.all.ktoe.2</v>
      </c>
      <c r="H641" s="4" t="s">
        <v>19</v>
      </c>
      <c r="I641" s="4" t="s">
        <v>158</v>
      </c>
      <c r="J641" s="4" t="s">
        <v>176</v>
      </c>
      <c r="K641" s="4" t="s">
        <v>159</v>
      </c>
      <c r="L641" s="4"/>
      <c r="M641" s="4" t="s">
        <v>164</v>
      </c>
      <c r="N641" s="4" t="str">
        <f>[1]Mitigation!$Z$65</f>
        <v>foo</v>
      </c>
      <c r="O641" s="4"/>
      <c r="P641" s="4" t="str">
        <f t="shared" si="50"/>
        <v>foo</v>
      </c>
      <c r="Q641" s="4" t="s">
        <v>66</v>
      </c>
      <c r="R641" s="4" t="s">
        <v>175</v>
      </c>
      <c r="S641" s="4"/>
      <c r="T641" s="4"/>
      <c r="U641" s="4"/>
      <c r="V641" s="9">
        <f>[1]Mitigation!$C$6767</f>
        <v>2</v>
      </c>
    </row>
    <row r="642" spans="4:22" x14ac:dyDescent="0.45">
      <c r="D642" s="43" t="s">
        <v>921</v>
      </c>
      <c r="E642" s="4" t="str">
        <f>[1]Mitigation!H9001</f>
        <v>irn.mit.ener.foo.oop.e.2</v>
      </c>
      <c r="F642" s="4" t="str">
        <f t="shared" si="48"/>
        <v>N/A</v>
      </c>
      <c r="G642" s="4" t="str">
        <f t="shared" si="49"/>
        <v>irn.mit.ener_g-f.e.oop.all.ktoe.2</v>
      </c>
      <c r="H642" s="4" t="s">
        <v>19</v>
      </c>
      <c r="I642" s="4" t="s">
        <v>158</v>
      </c>
      <c r="J642" s="4" t="s">
        <v>176</v>
      </c>
      <c r="K642" s="4" t="s">
        <v>159</v>
      </c>
      <c r="L642" s="4"/>
      <c r="M642" s="4" t="s">
        <v>164</v>
      </c>
      <c r="N642" s="4" t="str">
        <f>[1]Mitigation!$Z$65</f>
        <v>foo</v>
      </c>
      <c r="O642" s="4"/>
      <c r="P642" s="4" t="str">
        <f t="shared" si="50"/>
        <v>foo</v>
      </c>
      <c r="Q642" s="4" t="s">
        <v>113</v>
      </c>
      <c r="R642" s="4" t="s">
        <v>175</v>
      </c>
      <c r="S642" s="4"/>
      <c r="T642" s="4"/>
      <c r="U642" s="4"/>
      <c r="V642" s="9">
        <f>[1]Mitigation!$C$6767</f>
        <v>2</v>
      </c>
    </row>
    <row r="643" spans="4:22" x14ac:dyDescent="0.45">
      <c r="D643" s="43" t="s">
        <v>922</v>
      </c>
      <c r="E643" s="4" t="str">
        <f>[1]Mitigation!H9002</f>
        <v>irn.mit.ener.foo.bio.e.2</v>
      </c>
      <c r="F643" s="4" t="str">
        <f t="shared" si="48"/>
        <v>N/A</v>
      </c>
      <c r="G643" s="4" t="str">
        <f t="shared" si="49"/>
        <v>irn.mit.ener_g-f.e.bio.all.ktoe.2</v>
      </c>
      <c r="H643" s="4" t="s">
        <v>19</v>
      </c>
      <c r="I643" s="4" t="s">
        <v>158</v>
      </c>
      <c r="J643" s="4" t="s">
        <v>176</v>
      </c>
      <c r="K643" s="4" t="s">
        <v>159</v>
      </c>
      <c r="L643" s="4"/>
      <c r="M643" s="4" t="s">
        <v>164</v>
      </c>
      <c r="N643" s="4" t="str">
        <f>[1]Mitigation!$Z$65</f>
        <v>foo</v>
      </c>
      <c r="O643" s="4"/>
      <c r="P643" s="4" t="str">
        <f t="shared" si="50"/>
        <v>foo</v>
      </c>
      <c r="Q643" s="4" t="s">
        <v>162</v>
      </c>
      <c r="R643" s="4" t="s">
        <v>175</v>
      </c>
      <c r="S643" s="4"/>
      <c r="T643" s="4"/>
      <c r="U643" s="4"/>
      <c r="V643" s="9">
        <f>[1]Mitigation!$C$6767</f>
        <v>2</v>
      </c>
    </row>
    <row r="644" spans="4:22" x14ac:dyDescent="0.45">
      <c r="D644" s="43" t="s">
        <v>923</v>
      </c>
      <c r="E644" s="4" t="str">
        <f>[1]Mitigation!H9003</f>
        <v>irn.mit.ener.foo.ren.e.2</v>
      </c>
      <c r="F644" s="4" t="str">
        <f t="shared" si="48"/>
        <v>N/A</v>
      </c>
      <c r="G644" s="4" t="str">
        <f t="shared" si="49"/>
        <v>irn.mit.ener_g-f.e.ren.all.ktoe.2</v>
      </c>
      <c r="H644" s="4" t="s">
        <v>19</v>
      </c>
      <c r="I644" s="4" t="s">
        <v>158</v>
      </c>
      <c r="J644" s="4" t="s">
        <v>176</v>
      </c>
      <c r="K644" s="4" t="s">
        <v>159</v>
      </c>
      <c r="L644" s="4"/>
      <c r="M644" s="4" t="s">
        <v>164</v>
      </c>
      <c r="N644" s="4" t="str">
        <f>[1]Mitigation!$Z$65</f>
        <v>foo</v>
      </c>
      <c r="O644" s="4"/>
      <c r="P644" s="4" t="str">
        <f t="shared" si="50"/>
        <v>foo</v>
      </c>
      <c r="Q644" s="4" t="s">
        <v>174</v>
      </c>
      <c r="R644" s="4" t="s">
        <v>175</v>
      </c>
      <c r="S644" s="4"/>
      <c r="T644" s="4"/>
      <c r="U644" s="4"/>
      <c r="V644" s="9">
        <f>[1]Mitigation!$C$6767</f>
        <v>2</v>
      </c>
    </row>
    <row r="645" spans="4:22" x14ac:dyDescent="0.45">
      <c r="D645" s="43" t="s">
        <v>924</v>
      </c>
      <c r="E645" s="4" t="str">
        <f>[1]Mitigation!H9020</f>
        <v>irn.mit.ener.srv.coa.e.2</v>
      </c>
      <c r="F645" s="4" t="str">
        <f t="shared" si="48"/>
        <v>N/A</v>
      </c>
      <c r="G645" s="4" t="str">
        <f t="shared" si="49"/>
        <v>irn.mit.ener_g-f.e.coa.all.ktoe.2</v>
      </c>
      <c r="H645" s="4" t="s">
        <v>19</v>
      </c>
      <c r="I645" s="4" t="s">
        <v>158</v>
      </c>
      <c r="J645" s="4" t="s">
        <v>176</v>
      </c>
      <c r="K645" s="4" t="s">
        <v>159</v>
      </c>
      <c r="L645" s="4"/>
      <c r="M645" s="4" t="s">
        <v>164</v>
      </c>
      <c r="N645" s="4" t="str">
        <f>[1]Mitigation!$Z$66</f>
        <v>srv</v>
      </c>
      <c r="O645" s="4"/>
      <c r="P645" s="4" t="str">
        <f t="shared" si="50"/>
        <v>srv</v>
      </c>
      <c r="Q645" s="4" t="s">
        <v>60</v>
      </c>
      <c r="R645" s="4" t="s">
        <v>175</v>
      </c>
      <c r="S645" s="4"/>
      <c r="T645" s="4"/>
      <c r="U645" s="4"/>
      <c r="V645" s="9">
        <f>[1]Mitigation!$C$6767</f>
        <v>2</v>
      </c>
    </row>
    <row r="646" spans="4:22" x14ac:dyDescent="0.45">
      <c r="D646" s="43" t="s">
        <v>925</v>
      </c>
      <c r="E646" s="4" t="str">
        <f>[1]Mitigation!H9021</f>
        <v>irn.mit.ener.srv.nga.e.2</v>
      </c>
      <c r="F646" s="4" t="str">
        <f t="shared" si="48"/>
        <v>N/A</v>
      </c>
      <c r="G646" s="4" t="str">
        <f t="shared" si="49"/>
        <v>irn.mit.ener_g-f.e.nga.all.ktoe.2</v>
      </c>
      <c r="H646" s="4" t="s">
        <v>19</v>
      </c>
      <c r="I646" s="4" t="s">
        <v>158</v>
      </c>
      <c r="J646" s="4" t="s">
        <v>176</v>
      </c>
      <c r="K646" s="4" t="s">
        <v>159</v>
      </c>
      <c r="L646" s="4"/>
      <c r="M646" s="4" t="s">
        <v>164</v>
      </c>
      <c r="N646" s="4" t="str">
        <f>[1]Mitigation!$Z$66</f>
        <v>srv</v>
      </c>
      <c r="O646" s="4"/>
      <c r="P646" s="4" t="str">
        <f t="shared" si="50"/>
        <v>srv</v>
      </c>
      <c r="Q646" s="4" t="s">
        <v>61</v>
      </c>
      <c r="R646" s="4" t="s">
        <v>175</v>
      </c>
      <c r="S646" s="4"/>
      <c r="T646" s="4"/>
      <c r="U646" s="4"/>
      <c r="V646" s="9">
        <f>[1]Mitigation!$C$6767</f>
        <v>2</v>
      </c>
    </row>
    <row r="647" spans="4:22" x14ac:dyDescent="0.45">
      <c r="D647" s="43" t="s">
        <v>926</v>
      </c>
      <c r="E647" s="4" t="str">
        <f>[1]Mitigation!H9022</f>
        <v>irn.mit.ener.srv.gso.e.2</v>
      </c>
      <c r="F647" s="4" t="str">
        <f t="shared" si="48"/>
        <v>N/A</v>
      </c>
      <c r="G647" s="4" t="str">
        <f t="shared" si="49"/>
        <v>irn.mit.ener_g-f.e.gso.all.ktoe.2</v>
      </c>
      <c r="H647" s="4" t="s">
        <v>19</v>
      </c>
      <c r="I647" s="4" t="s">
        <v>158</v>
      </c>
      <c r="J647" s="4" t="s">
        <v>176</v>
      </c>
      <c r="K647" s="4" t="s">
        <v>159</v>
      </c>
      <c r="L647" s="4"/>
      <c r="M647" s="4" t="s">
        <v>164</v>
      </c>
      <c r="N647" s="4" t="str">
        <f>[1]Mitigation!$Z$66</f>
        <v>srv</v>
      </c>
      <c r="O647" s="4"/>
      <c r="P647" s="4" t="str">
        <f t="shared" si="50"/>
        <v>srv</v>
      </c>
      <c r="Q647" s="4" t="s">
        <v>63</v>
      </c>
      <c r="R647" s="4" t="s">
        <v>175</v>
      </c>
      <c r="S647" s="4"/>
      <c r="T647" s="4"/>
      <c r="U647" s="4"/>
      <c r="V647" s="9">
        <f>[1]Mitigation!$C$6767</f>
        <v>2</v>
      </c>
    </row>
    <row r="648" spans="4:22" x14ac:dyDescent="0.45">
      <c r="D648" s="43" t="s">
        <v>927</v>
      </c>
      <c r="E648" s="4" t="str">
        <f>[1]Mitigation!H9023</f>
        <v>irn.mit.ener.srv.die.e.2</v>
      </c>
      <c r="F648" s="4" t="str">
        <f t="shared" si="48"/>
        <v>N/A</v>
      </c>
      <c r="G648" s="4" t="str">
        <f t="shared" si="49"/>
        <v>irn.mit.ener_g-f.e.die.all.ktoe.2</v>
      </c>
      <c r="H648" s="4" t="s">
        <v>19</v>
      </c>
      <c r="I648" s="4" t="s">
        <v>158</v>
      </c>
      <c r="J648" s="4" t="s">
        <v>176</v>
      </c>
      <c r="K648" s="4" t="s">
        <v>159</v>
      </c>
      <c r="L648" s="4"/>
      <c r="M648" s="4" t="s">
        <v>164</v>
      </c>
      <c r="N648" s="4" t="str">
        <f>[1]Mitigation!$Z$66</f>
        <v>srv</v>
      </c>
      <c r="O648" s="4"/>
      <c r="P648" s="4" t="str">
        <f t="shared" si="50"/>
        <v>srv</v>
      </c>
      <c r="Q648" s="4" t="s">
        <v>64</v>
      </c>
      <c r="R648" s="4" t="s">
        <v>175</v>
      </c>
      <c r="S648" s="4"/>
      <c r="T648" s="4"/>
      <c r="U648" s="4"/>
      <c r="V648" s="9">
        <f>[1]Mitigation!$C$6767</f>
        <v>2</v>
      </c>
    </row>
    <row r="649" spans="4:22" x14ac:dyDescent="0.45">
      <c r="D649" s="43" t="s">
        <v>928</v>
      </c>
      <c r="E649" s="4" t="str">
        <f>[1]Mitigation!H9024</f>
        <v>irn.mit.ener.srv.lpg.e.2</v>
      </c>
      <c r="F649" s="4" t="str">
        <f t="shared" si="48"/>
        <v>N/A</v>
      </c>
      <c r="G649" s="4" t="str">
        <f t="shared" si="49"/>
        <v>irn.mit.ener_g-f.e.lpg.all.ktoe.2</v>
      </c>
      <c r="H649" s="4" t="s">
        <v>19</v>
      </c>
      <c r="I649" s="4" t="s">
        <v>158</v>
      </c>
      <c r="J649" s="4" t="s">
        <v>176</v>
      </c>
      <c r="K649" s="4" t="s">
        <v>159</v>
      </c>
      <c r="L649" s="4"/>
      <c r="M649" s="4" t="s">
        <v>164</v>
      </c>
      <c r="N649" s="4" t="str">
        <f>[1]Mitigation!$Z$66</f>
        <v>srv</v>
      </c>
      <c r="O649" s="4"/>
      <c r="P649" s="4" t="str">
        <f t="shared" si="50"/>
        <v>srv</v>
      </c>
      <c r="Q649" s="4" t="s">
        <v>65</v>
      </c>
      <c r="R649" s="4" t="s">
        <v>175</v>
      </c>
      <c r="S649" s="4"/>
      <c r="T649" s="4"/>
      <c r="U649" s="4"/>
      <c r="V649" s="9">
        <f>[1]Mitigation!$C$6767</f>
        <v>2</v>
      </c>
    </row>
    <row r="650" spans="4:22" x14ac:dyDescent="0.45">
      <c r="D650" s="43" t="s">
        <v>929</v>
      </c>
      <c r="E650" s="4" t="str">
        <f>[1]Mitigation!H9025</f>
        <v>irn.mit.ener.srv.ker.e.2</v>
      </c>
      <c r="F650" s="4" t="str">
        <f t="shared" si="48"/>
        <v>N/A</v>
      </c>
      <c r="G650" s="4" t="str">
        <f t="shared" si="49"/>
        <v>irn.mit.ener_g-f.e.ker.all.ktoe.2</v>
      </c>
      <c r="H650" s="4" t="s">
        <v>19</v>
      </c>
      <c r="I650" s="4" t="s">
        <v>158</v>
      </c>
      <c r="J650" s="4" t="s">
        <v>176</v>
      </c>
      <c r="K650" s="4" t="s">
        <v>159</v>
      </c>
      <c r="L650" s="4"/>
      <c r="M650" s="4" t="s">
        <v>164</v>
      </c>
      <c r="N650" s="4" t="str">
        <f>[1]Mitigation!$Z$66</f>
        <v>srv</v>
      </c>
      <c r="O650" s="4"/>
      <c r="P650" s="4" t="str">
        <f t="shared" si="50"/>
        <v>srv</v>
      </c>
      <c r="Q650" s="4" t="s">
        <v>66</v>
      </c>
      <c r="R650" s="4" t="s">
        <v>175</v>
      </c>
      <c r="S650" s="4"/>
      <c r="T650" s="4"/>
      <c r="U650" s="4"/>
      <c r="V650" s="9">
        <f>[1]Mitigation!$C$6767</f>
        <v>2</v>
      </c>
    </row>
    <row r="651" spans="4:22" x14ac:dyDescent="0.45">
      <c r="D651" s="43" t="s">
        <v>930</v>
      </c>
      <c r="E651" s="4" t="str">
        <f>[1]Mitigation!H9026</f>
        <v>irn.mit.ener.srv.oop.e.2</v>
      </c>
      <c r="F651" s="4" t="str">
        <f t="shared" si="48"/>
        <v>N/A</v>
      </c>
      <c r="G651" s="4" t="str">
        <f t="shared" si="49"/>
        <v>irn.mit.ener_g-f.e.oop.all.ktoe.2</v>
      </c>
      <c r="H651" s="4" t="s">
        <v>19</v>
      </c>
      <c r="I651" s="4" t="s">
        <v>158</v>
      </c>
      <c r="J651" s="4" t="s">
        <v>176</v>
      </c>
      <c r="K651" s="4" t="s">
        <v>159</v>
      </c>
      <c r="L651" s="4"/>
      <c r="M651" s="4" t="s">
        <v>164</v>
      </c>
      <c r="N651" s="4" t="str">
        <f>[1]Mitigation!$Z$66</f>
        <v>srv</v>
      </c>
      <c r="O651" s="4"/>
      <c r="P651" s="4" t="str">
        <f t="shared" si="50"/>
        <v>srv</v>
      </c>
      <c r="Q651" s="4" t="s">
        <v>113</v>
      </c>
      <c r="R651" s="4" t="s">
        <v>175</v>
      </c>
      <c r="S651" s="4"/>
      <c r="T651" s="4"/>
      <c r="U651" s="4"/>
      <c r="V651" s="9">
        <f>[1]Mitigation!$C$6767</f>
        <v>2</v>
      </c>
    </row>
    <row r="652" spans="4:22" x14ac:dyDescent="0.45">
      <c r="D652" s="43" t="s">
        <v>931</v>
      </c>
      <c r="E652" s="4" t="str">
        <f>[1]Mitigation!H9027</f>
        <v>irn.mit.ener.srv.bio.e.2</v>
      </c>
      <c r="F652" s="4" t="str">
        <f t="shared" si="48"/>
        <v>N/A</v>
      </c>
      <c r="G652" s="4" t="str">
        <f t="shared" si="49"/>
        <v>irn.mit.ener_g-f.e.bio.all.ktoe.2</v>
      </c>
      <c r="H652" s="4" t="s">
        <v>19</v>
      </c>
      <c r="I652" s="4" t="s">
        <v>158</v>
      </c>
      <c r="J652" s="4" t="s">
        <v>176</v>
      </c>
      <c r="K652" s="4" t="s">
        <v>159</v>
      </c>
      <c r="L652" s="4"/>
      <c r="M652" s="4" t="s">
        <v>164</v>
      </c>
      <c r="N652" s="4" t="str">
        <f>[1]Mitigation!$Z$66</f>
        <v>srv</v>
      </c>
      <c r="O652" s="4"/>
      <c r="P652" s="4" t="str">
        <f t="shared" si="50"/>
        <v>srv</v>
      </c>
      <c r="Q652" s="4" t="s">
        <v>162</v>
      </c>
      <c r="R652" s="4" t="s">
        <v>175</v>
      </c>
      <c r="S652" s="4"/>
      <c r="T652" s="4"/>
      <c r="U652" s="4"/>
      <c r="V652" s="9">
        <f>[1]Mitigation!$C$6767</f>
        <v>2</v>
      </c>
    </row>
    <row r="653" spans="4:22" x14ac:dyDescent="0.45">
      <c r="D653" s="43" t="s">
        <v>932</v>
      </c>
      <c r="E653" s="4" t="str">
        <f>[1]Mitigation!H9028</f>
        <v>irn.mit.ener.srv.ren.e.2</v>
      </c>
      <c r="F653" s="4" t="str">
        <f t="shared" si="48"/>
        <v>N/A</v>
      </c>
      <c r="G653" s="4" t="str">
        <f t="shared" si="49"/>
        <v>irn.mit.ener_g-f.e.ren.all.ktoe.2</v>
      </c>
      <c r="H653" s="4" t="s">
        <v>19</v>
      </c>
      <c r="I653" s="4" t="s">
        <v>158</v>
      </c>
      <c r="J653" s="4" t="s">
        <v>176</v>
      </c>
      <c r="K653" s="4" t="s">
        <v>159</v>
      </c>
      <c r="L653" s="4"/>
      <c r="M653" s="4" t="s">
        <v>164</v>
      </c>
      <c r="N653" s="4" t="str">
        <f>[1]Mitigation!$Z$66</f>
        <v>srv</v>
      </c>
      <c r="O653" s="4"/>
      <c r="P653" s="4" t="str">
        <f t="shared" si="50"/>
        <v>srv</v>
      </c>
      <c r="Q653" s="4" t="s">
        <v>174</v>
      </c>
      <c r="R653" s="4" t="s">
        <v>175</v>
      </c>
      <c r="S653" s="4"/>
      <c r="T653" s="4"/>
      <c r="U653" s="4"/>
      <c r="V653" s="9">
        <f>[1]Mitigation!$C$6767</f>
        <v>2</v>
      </c>
    </row>
    <row r="654" spans="4:22" x14ac:dyDescent="0.45">
      <c r="D654" s="45" t="s">
        <v>933</v>
      </c>
      <c r="E654" s="4" t="str">
        <f>[1]Mitigation!H9275</f>
        <v>irn.mit.ener.ind.tot.e.2</v>
      </c>
      <c r="F654" s="4" t="str">
        <f>IF(MTAct,E654&amp;"_"&amp;MSTScenarioID,"N/A")</f>
        <v>N/A</v>
      </c>
      <c r="G654" s="4" t="str">
        <f t="shared" si="49"/>
        <v>irn.mit.ener_s.e.tot.all.ktoe.2</v>
      </c>
      <c r="H654" s="4" t="s">
        <v>19</v>
      </c>
      <c r="I654" s="4" t="s">
        <v>158</v>
      </c>
      <c r="J654" s="4" t="s">
        <v>67</v>
      </c>
      <c r="K654" s="4" t="s">
        <v>159</v>
      </c>
      <c r="L654" s="4"/>
      <c r="M654" s="4"/>
      <c r="N654" s="4" t="s">
        <v>29</v>
      </c>
      <c r="O654" s="4"/>
      <c r="P654" s="4" t="str">
        <f t="shared" si="50"/>
        <v>ind</v>
      </c>
      <c r="Q654" s="4" t="s">
        <v>37</v>
      </c>
      <c r="R654" s="4" t="s">
        <v>175</v>
      </c>
      <c r="S654" s="4"/>
      <c r="T654" s="4"/>
      <c r="U654" s="4"/>
      <c r="V654" s="9">
        <f>[1]Mitigation!$C$6767</f>
        <v>2</v>
      </c>
    </row>
    <row r="655" spans="4:22" x14ac:dyDescent="0.45">
      <c r="D655" s="43" t="s">
        <v>934</v>
      </c>
      <c r="E655" s="4" t="str">
        <f>[1]Mitigation!H9065</f>
        <v>irn.mit.ener.mch.coa.e.2</v>
      </c>
      <c r="F655" s="4" t="str">
        <f t="shared" si="48"/>
        <v>N/A</v>
      </c>
      <c r="G655" s="4" t="str">
        <f t="shared" si="49"/>
        <v>irn.mit.ener_g-f.e.coa.all.ktoe.2</v>
      </c>
      <c r="H655" s="4" t="s">
        <v>19</v>
      </c>
      <c r="I655" s="4" t="s">
        <v>158</v>
      </c>
      <c r="J655" s="4" t="s">
        <v>176</v>
      </c>
      <c r="K655" s="4" t="s">
        <v>159</v>
      </c>
      <c r="L655" s="4"/>
      <c r="M655" s="4" t="s">
        <v>29</v>
      </c>
      <c r="N655" s="4" t="str">
        <f>[1]Mitigation!$Z$68</f>
        <v>mch</v>
      </c>
      <c r="O655" s="4"/>
      <c r="P655" s="4" t="str">
        <f t="shared" si="50"/>
        <v>mch</v>
      </c>
      <c r="Q655" s="4" t="s">
        <v>60</v>
      </c>
      <c r="R655" s="4" t="s">
        <v>175</v>
      </c>
      <c r="S655" s="4"/>
      <c r="T655" s="4"/>
      <c r="U655" s="4"/>
      <c r="V655" s="9">
        <f>[1]Mitigation!$C$6767</f>
        <v>2</v>
      </c>
    </row>
    <row r="656" spans="4:22" x14ac:dyDescent="0.45">
      <c r="D656" s="43" t="s">
        <v>935</v>
      </c>
      <c r="E656" s="4" t="str">
        <f>[1]Mitigation!H9066</f>
        <v>irn.mit.ener.mch.nga.e.2</v>
      </c>
      <c r="F656" s="4" t="str">
        <f t="shared" si="48"/>
        <v>N/A</v>
      </c>
      <c r="G656" s="4" t="str">
        <f t="shared" si="49"/>
        <v>irn.mit.ener_g-f.e.nga.all.ktoe.2</v>
      </c>
      <c r="H656" s="4" t="s">
        <v>19</v>
      </c>
      <c r="I656" s="4" t="s">
        <v>158</v>
      </c>
      <c r="J656" s="4" t="s">
        <v>176</v>
      </c>
      <c r="K656" s="4" t="s">
        <v>159</v>
      </c>
      <c r="L656" s="4"/>
      <c r="M656" s="4" t="s">
        <v>29</v>
      </c>
      <c r="N656" s="4" t="str">
        <f>[1]Mitigation!$Z$68</f>
        <v>mch</v>
      </c>
      <c r="O656" s="4"/>
      <c r="P656" s="4" t="str">
        <f t="shared" si="50"/>
        <v>mch</v>
      </c>
      <c r="Q656" s="4" t="s">
        <v>61</v>
      </c>
      <c r="R656" s="4" t="s">
        <v>175</v>
      </c>
      <c r="S656" s="4"/>
      <c r="T656" s="4"/>
      <c r="U656" s="4"/>
      <c r="V656" s="9">
        <f>[1]Mitigation!$C$6767</f>
        <v>2</v>
      </c>
    </row>
    <row r="657" spans="4:22" x14ac:dyDescent="0.45">
      <c r="D657" s="43" t="s">
        <v>936</v>
      </c>
      <c r="E657" s="4" t="str">
        <f>[1]Mitigation!H9067</f>
        <v>irn.mit.ener.mch.gso.e.2</v>
      </c>
      <c r="F657" s="4" t="str">
        <f t="shared" si="48"/>
        <v>N/A</v>
      </c>
      <c r="G657" s="4" t="str">
        <f t="shared" si="49"/>
        <v>irn.mit.ener_g-f.e.gso.all.ktoe.2</v>
      </c>
      <c r="H657" s="4" t="s">
        <v>19</v>
      </c>
      <c r="I657" s="4" t="s">
        <v>158</v>
      </c>
      <c r="J657" s="4" t="s">
        <v>176</v>
      </c>
      <c r="K657" s="4" t="s">
        <v>159</v>
      </c>
      <c r="L657" s="4"/>
      <c r="M657" s="4" t="s">
        <v>29</v>
      </c>
      <c r="N657" s="4" t="str">
        <f>[1]Mitigation!$Z$68</f>
        <v>mch</v>
      </c>
      <c r="O657" s="4"/>
      <c r="P657" s="4" t="str">
        <f t="shared" si="50"/>
        <v>mch</v>
      </c>
      <c r="Q657" s="4" t="s">
        <v>63</v>
      </c>
      <c r="R657" s="4" t="s">
        <v>175</v>
      </c>
      <c r="S657" s="4"/>
      <c r="T657" s="4"/>
      <c r="U657" s="4"/>
      <c r="V657" s="9">
        <f>[1]Mitigation!$C$6767</f>
        <v>2</v>
      </c>
    </row>
    <row r="658" spans="4:22" x14ac:dyDescent="0.45">
      <c r="D658" s="43" t="s">
        <v>937</v>
      </c>
      <c r="E658" s="4" t="str">
        <f>[1]Mitigation!H9068</f>
        <v>irn.mit.ener.mch.die.e.2</v>
      </c>
      <c r="F658" s="4" t="str">
        <f t="shared" si="48"/>
        <v>N/A</v>
      </c>
      <c r="G658" s="4" t="str">
        <f t="shared" si="49"/>
        <v>irn.mit.ener_g-f.e.die.all.ktoe.2</v>
      </c>
      <c r="H658" s="4" t="s">
        <v>19</v>
      </c>
      <c r="I658" s="4" t="s">
        <v>158</v>
      </c>
      <c r="J658" s="4" t="s">
        <v>176</v>
      </c>
      <c r="K658" s="4" t="s">
        <v>159</v>
      </c>
      <c r="L658" s="4"/>
      <c r="M658" s="4" t="s">
        <v>29</v>
      </c>
      <c r="N658" s="4" t="str">
        <f>[1]Mitigation!$Z$68</f>
        <v>mch</v>
      </c>
      <c r="O658" s="4"/>
      <c r="P658" s="4" t="str">
        <f t="shared" si="50"/>
        <v>mch</v>
      </c>
      <c r="Q658" s="4" t="s">
        <v>64</v>
      </c>
      <c r="R658" s="4" t="s">
        <v>175</v>
      </c>
      <c r="S658" s="4"/>
      <c r="T658" s="4"/>
      <c r="U658" s="4"/>
      <c r="V658" s="9">
        <f>[1]Mitigation!$C$6767</f>
        <v>2</v>
      </c>
    </row>
    <row r="659" spans="4:22" x14ac:dyDescent="0.45">
      <c r="D659" s="43" t="s">
        <v>938</v>
      </c>
      <c r="E659" s="4" t="str">
        <f>[1]Mitigation!H9069</f>
        <v>irn.mit.ener.mch.lpg.e.2</v>
      </c>
      <c r="F659" s="4" t="str">
        <f t="shared" si="48"/>
        <v>N/A</v>
      </c>
      <c r="G659" s="4" t="str">
        <f t="shared" si="49"/>
        <v>irn.mit.ener_g-f.e.lpg.all.ktoe.2</v>
      </c>
      <c r="H659" s="4" t="s">
        <v>19</v>
      </c>
      <c r="I659" s="4" t="s">
        <v>158</v>
      </c>
      <c r="J659" s="4" t="s">
        <v>176</v>
      </c>
      <c r="K659" s="4" t="s">
        <v>159</v>
      </c>
      <c r="L659" s="4"/>
      <c r="M659" s="4" t="s">
        <v>29</v>
      </c>
      <c r="N659" s="4" t="str">
        <f>[1]Mitigation!$Z$68</f>
        <v>mch</v>
      </c>
      <c r="O659" s="4"/>
      <c r="P659" s="4" t="str">
        <f t="shared" si="50"/>
        <v>mch</v>
      </c>
      <c r="Q659" s="4" t="s">
        <v>65</v>
      </c>
      <c r="R659" s="4" t="s">
        <v>175</v>
      </c>
      <c r="S659" s="4"/>
      <c r="T659" s="4"/>
      <c r="U659" s="4"/>
      <c r="V659" s="9">
        <f>[1]Mitigation!$C$6767</f>
        <v>2</v>
      </c>
    </row>
    <row r="660" spans="4:22" x14ac:dyDescent="0.45">
      <c r="D660" s="43" t="s">
        <v>939</v>
      </c>
      <c r="E660" s="4" t="str">
        <f>[1]Mitigation!H9070</f>
        <v>irn.mit.ener.mch.ker.e.2</v>
      </c>
      <c r="F660" s="4" t="str">
        <f t="shared" si="48"/>
        <v>N/A</v>
      </c>
      <c r="G660" s="4" t="str">
        <f t="shared" si="49"/>
        <v>irn.mit.ener_g-f.e.ker.all.ktoe.2</v>
      </c>
      <c r="H660" s="4" t="s">
        <v>19</v>
      </c>
      <c r="I660" s="4" t="s">
        <v>158</v>
      </c>
      <c r="J660" s="4" t="s">
        <v>176</v>
      </c>
      <c r="K660" s="4" t="s">
        <v>159</v>
      </c>
      <c r="L660" s="4"/>
      <c r="M660" s="4" t="s">
        <v>29</v>
      </c>
      <c r="N660" s="4" t="str">
        <f>[1]Mitigation!$Z$68</f>
        <v>mch</v>
      </c>
      <c r="O660" s="4"/>
      <c r="P660" s="4" t="str">
        <f t="shared" si="50"/>
        <v>mch</v>
      </c>
      <c r="Q660" s="4" t="s">
        <v>66</v>
      </c>
      <c r="R660" s="4" t="s">
        <v>175</v>
      </c>
      <c r="S660" s="4"/>
      <c r="T660" s="4"/>
      <c r="U660" s="4"/>
      <c r="V660" s="9">
        <f>[1]Mitigation!$C$6767</f>
        <v>2</v>
      </c>
    </row>
    <row r="661" spans="4:22" x14ac:dyDescent="0.45">
      <c r="D661" s="43" t="s">
        <v>940</v>
      </c>
      <c r="E661" s="4" t="str">
        <f>[1]Mitigation!H9071</f>
        <v>irn.mit.ener.mch.oop.e.2</v>
      </c>
      <c r="F661" s="4" t="str">
        <f t="shared" si="48"/>
        <v>N/A</v>
      </c>
      <c r="G661" s="4" t="str">
        <f t="shared" si="49"/>
        <v>irn.mit.ener_g-f.e.oop.all.ktoe.2</v>
      </c>
      <c r="H661" s="4" t="s">
        <v>19</v>
      </c>
      <c r="I661" s="4" t="s">
        <v>158</v>
      </c>
      <c r="J661" s="4" t="s">
        <v>176</v>
      </c>
      <c r="K661" s="4" t="s">
        <v>159</v>
      </c>
      <c r="L661" s="4"/>
      <c r="M661" s="4" t="s">
        <v>29</v>
      </c>
      <c r="N661" s="4" t="str">
        <f>[1]Mitigation!$Z$68</f>
        <v>mch</v>
      </c>
      <c r="O661" s="4"/>
      <c r="P661" s="4" t="str">
        <f t="shared" si="50"/>
        <v>mch</v>
      </c>
      <c r="Q661" s="4" t="s">
        <v>113</v>
      </c>
      <c r="R661" s="4" t="s">
        <v>175</v>
      </c>
      <c r="S661" s="4"/>
      <c r="T661" s="4"/>
      <c r="U661" s="4"/>
      <c r="V661" s="9">
        <f>[1]Mitigation!$C$6767</f>
        <v>2</v>
      </c>
    </row>
    <row r="662" spans="4:22" x14ac:dyDescent="0.45">
      <c r="D662" s="43" t="s">
        <v>941</v>
      </c>
      <c r="E662" s="4" t="str">
        <f>[1]Mitigation!H9072</f>
        <v>irn.mit.ener.mch.bio.e.2</v>
      </c>
      <c r="F662" s="4" t="str">
        <f t="shared" si="48"/>
        <v>N/A</v>
      </c>
      <c r="G662" s="4" t="str">
        <f t="shared" si="49"/>
        <v>irn.mit.ener_g-f.e.bio.all.ktoe.2</v>
      </c>
      <c r="H662" s="4" t="s">
        <v>19</v>
      </c>
      <c r="I662" s="4" t="s">
        <v>158</v>
      </c>
      <c r="J662" s="4" t="s">
        <v>176</v>
      </c>
      <c r="K662" s="4" t="s">
        <v>159</v>
      </c>
      <c r="L662" s="4"/>
      <c r="M662" s="4" t="s">
        <v>29</v>
      </c>
      <c r="N662" s="4" t="str">
        <f>[1]Mitigation!$Z$68</f>
        <v>mch</v>
      </c>
      <c r="O662" s="4"/>
      <c r="P662" s="4" t="str">
        <f t="shared" si="50"/>
        <v>mch</v>
      </c>
      <c r="Q662" s="4" t="s">
        <v>162</v>
      </c>
      <c r="R662" s="4" t="s">
        <v>175</v>
      </c>
      <c r="S662" s="4"/>
      <c r="T662" s="4"/>
      <c r="U662" s="4"/>
      <c r="V662" s="9">
        <f>[1]Mitigation!$C$6767</f>
        <v>2</v>
      </c>
    </row>
    <row r="663" spans="4:22" x14ac:dyDescent="0.45">
      <c r="D663" s="43" t="s">
        <v>942</v>
      </c>
      <c r="E663" s="4" t="str">
        <f>[1]Mitigation!H9073</f>
        <v>irn.mit.ener.mch.ren.e.2</v>
      </c>
      <c r="F663" s="4" t="str">
        <f t="shared" si="48"/>
        <v>N/A</v>
      </c>
      <c r="G663" s="4" t="str">
        <f t="shared" si="49"/>
        <v>irn.mit.ener_g-f.e.ren.all.ktoe.2</v>
      </c>
      <c r="H663" s="4" t="s">
        <v>19</v>
      </c>
      <c r="I663" s="4" t="s">
        <v>158</v>
      </c>
      <c r="J663" s="4" t="s">
        <v>176</v>
      </c>
      <c r="K663" s="4" t="s">
        <v>159</v>
      </c>
      <c r="L663" s="4"/>
      <c r="M663" s="4" t="s">
        <v>29</v>
      </c>
      <c r="N663" s="4" t="str">
        <f>[1]Mitigation!$Z$68</f>
        <v>mch</v>
      </c>
      <c r="O663" s="4"/>
      <c r="P663" s="4" t="str">
        <f t="shared" si="50"/>
        <v>mch</v>
      </c>
      <c r="Q663" s="4" t="s">
        <v>174</v>
      </c>
      <c r="R663" s="4" t="s">
        <v>175</v>
      </c>
      <c r="S663" s="4"/>
      <c r="T663" s="4"/>
      <c r="U663" s="4"/>
      <c r="V663" s="9">
        <f>[1]Mitigation!$C$6767</f>
        <v>2</v>
      </c>
    </row>
    <row r="664" spans="4:22" x14ac:dyDescent="0.45">
      <c r="D664" s="43" t="s">
        <v>943</v>
      </c>
      <c r="E664" s="4" t="str">
        <f>[1]Mitigation!H9090</f>
        <v>irn.mit.ener.irn.coa.e.2</v>
      </c>
      <c r="F664" s="4" t="str">
        <f t="shared" si="48"/>
        <v>N/A</v>
      </c>
      <c r="G664" s="4" t="str">
        <f t="shared" si="49"/>
        <v>irn.mit.ener_g-f.e.coa.all.ktoe.2</v>
      </c>
      <c r="H664" s="4" t="s">
        <v>19</v>
      </c>
      <c r="I664" s="4" t="s">
        <v>158</v>
      </c>
      <c r="J664" s="4" t="s">
        <v>176</v>
      </c>
      <c r="K664" s="4" t="s">
        <v>159</v>
      </c>
      <c r="L664" s="4"/>
      <c r="M664" s="4" t="s">
        <v>29</v>
      </c>
      <c r="N664" s="4" t="str">
        <f>[1]Mitigation!$Z$69</f>
        <v>irn</v>
      </c>
      <c r="O664" s="4"/>
      <c r="P664" s="4" t="str">
        <f t="shared" si="50"/>
        <v>irn</v>
      </c>
      <c r="Q664" s="4" t="s">
        <v>60</v>
      </c>
      <c r="R664" s="4" t="s">
        <v>175</v>
      </c>
      <c r="S664" s="4"/>
      <c r="T664" s="4"/>
      <c r="U664" s="4"/>
      <c r="V664" s="9">
        <f>[1]Mitigation!$C$6767</f>
        <v>2</v>
      </c>
    </row>
    <row r="665" spans="4:22" x14ac:dyDescent="0.45">
      <c r="D665" s="43" t="s">
        <v>944</v>
      </c>
      <c r="E665" s="4" t="str">
        <f>[1]Mitigation!H9091</f>
        <v>irn.mit.ener.irn.nga.e.2</v>
      </c>
      <c r="F665" s="4" t="str">
        <f t="shared" ref="F665:F728" si="51">IF(MTAct,E665&amp;"_"&amp;MSTScenarioID,"N/A")</f>
        <v>N/A</v>
      </c>
      <c r="G665" s="4" t="str">
        <f t="shared" si="49"/>
        <v>irn.mit.ener_g-f.e.nga.all.ktoe.2</v>
      </c>
      <c r="H665" s="4" t="s">
        <v>19</v>
      </c>
      <c r="I665" s="4" t="s">
        <v>158</v>
      </c>
      <c r="J665" s="4" t="s">
        <v>176</v>
      </c>
      <c r="K665" s="4" t="s">
        <v>159</v>
      </c>
      <c r="L665" s="4"/>
      <c r="M665" s="4" t="s">
        <v>29</v>
      </c>
      <c r="N665" s="4" t="str">
        <f>[1]Mitigation!$Z$69</f>
        <v>irn</v>
      </c>
      <c r="O665" s="4"/>
      <c r="P665" s="4" t="str">
        <f t="shared" si="50"/>
        <v>irn</v>
      </c>
      <c r="Q665" s="4" t="s">
        <v>61</v>
      </c>
      <c r="R665" s="4" t="s">
        <v>175</v>
      </c>
      <c r="S665" s="4"/>
      <c r="T665" s="4"/>
      <c r="U665" s="4"/>
      <c r="V665" s="9">
        <f>[1]Mitigation!$C$6767</f>
        <v>2</v>
      </c>
    </row>
    <row r="666" spans="4:22" x14ac:dyDescent="0.45">
      <c r="D666" s="43" t="s">
        <v>945</v>
      </c>
      <c r="E666" s="4" t="str">
        <f>[1]Mitigation!H9092</f>
        <v>irn.mit.ener.irn.gso.e.2</v>
      </c>
      <c r="F666" s="4" t="str">
        <f t="shared" si="51"/>
        <v>N/A</v>
      </c>
      <c r="G666" s="4" t="str">
        <f t="shared" si="49"/>
        <v>irn.mit.ener_g-f.e.gso.all.ktoe.2</v>
      </c>
      <c r="H666" s="4" t="s">
        <v>19</v>
      </c>
      <c r="I666" s="4" t="s">
        <v>158</v>
      </c>
      <c r="J666" s="4" t="s">
        <v>176</v>
      </c>
      <c r="K666" s="4" t="s">
        <v>159</v>
      </c>
      <c r="L666" s="4"/>
      <c r="M666" s="4" t="s">
        <v>29</v>
      </c>
      <c r="N666" s="4" t="str">
        <f>[1]Mitigation!$Z$69</f>
        <v>irn</v>
      </c>
      <c r="O666" s="4"/>
      <c r="P666" s="4" t="str">
        <f t="shared" si="50"/>
        <v>irn</v>
      </c>
      <c r="Q666" s="4" t="s">
        <v>63</v>
      </c>
      <c r="R666" s="4" t="s">
        <v>175</v>
      </c>
      <c r="S666" s="4"/>
      <c r="T666" s="4"/>
      <c r="U666" s="4"/>
      <c r="V666" s="9">
        <f>[1]Mitigation!$C$6767</f>
        <v>2</v>
      </c>
    </row>
    <row r="667" spans="4:22" x14ac:dyDescent="0.45">
      <c r="D667" s="43" t="s">
        <v>946</v>
      </c>
      <c r="E667" s="4" t="str">
        <f>[1]Mitigation!H9093</f>
        <v>irn.mit.ener.irn.die.e.2</v>
      </c>
      <c r="F667" s="4" t="str">
        <f t="shared" si="51"/>
        <v>N/A</v>
      </c>
      <c r="G667" s="4" t="str">
        <f t="shared" si="49"/>
        <v>irn.mit.ener_g-f.e.die.all.ktoe.2</v>
      </c>
      <c r="H667" s="4" t="s">
        <v>19</v>
      </c>
      <c r="I667" s="4" t="s">
        <v>158</v>
      </c>
      <c r="J667" s="4" t="s">
        <v>176</v>
      </c>
      <c r="K667" s="4" t="s">
        <v>159</v>
      </c>
      <c r="L667" s="4"/>
      <c r="M667" s="4" t="s">
        <v>29</v>
      </c>
      <c r="N667" s="4" t="str">
        <f>[1]Mitigation!$Z$69</f>
        <v>irn</v>
      </c>
      <c r="O667" s="4"/>
      <c r="P667" s="4" t="str">
        <f t="shared" si="50"/>
        <v>irn</v>
      </c>
      <c r="Q667" s="4" t="s">
        <v>64</v>
      </c>
      <c r="R667" s="4" t="s">
        <v>175</v>
      </c>
      <c r="S667" s="4"/>
      <c r="T667" s="4"/>
      <c r="U667" s="4"/>
      <c r="V667" s="9">
        <f>[1]Mitigation!$C$6767</f>
        <v>2</v>
      </c>
    </row>
    <row r="668" spans="4:22" x14ac:dyDescent="0.45">
      <c r="D668" s="43" t="s">
        <v>947</v>
      </c>
      <c r="E668" s="4" t="str">
        <f>[1]Mitigation!H9094</f>
        <v>irn.mit.ener.irn.lpg.e.2</v>
      </c>
      <c r="F668" s="4" t="str">
        <f t="shared" si="51"/>
        <v>N/A</v>
      </c>
      <c r="G668" s="4" t="str">
        <f t="shared" ref="G668:G731" si="52">IF(D668="","",LOWER(_Country_code)&amp;"."&amp;H668&amp;"."&amp;IF(I668="","all",I668)&amp;"_"&amp;J668&amp;"."&amp;IF(R668="","all",R668)&amp;"."&amp;IF(Q668="","all",Q668)&amp;"."&amp;IF(U668="","all",U668)&amp;"."&amp;IF(K668="","all",K668)&amp;"."&amp;IF(V668="","all",V668))</f>
        <v>irn.mit.ener_g-f.e.lpg.all.ktoe.2</v>
      </c>
      <c r="H668" s="4" t="s">
        <v>19</v>
      </c>
      <c r="I668" s="4" t="s">
        <v>158</v>
      </c>
      <c r="J668" s="4" t="s">
        <v>176</v>
      </c>
      <c r="K668" s="4" t="s">
        <v>159</v>
      </c>
      <c r="L668" s="4"/>
      <c r="M668" s="4" t="s">
        <v>29</v>
      </c>
      <c r="N668" s="4" t="str">
        <f>[1]Mitigation!$Z$69</f>
        <v>irn</v>
      </c>
      <c r="O668" s="4"/>
      <c r="P668" s="4" t="str">
        <f t="shared" si="50"/>
        <v>irn</v>
      </c>
      <c r="Q668" s="4" t="s">
        <v>65</v>
      </c>
      <c r="R668" s="4" t="s">
        <v>175</v>
      </c>
      <c r="S668" s="4"/>
      <c r="T668" s="4"/>
      <c r="U668" s="4"/>
      <c r="V668" s="9">
        <f>[1]Mitigation!$C$6767</f>
        <v>2</v>
      </c>
    </row>
    <row r="669" spans="4:22" x14ac:dyDescent="0.45">
      <c r="D669" s="43" t="s">
        <v>948</v>
      </c>
      <c r="E669" s="4" t="str">
        <f>[1]Mitigation!H9095</f>
        <v>irn.mit.ener.irn.ker.e.2</v>
      </c>
      <c r="F669" s="4" t="str">
        <f t="shared" si="51"/>
        <v>N/A</v>
      </c>
      <c r="G669" s="4" t="str">
        <f t="shared" si="52"/>
        <v>irn.mit.ener_g-f.e.ker.all.ktoe.2</v>
      </c>
      <c r="H669" s="4" t="s">
        <v>19</v>
      </c>
      <c r="I669" s="4" t="s">
        <v>158</v>
      </c>
      <c r="J669" s="4" t="s">
        <v>176</v>
      </c>
      <c r="K669" s="4" t="s">
        <v>159</v>
      </c>
      <c r="L669" s="4"/>
      <c r="M669" s="4" t="s">
        <v>29</v>
      </c>
      <c r="N669" s="4" t="str">
        <f>[1]Mitigation!$Z$69</f>
        <v>irn</v>
      </c>
      <c r="O669" s="4"/>
      <c r="P669" s="4" t="str">
        <f t="shared" si="50"/>
        <v>irn</v>
      </c>
      <c r="Q669" s="4" t="s">
        <v>66</v>
      </c>
      <c r="R669" s="4" t="s">
        <v>175</v>
      </c>
      <c r="S669" s="4"/>
      <c r="T669" s="4"/>
      <c r="U669" s="4"/>
      <c r="V669" s="9">
        <f>[1]Mitigation!$C$6767</f>
        <v>2</v>
      </c>
    </row>
    <row r="670" spans="4:22" x14ac:dyDescent="0.45">
      <c r="D670" s="43" t="s">
        <v>949</v>
      </c>
      <c r="E670" s="4" t="str">
        <f>[1]Mitigation!H9096</f>
        <v>irn.mit.ener.irn.oop.e.2</v>
      </c>
      <c r="F670" s="4" t="str">
        <f t="shared" si="51"/>
        <v>N/A</v>
      </c>
      <c r="G670" s="4" t="str">
        <f t="shared" si="52"/>
        <v>irn.mit.ener_g-f.e.oop.all.ktoe.2</v>
      </c>
      <c r="H670" s="4" t="s">
        <v>19</v>
      </c>
      <c r="I670" s="4" t="s">
        <v>158</v>
      </c>
      <c r="J670" s="4" t="s">
        <v>176</v>
      </c>
      <c r="K670" s="4" t="s">
        <v>159</v>
      </c>
      <c r="L670" s="4"/>
      <c r="M670" s="4" t="s">
        <v>29</v>
      </c>
      <c r="N670" s="4" t="str">
        <f>[1]Mitigation!$Z$69</f>
        <v>irn</v>
      </c>
      <c r="O670" s="4"/>
      <c r="P670" s="4" t="str">
        <f t="shared" si="50"/>
        <v>irn</v>
      </c>
      <c r="Q670" s="4" t="s">
        <v>113</v>
      </c>
      <c r="R670" s="4" t="s">
        <v>175</v>
      </c>
      <c r="S670" s="4"/>
      <c r="T670" s="4"/>
      <c r="U670" s="4"/>
      <c r="V670" s="9">
        <f>[1]Mitigation!$C$6767</f>
        <v>2</v>
      </c>
    </row>
    <row r="671" spans="4:22" x14ac:dyDescent="0.45">
      <c r="D671" s="43" t="s">
        <v>950</v>
      </c>
      <c r="E671" s="4" t="str">
        <f>[1]Mitigation!H9097</f>
        <v>irn.mit.ener.irn.bio.e.2</v>
      </c>
      <c r="F671" s="4" t="str">
        <f t="shared" si="51"/>
        <v>N/A</v>
      </c>
      <c r="G671" s="4" t="str">
        <f t="shared" si="52"/>
        <v>irn.mit.ener_g-f.e.bio.all.ktoe.2</v>
      </c>
      <c r="H671" s="4" t="s">
        <v>19</v>
      </c>
      <c r="I671" s="4" t="s">
        <v>158</v>
      </c>
      <c r="J671" s="4" t="s">
        <v>176</v>
      </c>
      <c r="K671" s="4" t="s">
        <v>159</v>
      </c>
      <c r="L671" s="4"/>
      <c r="M671" s="4" t="s">
        <v>29</v>
      </c>
      <c r="N671" s="4" t="str">
        <f>[1]Mitigation!$Z$69</f>
        <v>irn</v>
      </c>
      <c r="O671" s="4"/>
      <c r="P671" s="4" t="str">
        <f t="shared" si="50"/>
        <v>irn</v>
      </c>
      <c r="Q671" s="4" t="s">
        <v>162</v>
      </c>
      <c r="R671" s="4" t="s">
        <v>175</v>
      </c>
      <c r="S671" s="4"/>
      <c r="T671" s="4"/>
      <c r="U671" s="4"/>
      <c r="V671" s="9">
        <f>[1]Mitigation!$C$6767</f>
        <v>2</v>
      </c>
    </row>
    <row r="672" spans="4:22" x14ac:dyDescent="0.45">
      <c r="D672" s="43" t="s">
        <v>951</v>
      </c>
      <c r="E672" s="4" t="str">
        <f>[1]Mitigation!H9098</f>
        <v>irn.mit.ener.irn.ren.e.2</v>
      </c>
      <c r="F672" s="4" t="str">
        <f t="shared" si="51"/>
        <v>N/A</v>
      </c>
      <c r="G672" s="4" t="str">
        <f t="shared" si="52"/>
        <v>irn.mit.ener_g-f.e.ren.all.ktoe.2</v>
      </c>
      <c r="H672" s="4" t="s">
        <v>19</v>
      </c>
      <c r="I672" s="4" t="s">
        <v>158</v>
      </c>
      <c r="J672" s="4" t="s">
        <v>176</v>
      </c>
      <c r="K672" s="4" t="s">
        <v>159</v>
      </c>
      <c r="L672" s="4"/>
      <c r="M672" s="4" t="s">
        <v>29</v>
      </c>
      <c r="N672" s="4" t="str">
        <f>[1]Mitigation!$Z$69</f>
        <v>irn</v>
      </c>
      <c r="O672" s="4"/>
      <c r="P672" s="4" t="str">
        <f t="shared" si="50"/>
        <v>irn</v>
      </c>
      <c r="Q672" s="4" t="s">
        <v>174</v>
      </c>
      <c r="R672" s="4" t="s">
        <v>175</v>
      </c>
      <c r="S672" s="4"/>
      <c r="T672" s="4"/>
      <c r="U672" s="4"/>
      <c r="V672" s="9">
        <f>[1]Mitigation!$C$6767</f>
        <v>2</v>
      </c>
    </row>
    <row r="673" spans="4:22" x14ac:dyDescent="0.45">
      <c r="D673" s="43" t="s">
        <v>952</v>
      </c>
      <c r="E673" s="4" t="str">
        <f>[1]Mitigation!H9115</f>
        <v>irn.mit.ener.nfm.coa.e.2</v>
      </c>
      <c r="F673" s="4" t="str">
        <f t="shared" si="51"/>
        <v>N/A</v>
      </c>
      <c r="G673" s="4" t="str">
        <f t="shared" si="52"/>
        <v>irn.mit.ener_g-f.e.coa.all.ktoe.2</v>
      </c>
      <c r="H673" s="4" t="s">
        <v>19</v>
      </c>
      <c r="I673" s="4" t="s">
        <v>158</v>
      </c>
      <c r="J673" s="4" t="s">
        <v>176</v>
      </c>
      <c r="K673" s="4" t="s">
        <v>159</v>
      </c>
      <c r="L673" s="4"/>
      <c r="M673" s="4" t="s">
        <v>29</v>
      </c>
      <c r="N673" s="4" t="str">
        <f>[1]Mitigation!$Z$70</f>
        <v>nfm</v>
      </c>
      <c r="O673" s="4"/>
      <c r="P673" s="4" t="str">
        <f t="shared" si="50"/>
        <v>nfm</v>
      </c>
      <c r="Q673" s="4" t="s">
        <v>60</v>
      </c>
      <c r="R673" s="4" t="s">
        <v>175</v>
      </c>
      <c r="S673" s="4"/>
      <c r="T673" s="4"/>
      <c r="U673" s="4"/>
      <c r="V673" s="9">
        <f>[1]Mitigation!$C$6767</f>
        <v>2</v>
      </c>
    </row>
    <row r="674" spans="4:22" x14ac:dyDescent="0.45">
      <c r="D674" s="43" t="s">
        <v>953</v>
      </c>
      <c r="E674" s="4" t="str">
        <f>[1]Mitigation!H9116</f>
        <v>irn.mit.ener.nfm.nga.e.2</v>
      </c>
      <c r="F674" s="4" t="str">
        <f t="shared" si="51"/>
        <v>N/A</v>
      </c>
      <c r="G674" s="4" t="str">
        <f t="shared" si="52"/>
        <v>irn.mit.ener_g-f.e.nga.all.ktoe.2</v>
      </c>
      <c r="H674" s="4" t="s">
        <v>19</v>
      </c>
      <c r="I674" s="4" t="s">
        <v>158</v>
      </c>
      <c r="J674" s="4" t="s">
        <v>176</v>
      </c>
      <c r="K674" s="4" t="s">
        <v>159</v>
      </c>
      <c r="L674" s="4"/>
      <c r="M674" s="4" t="s">
        <v>29</v>
      </c>
      <c r="N674" s="4" t="str">
        <f>[1]Mitigation!$Z$70</f>
        <v>nfm</v>
      </c>
      <c r="O674" s="4"/>
      <c r="P674" s="4" t="str">
        <f t="shared" si="50"/>
        <v>nfm</v>
      </c>
      <c r="Q674" s="4" t="s">
        <v>61</v>
      </c>
      <c r="R674" s="4" t="s">
        <v>175</v>
      </c>
      <c r="S674" s="4"/>
      <c r="T674" s="4"/>
      <c r="U674" s="4"/>
      <c r="V674" s="9">
        <f>[1]Mitigation!$C$6767</f>
        <v>2</v>
      </c>
    </row>
    <row r="675" spans="4:22" x14ac:dyDescent="0.45">
      <c r="D675" s="43" t="s">
        <v>954</v>
      </c>
      <c r="E675" s="4" t="str">
        <f>[1]Mitigation!H9117</f>
        <v>irn.mit.ener.nfm.gso.e.2</v>
      </c>
      <c r="F675" s="4" t="str">
        <f t="shared" si="51"/>
        <v>N/A</v>
      </c>
      <c r="G675" s="4" t="str">
        <f t="shared" si="52"/>
        <v>irn.mit.ener_g-f.e.gso.all.ktoe.2</v>
      </c>
      <c r="H675" s="4" t="s">
        <v>19</v>
      </c>
      <c r="I675" s="4" t="s">
        <v>158</v>
      </c>
      <c r="J675" s="4" t="s">
        <v>176</v>
      </c>
      <c r="K675" s="4" t="s">
        <v>159</v>
      </c>
      <c r="L675" s="4"/>
      <c r="M675" s="4" t="s">
        <v>29</v>
      </c>
      <c r="N675" s="4" t="str">
        <f>[1]Mitigation!$Z$70</f>
        <v>nfm</v>
      </c>
      <c r="O675" s="4"/>
      <c r="P675" s="4" t="str">
        <f t="shared" si="50"/>
        <v>nfm</v>
      </c>
      <c r="Q675" s="4" t="s">
        <v>63</v>
      </c>
      <c r="R675" s="4" t="s">
        <v>175</v>
      </c>
      <c r="S675" s="4"/>
      <c r="T675" s="4"/>
      <c r="U675" s="4"/>
      <c r="V675" s="9">
        <f>[1]Mitigation!$C$6767</f>
        <v>2</v>
      </c>
    </row>
    <row r="676" spans="4:22" x14ac:dyDescent="0.45">
      <c r="D676" s="43" t="s">
        <v>955</v>
      </c>
      <c r="E676" s="4" t="str">
        <f>[1]Mitigation!H9118</f>
        <v>irn.mit.ener.nfm.die.e.2</v>
      </c>
      <c r="F676" s="4" t="str">
        <f t="shared" si="51"/>
        <v>N/A</v>
      </c>
      <c r="G676" s="4" t="str">
        <f t="shared" si="52"/>
        <v>irn.mit.ener_g-f.e.die.all.ktoe.2</v>
      </c>
      <c r="H676" s="4" t="s">
        <v>19</v>
      </c>
      <c r="I676" s="4" t="s">
        <v>158</v>
      </c>
      <c r="J676" s="4" t="s">
        <v>176</v>
      </c>
      <c r="K676" s="4" t="s">
        <v>159</v>
      </c>
      <c r="L676" s="4"/>
      <c r="M676" s="4" t="s">
        <v>29</v>
      </c>
      <c r="N676" s="4" t="str">
        <f>[1]Mitigation!$Z$70</f>
        <v>nfm</v>
      </c>
      <c r="O676" s="4"/>
      <c r="P676" s="4" t="str">
        <f t="shared" si="50"/>
        <v>nfm</v>
      </c>
      <c r="Q676" s="4" t="s">
        <v>64</v>
      </c>
      <c r="R676" s="4" t="s">
        <v>175</v>
      </c>
      <c r="S676" s="4"/>
      <c r="T676" s="4"/>
      <c r="U676" s="4"/>
      <c r="V676" s="9">
        <f>[1]Mitigation!$C$6767</f>
        <v>2</v>
      </c>
    </row>
    <row r="677" spans="4:22" x14ac:dyDescent="0.45">
      <c r="D677" s="43" t="s">
        <v>956</v>
      </c>
      <c r="E677" s="4" t="str">
        <f>[1]Mitigation!H9119</f>
        <v>irn.mit.ener.nfm.lpg.e.2</v>
      </c>
      <c r="F677" s="4" t="str">
        <f t="shared" si="51"/>
        <v>N/A</v>
      </c>
      <c r="G677" s="4" t="str">
        <f t="shared" si="52"/>
        <v>irn.mit.ener_g-f.e.lpg.all.ktoe.2</v>
      </c>
      <c r="H677" s="4" t="s">
        <v>19</v>
      </c>
      <c r="I677" s="4" t="s">
        <v>158</v>
      </c>
      <c r="J677" s="4" t="s">
        <v>176</v>
      </c>
      <c r="K677" s="4" t="s">
        <v>159</v>
      </c>
      <c r="L677" s="4"/>
      <c r="M677" s="4" t="s">
        <v>29</v>
      </c>
      <c r="N677" s="4" t="str">
        <f>[1]Mitigation!$Z$70</f>
        <v>nfm</v>
      </c>
      <c r="O677" s="4"/>
      <c r="P677" s="4" t="str">
        <f t="shared" si="50"/>
        <v>nfm</v>
      </c>
      <c r="Q677" s="4" t="s">
        <v>65</v>
      </c>
      <c r="R677" s="4" t="s">
        <v>175</v>
      </c>
      <c r="S677" s="4"/>
      <c r="T677" s="4"/>
      <c r="U677" s="4"/>
      <c r="V677" s="9">
        <f>[1]Mitigation!$C$6767</f>
        <v>2</v>
      </c>
    </row>
    <row r="678" spans="4:22" x14ac:dyDescent="0.45">
      <c r="D678" s="43" t="s">
        <v>957</v>
      </c>
      <c r="E678" s="4" t="str">
        <f>[1]Mitigation!H9120</f>
        <v>irn.mit.ener.nfm.ker.e.2</v>
      </c>
      <c r="F678" s="4" t="str">
        <f t="shared" si="51"/>
        <v>N/A</v>
      </c>
      <c r="G678" s="4" t="str">
        <f t="shared" si="52"/>
        <v>irn.mit.ener_g-f.e.ker.all.ktoe.2</v>
      </c>
      <c r="H678" s="4" t="s">
        <v>19</v>
      </c>
      <c r="I678" s="4" t="s">
        <v>158</v>
      </c>
      <c r="J678" s="4" t="s">
        <v>176</v>
      </c>
      <c r="K678" s="4" t="s">
        <v>159</v>
      </c>
      <c r="L678" s="4"/>
      <c r="M678" s="4" t="s">
        <v>29</v>
      </c>
      <c r="N678" s="4" t="str">
        <f>[1]Mitigation!$Z$70</f>
        <v>nfm</v>
      </c>
      <c r="O678" s="4"/>
      <c r="P678" s="4" t="str">
        <f t="shared" si="50"/>
        <v>nfm</v>
      </c>
      <c r="Q678" s="4" t="s">
        <v>66</v>
      </c>
      <c r="R678" s="4" t="s">
        <v>175</v>
      </c>
      <c r="S678" s="4"/>
      <c r="T678" s="4"/>
      <c r="U678" s="4"/>
      <c r="V678" s="9">
        <f>[1]Mitigation!$C$6767</f>
        <v>2</v>
      </c>
    </row>
    <row r="679" spans="4:22" x14ac:dyDescent="0.45">
      <c r="D679" s="43" t="s">
        <v>958</v>
      </c>
      <c r="E679" s="4" t="str">
        <f>[1]Mitigation!H9121</f>
        <v>irn.mit.ener.nfm.oop.e.2</v>
      </c>
      <c r="F679" s="4" t="str">
        <f t="shared" si="51"/>
        <v>N/A</v>
      </c>
      <c r="G679" s="4" t="str">
        <f t="shared" si="52"/>
        <v>irn.mit.ener_g-f.e.oop.all.ktoe.2</v>
      </c>
      <c r="H679" s="4" t="s">
        <v>19</v>
      </c>
      <c r="I679" s="4" t="s">
        <v>158</v>
      </c>
      <c r="J679" s="4" t="s">
        <v>176</v>
      </c>
      <c r="K679" s="4" t="s">
        <v>159</v>
      </c>
      <c r="L679" s="4"/>
      <c r="M679" s="4" t="s">
        <v>29</v>
      </c>
      <c r="N679" s="4" t="str">
        <f>[1]Mitigation!$Z$70</f>
        <v>nfm</v>
      </c>
      <c r="O679" s="4"/>
      <c r="P679" s="4" t="str">
        <f t="shared" si="50"/>
        <v>nfm</v>
      </c>
      <c r="Q679" s="4" t="s">
        <v>113</v>
      </c>
      <c r="R679" s="4" t="s">
        <v>175</v>
      </c>
      <c r="S679" s="4"/>
      <c r="T679" s="4"/>
      <c r="U679" s="4"/>
      <c r="V679" s="9">
        <f>[1]Mitigation!$C$6767</f>
        <v>2</v>
      </c>
    </row>
    <row r="680" spans="4:22" x14ac:dyDescent="0.45">
      <c r="D680" s="43" t="s">
        <v>959</v>
      </c>
      <c r="E680" s="4" t="str">
        <f>[1]Mitigation!H9122</f>
        <v>irn.mit.ener.nfm.bio.e.2</v>
      </c>
      <c r="F680" s="4" t="str">
        <f t="shared" si="51"/>
        <v>N/A</v>
      </c>
      <c r="G680" s="4" t="str">
        <f t="shared" si="52"/>
        <v>irn.mit.ener_g-f.e.bio.all.ktoe.2</v>
      </c>
      <c r="H680" s="4" t="s">
        <v>19</v>
      </c>
      <c r="I680" s="4" t="s">
        <v>158</v>
      </c>
      <c r="J680" s="4" t="s">
        <v>176</v>
      </c>
      <c r="K680" s="4" t="s">
        <v>159</v>
      </c>
      <c r="L680" s="4"/>
      <c r="M680" s="4" t="s">
        <v>29</v>
      </c>
      <c r="N680" s="4" t="str">
        <f>[1]Mitigation!$Z$70</f>
        <v>nfm</v>
      </c>
      <c r="O680" s="4"/>
      <c r="P680" s="4" t="str">
        <f t="shared" ref="P680:P743" si="53">L680&amp;IF(N680="",M680,N680)&amp;O680</f>
        <v>nfm</v>
      </c>
      <c r="Q680" s="4" t="s">
        <v>162</v>
      </c>
      <c r="R680" s="4" t="s">
        <v>175</v>
      </c>
      <c r="S680" s="4"/>
      <c r="T680" s="4"/>
      <c r="U680" s="4"/>
      <c r="V680" s="9">
        <f>[1]Mitigation!$C$6767</f>
        <v>2</v>
      </c>
    </row>
    <row r="681" spans="4:22" x14ac:dyDescent="0.45">
      <c r="D681" s="43" t="s">
        <v>960</v>
      </c>
      <c r="E681" s="4" t="str">
        <f>[1]Mitigation!H9123</f>
        <v>irn.mit.ener.nfm.ren.e.2</v>
      </c>
      <c r="F681" s="4" t="str">
        <f t="shared" si="51"/>
        <v>N/A</v>
      </c>
      <c r="G681" s="4" t="str">
        <f t="shared" si="52"/>
        <v>irn.mit.ener_g-f.e.ren.all.ktoe.2</v>
      </c>
      <c r="H681" s="4" t="s">
        <v>19</v>
      </c>
      <c r="I681" s="4" t="s">
        <v>158</v>
      </c>
      <c r="J681" s="4" t="s">
        <v>176</v>
      </c>
      <c r="K681" s="4" t="s">
        <v>159</v>
      </c>
      <c r="L681" s="4"/>
      <c r="M681" s="4" t="s">
        <v>29</v>
      </c>
      <c r="N681" s="4" t="str">
        <f>[1]Mitigation!$Z$70</f>
        <v>nfm</v>
      </c>
      <c r="O681" s="4"/>
      <c r="P681" s="4" t="str">
        <f t="shared" si="53"/>
        <v>nfm</v>
      </c>
      <c r="Q681" s="4" t="s">
        <v>174</v>
      </c>
      <c r="R681" s="4" t="s">
        <v>175</v>
      </c>
      <c r="S681" s="4"/>
      <c r="T681" s="4"/>
      <c r="U681" s="4"/>
      <c r="V681" s="9">
        <f>[1]Mitigation!$C$6767</f>
        <v>2</v>
      </c>
    </row>
    <row r="682" spans="4:22" x14ac:dyDescent="0.45">
      <c r="D682" s="43" t="s">
        <v>961</v>
      </c>
      <c r="E682" s="4" t="str">
        <f>[1]Mitigation!H9140</f>
        <v>irn.mit.ener.mac.coa.e.2</v>
      </c>
      <c r="F682" s="4" t="str">
        <f t="shared" si="51"/>
        <v>N/A</v>
      </c>
      <c r="G682" s="4" t="str">
        <f t="shared" si="52"/>
        <v>irn.mit.ener_g-f.e.coa.all.ktoe.2</v>
      </c>
      <c r="H682" s="4" t="s">
        <v>19</v>
      </c>
      <c r="I682" s="4" t="s">
        <v>158</v>
      </c>
      <c r="J682" s="4" t="s">
        <v>176</v>
      </c>
      <c r="K682" s="4" t="s">
        <v>159</v>
      </c>
      <c r="L682" s="4"/>
      <c r="M682" s="4" t="s">
        <v>29</v>
      </c>
      <c r="N682" s="4" t="str">
        <f>[1]Mitigation!$Z$71</f>
        <v>mac</v>
      </c>
      <c r="O682" s="4"/>
      <c r="P682" s="4" t="str">
        <f t="shared" si="53"/>
        <v>mac</v>
      </c>
      <c r="Q682" s="4" t="s">
        <v>60</v>
      </c>
      <c r="R682" s="4" t="s">
        <v>175</v>
      </c>
      <c r="S682" s="4"/>
      <c r="T682" s="4"/>
      <c r="U682" s="4"/>
      <c r="V682" s="9">
        <f>[1]Mitigation!$C$6767</f>
        <v>2</v>
      </c>
    </row>
    <row r="683" spans="4:22" x14ac:dyDescent="0.45">
      <c r="D683" s="43" t="s">
        <v>962</v>
      </c>
      <c r="E683" s="4" t="str">
        <f>[1]Mitigation!H9141</f>
        <v>irn.mit.ener.mac.nga.e.2</v>
      </c>
      <c r="F683" s="4" t="str">
        <f t="shared" si="51"/>
        <v>N/A</v>
      </c>
      <c r="G683" s="4" t="str">
        <f t="shared" si="52"/>
        <v>irn.mit.ener_g-f.e.nga.all.ktoe.2</v>
      </c>
      <c r="H683" s="4" t="s">
        <v>19</v>
      </c>
      <c r="I683" s="4" t="s">
        <v>158</v>
      </c>
      <c r="J683" s="4" t="s">
        <v>176</v>
      </c>
      <c r="K683" s="4" t="s">
        <v>159</v>
      </c>
      <c r="L683" s="4"/>
      <c r="M683" s="4" t="s">
        <v>29</v>
      </c>
      <c r="N683" s="4" t="str">
        <f>[1]Mitigation!$Z$71</f>
        <v>mac</v>
      </c>
      <c r="O683" s="4"/>
      <c r="P683" s="4" t="str">
        <f t="shared" si="53"/>
        <v>mac</v>
      </c>
      <c r="Q683" s="4" t="s">
        <v>61</v>
      </c>
      <c r="R683" s="4" t="s">
        <v>175</v>
      </c>
      <c r="S683" s="4"/>
      <c r="T683" s="4"/>
      <c r="U683" s="4"/>
      <c r="V683" s="9">
        <f>[1]Mitigation!$C$6767</f>
        <v>2</v>
      </c>
    </row>
    <row r="684" spans="4:22" x14ac:dyDescent="0.45">
      <c r="D684" s="43" t="s">
        <v>963</v>
      </c>
      <c r="E684" s="4" t="str">
        <f>[1]Mitigation!H9142</f>
        <v>irn.mit.ener.mac.gso.e.2</v>
      </c>
      <c r="F684" s="4" t="str">
        <f t="shared" si="51"/>
        <v>N/A</v>
      </c>
      <c r="G684" s="4" t="str">
        <f t="shared" si="52"/>
        <v>irn.mit.ener_g-f.e.gso.all.ktoe.2</v>
      </c>
      <c r="H684" s="4" t="s">
        <v>19</v>
      </c>
      <c r="I684" s="4" t="s">
        <v>158</v>
      </c>
      <c r="J684" s="4" t="s">
        <v>176</v>
      </c>
      <c r="K684" s="4" t="s">
        <v>159</v>
      </c>
      <c r="L684" s="4"/>
      <c r="M684" s="4" t="s">
        <v>29</v>
      </c>
      <c r="N684" s="4" t="str">
        <f>[1]Mitigation!$Z$71</f>
        <v>mac</v>
      </c>
      <c r="O684" s="4"/>
      <c r="P684" s="4" t="str">
        <f t="shared" si="53"/>
        <v>mac</v>
      </c>
      <c r="Q684" s="4" t="s">
        <v>63</v>
      </c>
      <c r="R684" s="4" t="s">
        <v>175</v>
      </c>
      <c r="S684" s="4"/>
      <c r="T684" s="4"/>
      <c r="U684" s="4"/>
      <c r="V684" s="9">
        <f>[1]Mitigation!$C$6767</f>
        <v>2</v>
      </c>
    </row>
    <row r="685" spans="4:22" x14ac:dyDescent="0.45">
      <c r="D685" s="43" t="s">
        <v>964</v>
      </c>
      <c r="E685" s="4" t="str">
        <f>[1]Mitigation!H9143</f>
        <v>irn.mit.ener.mac.die.e.2</v>
      </c>
      <c r="F685" s="4" t="str">
        <f t="shared" si="51"/>
        <v>N/A</v>
      </c>
      <c r="G685" s="4" t="str">
        <f t="shared" si="52"/>
        <v>irn.mit.ener_g-f.e.die.all.ktoe.2</v>
      </c>
      <c r="H685" s="4" t="s">
        <v>19</v>
      </c>
      <c r="I685" s="4" t="s">
        <v>158</v>
      </c>
      <c r="J685" s="4" t="s">
        <v>176</v>
      </c>
      <c r="K685" s="4" t="s">
        <v>159</v>
      </c>
      <c r="L685" s="4"/>
      <c r="M685" s="4" t="s">
        <v>29</v>
      </c>
      <c r="N685" s="4" t="str">
        <f>[1]Mitigation!$Z$71</f>
        <v>mac</v>
      </c>
      <c r="O685" s="4"/>
      <c r="P685" s="4" t="str">
        <f t="shared" si="53"/>
        <v>mac</v>
      </c>
      <c r="Q685" s="4" t="s">
        <v>64</v>
      </c>
      <c r="R685" s="4" t="s">
        <v>175</v>
      </c>
      <c r="S685" s="4"/>
      <c r="T685" s="4"/>
      <c r="U685" s="4"/>
      <c r="V685" s="9">
        <f>[1]Mitigation!$C$6767</f>
        <v>2</v>
      </c>
    </row>
    <row r="686" spans="4:22" x14ac:dyDescent="0.45">
      <c r="D686" s="43" t="s">
        <v>965</v>
      </c>
      <c r="E686" s="4" t="str">
        <f>[1]Mitigation!H9144</f>
        <v>irn.mit.ener.mac.lpg.e.2</v>
      </c>
      <c r="F686" s="4" t="str">
        <f t="shared" si="51"/>
        <v>N/A</v>
      </c>
      <c r="G686" s="4" t="str">
        <f t="shared" si="52"/>
        <v>irn.mit.ener_g-f.e.lpg.all.ktoe.2</v>
      </c>
      <c r="H686" s="4" t="s">
        <v>19</v>
      </c>
      <c r="I686" s="4" t="s">
        <v>158</v>
      </c>
      <c r="J686" s="4" t="s">
        <v>176</v>
      </c>
      <c r="K686" s="4" t="s">
        <v>159</v>
      </c>
      <c r="L686" s="4"/>
      <c r="M686" s="4" t="s">
        <v>29</v>
      </c>
      <c r="N686" s="4" t="str">
        <f>[1]Mitigation!$Z$71</f>
        <v>mac</v>
      </c>
      <c r="O686" s="4"/>
      <c r="P686" s="4" t="str">
        <f t="shared" si="53"/>
        <v>mac</v>
      </c>
      <c r="Q686" s="4" t="s">
        <v>65</v>
      </c>
      <c r="R686" s="4" t="s">
        <v>175</v>
      </c>
      <c r="S686" s="4"/>
      <c r="T686" s="4"/>
      <c r="U686" s="4"/>
      <c r="V686" s="9">
        <f>[1]Mitigation!$C$6767</f>
        <v>2</v>
      </c>
    </row>
    <row r="687" spans="4:22" x14ac:dyDescent="0.45">
      <c r="D687" s="43" t="s">
        <v>966</v>
      </c>
      <c r="E687" s="4" t="str">
        <f>[1]Mitigation!H9145</f>
        <v>irn.mit.ener.mac.ker.e.2</v>
      </c>
      <c r="F687" s="4" t="str">
        <f t="shared" si="51"/>
        <v>N/A</v>
      </c>
      <c r="G687" s="4" t="str">
        <f t="shared" si="52"/>
        <v>irn.mit.ener_g-f.e.ker.all.ktoe.2</v>
      </c>
      <c r="H687" s="4" t="s">
        <v>19</v>
      </c>
      <c r="I687" s="4" t="s">
        <v>158</v>
      </c>
      <c r="J687" s="4" t="s">
        <v>176</v>
      </c>
      <c r="K687" s="4" t="s">
        <v>159</v>
      </c>
      <c r="L687" s="4"/>
      <c r="M687" s="4" t="s">
        <v>29</v>
      </c>
      <c r="N687" s="4" t="str">
        <f>[1]Mitigation!$Z$71</f>
        <v>mac</v>
      </c>
      <c r="O687" s="4"/>
      <c r="P687" s="4" t="str">
        <f t="shared" si="53"/>
        <v>mac</v>
      </c>
      <c r="Q687" s="4" t="s">
        <v>66</v>
      </c>
      <c r="R687" s="4" t="s">
        <v>175</v>
      </c>
      <c r="S687" s="4"/>
      <c r="T687" s="4"/>
      <c r="U687" s="4"/>
      <c r="V687" s="9">
        <f>[1]Mitigation!$C$6767</f>
        <v>2</v>
      </c>
    </row>
    <row r="688" spans="4:22" x14ac:dyDescent="0.45">
      <c r="D688" s="43" t="s">
        <v>967</v>
      </c>
      <c r="E688" s="4" t="str">
        <f>[1]Mitigation!H9146</f>
        <v>irn.mit.ener.mac.oop.e.2</v>
      </c>
      <c r="F688" s="4" t="str">
        <f t="shared" si="51"/>
        <v>N/A</v>
      </c>
      <c r="G688" s="4" t="str">
        <f t="shared" si="52"/>
        <v>irn.mit.ener_g-f.e.oop.all.ktoe.2</v>
      </c>
      <c r="H688" s="4" t="s">
        <v>19</v>
      </c>
      <c r="I688" s="4" t="s">
        <v>158</v>
      </c>
      <c r="J688" s="4" t="s">
        <v>176</v>
      </c>
      <c r="K688" s="4" t="s">
        <v>159</v>
      </c>
      <c r="L688" s="4"/>
      <c r="M688" s="4" t="s">
        <v>29</v>
      </c>
      <c r="N688" s="4" t="str">
        <f>[1]Mitigation!$Z$71</f>
        <v>mac</v>
      </c>
      <c r="O688" s="4"/>
      <c r="P688" s="4" t="str">
        <f t="shared" si="53"/>
        <v>mac</v>
      </c>
      <c r="Q688" s="4" t="s">
        <v>113</v>
      </c>
      <c r="R688" s="4" t="s">
        <v>175</v>
      </c>
      <c r="S688" s="4"/>
      <c r="T688" s="4"/>
      <c r="U688" s="4"/>
      <c r="V688" s="9">
        <f>[1]Mitigation!$C$6767</f>
        <v>2</v>
      </c>
    </row>
    <row r="689" spans="4:22" x14ac:dyDescent="0.45">
      <c r="D689" s="43" t="s">
        <v>968</v>
      </c>
      <c r="E689" s="4" t="str">
        <f>[1]Mitigation!H9147</f>
        <v>irn.mit.ener.mac.bio.e.2</v>
      </c>
      <c r="F689" s="4" t="str">
        <f t="shared" si="51"/>
        <v>N/A</v>
      </c>
      <c r="G689" s="4" t="str">
        <f t="shared" si="52"/>
        <v>irn.mit.ener_g-f.e.bio.all.ktoe.2</v>
      </c>
      <c r="H689" s="4" t="s">
        <v>19</v>
      </c>
      <c r="I689" s="4" t="s">
        <v>158</v>
      </c>
      <c r="J689" s="4" t="s">
        <v>176</v>
      </c>
      <c r="K689" s="4" t="s">
        <v>159</v>
      </c>
      <c r="L689" s="4"/>
      <c r="M689" s="4" t="s">
        <v>29</v>
      </c>
      <c r="N689" s="4" t="str">
        <f>[1]Mitigation!$Z$71</f>
        <v>mac</v>
      </c>
      <c r="O689" s="4"/>
      <c r="P689" s="4" t="str">
        <f t="shared" si="53"/>
        <v>mac</v>
      </c>
      <c r="Q689" s="4" t="s">
        <v>162</v>
      </c>
      <c r="R689" s="4" t="s">
        <v>175</v>
      </c>
      <c r="S689" s="4"/>
      <c r="T689" s="4"/>
      <c r="U689" s="4"/>
      <c r="V689" s="9">
        <f>[1]Mitigation!$C$6767</f>
        <v>2</v>
      </c>
    </row>
    <row r="690" spans="4:22" x14ac:dyDescent="0.45">
      <c r="D690" s="43" t="s">
        <v>969</v>
      </c>
      <c r="E690" s="4" t="str">
        <f>[1]Mitigation!H9148</f>
        <v>irn.mit.ener.mac.ren.e.2</v>
      </c>
      <c r="F690" s="4" t="str">
        <f t="shared" si="51"/>
        <v>N/A</v>
      </c>
      <c r="G690" s="4" t="str">
        <f t="shared" si="52"/>
        <v>irn.mit.ener_g-f.e.ren.all.ktoe.2</v>
      </c>
      <c r="H690" s="4" t="s">
        <v>19</v>
      </c>
      <c r="I690" s="4" t="s">
        <v>158</v>
      </c>
      <c r="J690" s="4" t="s">
        <v>176</v>
      </c>
      <c r="K690" s="4" t="s">
        <v>159</v>
      </c>
      <c r="L690" s="4"/>
      <c r="M690" s="4" t="s">
        <v>29</v>
      </c>
      <c r="N690" s="4" t="str">
        <f>[1]Mitigation!$Z$71</f>
        <v>mac</v>
      </c>
      <c r="O690" s="4"/>
      <c r="P690" s="4" t="str">
        <f t="shared" si="53"/>
        <v>mac</v>
      </c>
      <c r="Q690" s="4" t="s">
        <v>174</v>
      </c>
      <c r="R690" s="4" t="s">
        <v>175</v>
      </c>
      <c r="S690" s="4"/>
      <c r="T690" s="4"/>
      <c r="U690" s="4"/>
      <c r="V690" s="9">
        <f>[1]Mitigation!$C$6767</f>
        <v>2</v>
      </c>
    </row>
    <row r="691" spans="4:22" x14ac:dyDescent="0.45">
      <c r="D691" s="43" t="s">
        <v>970</v>
      </c>
      <c r="E691" s="4" t="str">
        <f>[1]Mitigation!H9165</f>
        <v>irn.mit.ener.cem.coa.e.2</v>
      </c>
      <c r="F691" s="4" t="str">
        <f t="shared" si="51"/>
        <v>N/A</v>
      </c>
      <c r="G691" s="4" t="str">
        <f t="shared" si="52"/>
        <v>irn.mit.ener_g-f.e.coa.all.ktoe.2</v>
      </c>
      <c r="H691" s="4" t="s">
        <v>19</v>
      </c>
      <c r="I691" s="4" t="s">
        <v>158</v>
      </c>
      <c r="J691" s="4" t="s">
        <v>176</v>
      </c>
      <c r="K691" s="4" t="s">
        <v>159</v>
      </c>
      <c r="L691" s="4"/>
      <c r="M691" s="4" t="s">
        <v>29</v>
      </c>
      <c r="N691" s="4" t="str">
        <f>[1]Mitigation!$Z$72</f>
        <v>cem</v>
      </c>
      <c r="O691" s="4"/>
      <c r="P691" s="4" t="str">
        <f t="shared" si="53"/>
        <v>cem</v>
      </c>
      <c r="Q691" s="4" t="s">
        <v>60</v>
      </c>
      <c r="R691" s="4" t="s">
        <v>175</v>
      </c>
      <c r="S691" s="4"/>
      <c r="T691" s="4"/>
      <c r="U691" s="4"/>
      <c r="V691" s="9">
        <f>[1]Mitigation!$C$6767</f>
        <v>2</v>
      </c>
    </row>
    <row r="692" spans="4:22" x14ac:dyDescent="0.45">
      <c r="D692" s="43" t="s">
        <v>971</v>
      </c>
      <c r="E692" s="4" t="str">
        <f>[1]Mitigation!H9166</f>
        <v>irn.mit.ener.cem.nga.e.2</v>
      </c>
      <c r="F692" s="4" t="str">
        <f t="shared" si="51"/>
        <v>N/A</v>
      </c>
      <c r="G692" s="4" t="str">
        <f t="shared" si="52"/>
        <v>irn.mit.ener_g-f.e.nga.all.ktoe.2</v>
      </c>
      <c r="H692" s="4" t="s">
        <v>19</v>
      </c>
      <c r="I692" s="4" t="s">
        <v>158</v>
      </c>
      <c r="J692" s="4" t="s">
        <v>176</v>
      </c>
      <c r="K692" s="4" t="s">
        <v>159</v>
      </c>
      <c r="L692" s="4"/>
      <c r="M692" s="4" t="s">
        <v>29</v>
      </c>
      <c r="N692" s="4" t="str">
        <f>[1]Mitigation!$Z$72</f>
        <v>cem</v>
      </c>
      <c r="O692" s="4"/>
      <c r="P692" s="4" t="str">
        <f t="shared" si="53"/>
        <v>cem</v>
      </c>
      <c r="Q692" s="4" t="s">
        <v>61</v>
      </c>
      <c r="R692" s="4" t="s">
        <v>175</v>
      </c>
      <c r="S692" s="4"/>
      <c r="T692" s="4"/>
      <c r="U692" s="4"/>
      <c r="V692" s="9">
        <f>[1]Mitigation!$C$6767</f>
        <v>2</v>
      </c>
    </row>
    <row r="693" spans="4:22" x14ac:dyDescent="0.45">
      <c r="D693" s="43" t="s">
        <v>972</v>
      </c>
      <c r="E693" s="4" t="str">
        <f>[1]Mitigation!H9167</f>
        <v>irn.mit.ener.cem.gso.e.2</v>
      </c>
      <c r="F693" s="4" t="str">
        <f t="shared" si="51"/>
        <v>N/A</v>
      </c>
      <c r="G693" s="4" t="str">
        <f t="shared" si="52"/>
        <v>irn.mit.ener_g-f.e.gso.all.ktoe.2</v>
      </c>
      <c r="H693" s="4" t="s">
        <v>19</v>
      </c>
      <c r="I693" s="4" t="s">
        <v>158</v>
      </c>
      <c r="J693" s="4" t="s">
        <v>176</v>
      </c>
      <c r="K693" s="4" t="s">
        <v>159</v>
      </c>
      <c r="L693" s="4"/>
      <c r="M693" s="4" t="s">
        <v>29</v>
      </c>
      <c r="N693" s="4" t="str">
        <f>[1]Mitigation!$Z$72</f>
        <v>cem</v>
      </c>
      <c r="O693" s="4"/>
      <c r="P693" s="4" t="str">
        <f t="shared" si="53"/>
        <v>cem</v>
      </c>
      <c r="Q693" s="4" t="s">
        <v>63</v>
      </c>
      <c r="R693" s="4" t="s">
        <v>175</v>
      </c>
      <c r="S693" s="4"/>
      <c r="T693" s="4"/>
      <c r="U693" s="4"/>
      <c r="V693" s="9">
        <f>[1]Mitigation!$C$6767</f>
        <v>2</v>
      </c>
    </row>
    <row r="694" spans="4:22" x14ac:dyDescent="0.45">
      <c r="D694" s="43" t="s">
        <v>973</v>
      </c>
      <c r="E694" s="4" t="str">
        <f>[1]Mitigation!H9168</f>
        <v>irn.mit.ener.cem.die.e.2</v>
      </c>
      <c r="F694" s="4" t="str">
        <f t="shared" si="51"/>
        <v>N/A</v>
      </c>
      <c r="G694" s="4" t="str">
        <f t="shared" si="52"/>
        <v>irn.mit.ener_g-f.e.die.all.ktoe.2</v>
      </c>
      <c r="H694" s="4" t="s">
        <v>19</v>
      </c>
      <c r="I694" s="4" t="s">
        <v>158</v>
      </c>
      <c r="J694" s="4" t="s">
        <v>176</v>
      </c>
      <c r="K694" s="4" t="s">
        <v>159</v>
      </c>
      <c r="L694" s="4"/>
      <c r="M694" s="4" t="s">
        <v>29</v>
      </c>
      <c r="N694" s="4" t="str">
        <f>[1]Mitigation!$Z$72</f>
        <v>cem</v>
      </c>
      <c r="O694" s="4"/>
      <c r="P694" s="4" t="str">
        <f t="shared" si="53"/>
        <v>cem</v>
      </c>
      <c r="Q694" s="4" t="s">
        <v>64</v>
      </c>
      <c r="R694" s="4" t="s">
        <v>175</v>
      </c>
      <c r="S694" s="4"/>
      <c r="T694" s="4"/>
      <c r="U694" s="4"/>
      <c r="V694" s="9">
        <f>[1]Mitigation!$C$6767</f>
        <v>2</v>
      </c>
    </row>
    <row r="695" spans="4:22" x14ac:dyDescent="0.45">
      <c r="D695" s="43" t="s">
        <v>974</v>
      </c>
      <c r="E695" s="4" t="str">
        <f>[1]Mitigation!H9169</f>
        <v>irn.mit.ener.cem.lpg.e.2</v>
      </c>
      <c r="F695" s="4" t="str">
        <f t="shared" si="51"/>
        <v>N/A</v>
      </c>
      <c r="G695" s="4" t="str">
        <f t="shared" si="52"/>
        <v>irn.mit.ener_g-f.e.lpg.all.ktoe.2</v>
      </c>
      <c r="H695" s="4" t="s">
        <v>19</v>
      </c>
      <c r="I695" s="4" t="s">
        <v>158</v>
      </c>
      <c r="J695" s="4" t="s">
        <v>176</v>
      </c>
      <c r="K695" s="4" t="s">
        <v>159</v>
      </c>
      <c r="L695" s="4"/>
      <c r="M695" s="4" t="s">
        <v>29</v>
      </c>
      <c r="N695" s="4" t="str">
        <f>[1]Mitigation!$Z$72</f>
        <v>cem</v>
      </c>
      <c r="O695" s="4"/>
      <c r="P695" s="4" t="str">
        <f t="shared" si="53"/>
        <v>cem</v>
      </c>
      <c r="Q695" s="4" t="s">
        <v>65</v>
      </c>
      <c r="R695" s="4" t="s">
        <v>175</v>
      </c>
      <c r="S695" s="4"/>
      <c r="T695" s="4"/>
      <c r="U695" s="4"/>
      <c r="V695" s="9">
        <f>[1]Mitigation!$C$6767</f>
        <v>2</v>
      </c>
    </row>
    <row r="696" spans="4:22" x14ac:dyDescent="0.45">
      <c r="D696" s="43" t="s">
        <v>975</v>
      </c>
      <c r="E696" s="4" t="str">
        <f>[1]Mitigation!H9170</f>
        <v>irn.mit.ener.cem.ker.e.2</v>
      </c>
      <c r="F696" s="4" t="str">
        <f t="shared" si="51"/>
        <v>N/A</v>
      </c>
      <c r="G696" s="4" t="str">
        <f t="shared" si="52"/>
        <v>irn.mit.ener_g-f.e.ker.all.ktoe.2</v>
      </c>
      <c r="H696" s="4" t="s">
        <v>19</v>
      </c>
      <c r="I696" s="4" t="s">
        <v>158</v>
      </c>
      <c r="J696" s="4" t="s">
        <v>176</v>
      </c>
      <c r="K696" s="4" t="s">
        <v>159</v>
      </c>
      <c r="L696" s="4"/>
      <c r="M696" s="4" t="s">
        <v>29</v>
      </c>
      <c r="N696" s="4" t="str">
        <f>[1]Mitigation!$Z$72</f>
        <v>cem</v>
      </c>
      <c r="O696" s="4"/>
      <c r="P696" s="4" t="str">
        <f t="shared" si="53"/>
        <v>cem</v>
      </c>
      <c r="Q696" s="4" t="s">
        <v>66</v>
      </c>
      <c r="R696" s="4" t="s">
        <v>175</v>
      </c>
      <c r="S696" s="4"/>
      <c r="T696" s="4"/>
      <c r="U696" s="4"/>
      <c r="V696" s="9">
        <f>[1]Mitigation!$C$6767</f>
        <v>2</v>
      </c>
    </row>
    <row r="697" spans="4:22" x14ac:dyDescent="0.45">
      <c r="D697" s="43" t="s">
        <v>976</v>
      </c>
      <c r="E697" s="4" t="str">
        <f>[1]Mitigation!H9171</f>
        <v>irn.mit.ener.cem.oop.e.2</v>
      </c>
      <c r="F697" s="4" t="str">
        <f t="shared" si="51"/>
        <v>N/A</v>
      </c>
      <c r="G697" s="4" t="str">
        <f t="shared" si="52"/>
        <v>irn.mit.ener_g-f.e.oop.all.ktoe.2</v>
      </c>
      <c r="H697" s="4" t="s">
        <v>19</v>
      </c>
      <c r="I697" s="4" t="s">
        <v>158</v>
      </c>
      <c r="J697" s="4" t="s">
        <v>176</v>
      </c>
      <c r="K697" s="4" t="s">
        <v>159</v>
      </c>
      <c r="L697" s="4"/>
      <c r="M697" s="4" t="s">
        <v>29</v>
      </c>
      <c r="N697" s="4" t="str">
        <f>[1]Mitigation!$Z$72</f>
        <v>cem</v>
      </c>
      <c r="O697" s="4"/>
      <c r="P697" s="4" t="str">
        <f t="shared" si="53"/>
        <v>cem</v>
      </c>
      <c r="Q697" s="4" t="s">
        <v>113</v>
      </c>
      <c r="R697" s="4" t="s">
        <v>175</v>
      </c>
      <c r="S697" s="4"/>
      <c r="T697" s="4"/>
      <c r="U697" s="4"/>
      <c r="V697" s="9">
        <f>[1]Mitigation!$C$6767</f>
        <v>2</v>
      </c>
    </row>
    <row r="698" spans="4:22" x14ac:dyDescent="0.45">
      <c r="D698" s="43" t="s">
        <v>977</v>
      </c>
      <c r="E698" s="4" t="str">
        <f>[1]Mitigation!H9172</f>
        <v>irn.mit.ener.cem.bio.e.2</v>
      </c>
      <c r="F698" s="4" t="str">
        <f t="shared" si="51"/>
        <v>N/A</v>
      </c>
      <c r="G698" s="4" t="str">
        <f t="shared" si="52"/>
        <v>irn.mit.ener_g-f.e.bio.all.ktoe.2</v>
      </c>
      <c r="H698" s="4" t="s">
        <v>19</v>
      </c>
      <c r="I698" s="4" t="s">
        <v>158</v>
      </c>
      <c r="J698" s="4" t="s">
        <v>176</v>
      </c>
      <c r="K698" s="4" t="s">
        <v>159</v>
      </c>
      <c r="L698" s="4"/>
      <c r="M698" s="4" t="s">
        <v>29</v>
      </c>
      <c r="N698" s="4" t="str">
        <f>[1]Mitigation!$Z$72</f>
        <v>cem</v>
      </c>
      <c r="O698" s="4"/>
      <c r="P698" s="4" t="str">
        <f t="shared" si="53"/>
        <v>cem</v>
      </c>
      <c r="Q698" s="4" t="s">
        <v>162</v>
      </c>
      <c r="R698" s="4" t="s">
        <v>175</v>
      </c>
      <c r="S698" s="4"/>
      <c r="T698" s="4"/>
      <c r="U698" s="4"/>
      <c r="V698" s="9">
        <f>[1]Mitigation!$C$6767</f>
        <v>2</v>
      </c>
    </row>
    <row r="699" spans="4:22" x14ac:dyDescent="0.45">
      <c r="D699" s="43" t="s">
        <v>978</v>
      </c>
      <c r="E699" s="4" t="str">
        <f>[1]Mitigation!H9173</f>
        <v>irn.mit.ener.cem.ren.e.2</v>
      </c>
      <c r="F699" s="4" t="str">
        <f t="shared" si="51"/>
        <v>N/A</v>
      </c>
      <c r="G699" s="4" t="str">
        <f t="shared" si="52"/>
        <v>irn.mit.ener_g-f.e.ren.all.ktoe.2</v>
      </c>
      <c r="H699" s="4" t="s">
        <v>19</v>
      </c>
      <c r="I699" s="4" t="s">
        <v>158</v>
      </c>
      <c r="J699" s="4" t="s">
        <v>176</v>
      </c>
      <c r="K699" s="4" t="s">
        <v>159</v>
      </c>
      <c r="L699" s="4"/>
      <c r="M699" s="4" t="s">
        <v>29</v>
      </c>
      <c r="N699" s="4" t="str">
        <f>[1]Mitigation!$Z$72</f>
        <v>cem</v>
      </c>
      <c r="O699" s="4"/>
      <c r="P699" s="4" t="str">
        <f t="shared" si="53"/>
        <v>cem</v>
      </c>
      <c r="Q699" s="4" t="s">
        <v>174</v>
      </c>
      <c r="R699" s="4" t="s">
        <v>175</v>
      </c>
      <c r="S699" s="4"/>
      <c r="T699" s="4"/>
      <c r="U699" s="4"/>
      <c r="V699" s="9">
        <f>[1]Mitigation!$C$6767</f>
        <v>2</v>
      </c>
    </row>
    <row r="700" spans="4:22" x14ac:dyDescent="0.45">
      <c r="D700" s="43" t="s">
        <v>979</v>
      </c>
      <c r="E700" s="4" t="str">
        <f>[1]Mitigation!H9190</f>
        <v>irn.mit.ener.omn.coa.e.2</v>
      </c>
      <c r="F700" s="4" t="str">
        <f t="shared" si="51"/>
        <v>N/A</v>
      </c>
      <c r="G700" s="4" t="str">
        <f t="shared" si="52"/>
        <v>irn.mit.ener_g-f.e.coa.all.ktoe.2</v>
      </c>
      <c r="H700" s="4" t="s">
        <v>19</v>
      </c>
      <c r="I700" s="4" t="s">
        <v>158</v>
      </c>
      <c r="J700" s="4" t="s">
        <v>176</v>
      </c>
      <c r="K700" s="4" t="s">
        <v>159</v>
      </c>
      <c r="L700" s="4"/>
      <c r="M700" s="4" t="s">
        <v>29</v>
      </c>
      <c r="N700" s="4" t="str">
        <f>[1]Mitigation!$Z$73</f>
        <v>omn</v>
      </c>
      <c r="O700" s="4"/>
      <c r="P700" s="4" t="str">
        <f t="shared" si="53"/>
        <v>omn</v>
      </c>
      <c r="Q700" s="4" t="s">
        <v>60</v>
      </c>
      <c r="R700" s="4" t="s">
        <v>175</v>
      </c>
      <c r="S700" s="4"/>
      <c r="T700" s="4"/>
      <c r="U700" s="4"/>
      <c r="V700" s="9">
        <f>[1]Mitigation!$C$6767</f>
        <v>2</v>
      </c>
    </row>
    <row r="701" spans="4:22" x14ac:dyDescent="0.45">
      <c r="D701" s="43" t="s">
        <v>980</v>
      </c>
      <c r="E701" s="4" t="str">
        <f>[1]Mitigation!H9191</f>
        <v>irn.mit.ener.omn.nga.e.2</v>
      </c>
      <c r="F701" s="4" t="str">
        <f t="shared" si="51"/>
        <v>N/A</v>
      </c>
      <c r="G701" s="4" t="str">
        <f t="shared" si="52"/>
        <v>irn.mit.ener_g-f.e.nga.all.ktoe.2</v>
      </c>
      <c r="H701" s="4" t="s">
        <v>19</v>
      </c>
      <c r="I701" s="4" t="s">
        <v>158</v>
      </c>
      <c r="J701" s="4" t="s">
        <v>176</v>
      </c>
      <c r="K701" s="4" t="s">
        <v>159</v>
      </c>
      <c r="L701" s="4"/>
      <c r="M701" s="4" t="s">
        <v>29</v>
      </c>
      <c r="N701" s="4" t="str">
        <f>[1]Mitigation!$Z$73</f>
        <v>omn</v>
      </c>
      <c r="O701" s="4"/>
      <c r="P701" s="4" t="str">
        <f t="shared" si="53"/>
        <v>omn</v>
      </c>
      <c r="Q701" s="4" t="s">
        <v>61</v>
      </c>
      <c r="R701" s="4" t="s">
        <v>175</v>
      </c>
      <c r="S701" s="4"/>
      <c r="T701" s="4"/>
      <c r="U701" s="4"/>
      <c r="V701" s="9">
        <f>[1]Mitigation!$C$6767</f>
        <v>2</v>
      </c>
    </row>
    <row r="702" spans="4:22" x14ac:dyDescent="0.45">
      <c r="D702" s="43" t="s">
        <v>981</v>
      </c>
      <c r="E702" s="4" t="str">
        <f>[1]Mitigation!H9192</f>
        <v>irn.mit.ener.omn.gso.e.2</v>
      </c>
      <c r="F702" s="4" t="str">
        <f t="shared" si="51"/>
        <v>N/A</v>
      </c>
      <c r="G702" s="4" t="str">
        <f t="shared" si="52"/>
        <v>irn.mit.ener_g-f.e.gso.all.ktoe.2</v>
      </c>
      <c r="H702" s="4" t="s">
        <v>19</v>
      </c>
      <c r="I702" s="4" t="s">
        <v>158</v>
      </c>
      <c r="J702" s="4" t="s">
        <v>176</v>
      </c>
      <c r="K702" s="4" t="s">
        <v>159</v>
      </c>
      <c r="L702" s="4"/>
      <c r="M702" s="4" t="s">
        <v>29</v>
      </c>
      <c r="N702" s="4" t="str">
        <f>[1]Mitigation!$Z$73</f>
        <v>omn</v>
      </c>
      <c r="O702" s="4"/>
      <c r="P702" s="4" t="str">
        <f t="shared" si="53"/>
        <v>omn</v>
      </c>
      <c r="Q702" s="4" t="s">
        <v>63</v>
      </c>
      <c r="R702" s="4" t="s">
        <v>175</v>
      </c>
      <c r="S702" s="4"/>
      <c r="T702" s="4"/>
      <c r="U702" s="4"/>
      <c r="V702" s="9">
        <f>[1]Mitigation!$C$6767</f>
        <v>2</v>
      </c>
    </row>
    <row r="703" spans="4:22" x14ac:dyDescent="0.45">
      <c r="D703" s="43" t="s">
        <v>982</v>
      </c>
      <c r="E703" s="4" t="str">
        <f>[1]Mitigation!H9193</f>
        <v>irn.mit.ener.omn.die.e.2</v>
      </c>
      <c r="F703" s="4" t="str">
        <f t="shared" si="51"/>
        <v>N/A</v>
      </c>
      <c r="G703" s="4" t="str">
        <f t="shared" si="52"/>
        <v>irn.mit.ener_g-f.e.die.all.ktoe.2</v>
      </c>
      <c r="H703" s="4" t="s">
        <v>19</v>
      </c>
      <c r="I703" s="4" t="s">
        <v>158</v>
      </c>
      <c r="J703" s="4" t="s">
        <v>176</v>
      </c>
      <c r="K703" s="4" t="s">
        <v>159</v>
      </c>
      <c r="L703" s="4"/>
      <c r="M703" s="4" t="s">
        <v>29</v>
      </c>
      <c r="N703" s="4" t="str">
        <f>[1]Mitigation!$Z$73</f>
        <v>omn</v>
      </c>
      <c r="O703" s="4"/>
      <c r="P703" s="4" t="str">
        <f t="shared" si="53"/>
        <v>omn</v>
      </c>
      <c r="Q703" s="4" t="s">
        <v>64</v>
      </c>
      <c r="R703" s="4" t="s">
        <v>175</v>
      </c>
      <c r="S703" s="4"/>
      <c r="T703" s="4"/>
      <c r="U703" s="4"/>
      <c r="V703" s="9">
        <f>[1]Mitigation!$C$6767</f>
        <v>2</v>
      </c>
    </row>
    <row r="704" spans="4:22" x14ac:dyDescent="0.45">
      <c r="D704" s="43" t="s">
        <v>983</v>
      </c>
      <c r="E704" s="4" t="str">
        <f>[1]Mitigation!H9194</f>
        <v>irn.mit.ener.omn.lpg.e.2</v>
      </c>
      <c r="F704" s="4" t="str">
        <f t="shared" si="51"/>
        <v>N/A</v>
      </c>
      <c r="G704" s="4" t="str">
        <f t="shared" si="52"/>
        <v>irn.mit.ener_g-f.e.lpg.all.ktoe.2</v>
      </c>
      <c r="H704" s="4" t="s">
        <v>19</v>
      </c>
      <c r="I704" s="4" t="s">
        <v>158</v>
      </c>
      <c r="J704" s="4" t="s">
        <v>176</v>
      </c>
      <c r="K704" s="4" t="s">
        <v>159</v>
      </c>
      <c r="L704" s="4"/>
      <c r="M704" s="4" t="s">
        <v>29</v>
      </c>
      <c r="N704" s="4" t="str">
        <f>[1]Mitigation!$Z$73</f>
        <v>omn</v>
      </c>
      <c r="O704" s="4"/>
      <c r="P704" s="4" t="str">
        <f t="shared" si="53"/>
        <v>omn</v>
      </c>
      <c r="Q704" s="4" t="s">
        <v>65</v>
      </c>
      <c r="R704" s="4" t="s">
        <v>175</v>
      </c>
      <c r="S704" s="4"/>
      <c r="T704" s="4"/>
      <c r="U704" s="4"/>
      <c r="V704" s="9">
        <f>[1]Mitigation!$C$6767</f>
        <v>2</v>
      </c>
    </row>
    <row r="705" spans="4:22" x14ac:dyDescent="0.45">
      <c r="D705" s="43" t="s">
        <v>984</v>
      </c>
      <c r="E705" s="4" t="str">
        <f>[1]Mitigation!H9195</f>
        <v>irn.mit.ener.omn.ker.e.2</v>
      </c>
      <c r="F705" s="4" t="str">
        <f t="shared" si="51"/>
        <v>N/A</v>
      </c>
      <c r="G705" s="4" t="str">
        <f t="shared" si="52"/>
        <v>irn.mit.ener_g-f.e.ker.all.ktoe.2</v>
      </c>
      <c r="H705" s="4" t="s">
        <v>19</v>
      </c>
      <c r="I705" s="4" t="s">
        <v>158</v>
      </c>
      <c r="J705" s="4" t="s">
        <v>176</v>
      </c>
      <c r="K705" s="4" t="s">
        <v>159</v>
      </c>
      <c r="L705" s="4"/>
      <c r="M705" s="4" t="s">
        <v>29</v>
      </c>
      <c r="N705" s="4" t="str">
        <f>[1]Mitigation!$Z$73</f>
        <v>omn</v>
      </c>
      <c r="O705" s="4"/>
      <c r="P705" s="4" t="str">
        <f t="shared" si="53"/>
        <v>omn</v>
      </c>
      <c r="Q705" s="4" t="s">
        <v>66</v>
      </c>
      <c r="R705" s="4" t="s">
        <v>175</v>
      </c>
      <c r="S705" s="4"/>
      <c r="T705" s="4"/>
      <c r="U705" s="4"/>
      <c r="V705" s="9">
        <f>[1]Mitigation!$C$6767</f>
        <v>2</v>
      </c>
    </row>
    <row r="706" spans="4:22" x14ac:dyDescent="0.45">
      <c r="D706" s="43" t="s">
        <v>985</v>
      </c>
      <c r="E706" s="4" t="str">
        <f>[1]Mitigation!H9196</f>
        <v>irn.mit.ener.omn.oop.e.2</v>
      </c>
      <c r="F706" s="4" t="str">
        <f t="shared" si="51"/>
        <v>N/A</v>
      </c>
      <c r="G706" s="4" t="str">
        <f t="shared" si="52"/>
        <v>irn.mit.ener_g-f.e.oop.all.ktoe.2</v>
      </c>
      <c r="H706" s="4" t="s">
        <v>19</v>
      </c>
      <c r="I706" s="4" t="s">
        <v>158</v>
      </c>
      <c r="J706" s="4" t="s">
        <v>176</v>
      </c>
      <c r="K706" s="4" t="s">
        <v>159</v>
      </c>
      <c r="L706" s="4"/>
      <c r="M706" s="4" t="s">
        <v>29</v>
      </c>
      <c r="N706" s="4" t="str">
        <f>[1]Mitigation!$Z$73</f>
        <v>omn</v>
      </c>
      <c r="O706" s="4"/>
      <c r="P706" s="4" t="str">
        <f t="shared" si="53"/>
        <v>omn</v>
      </c>
      <c r="Q706" s="4" t="s">
        <v>113</v>
      </c>
      <c r="R706" s="4" t="s">
        <v>175</v>
      </c>
      <c r="S706" s="4"/>
      <c r="T706" s="4"/>
      <c r="U706" s="4"/>
      <c r="V706" s="9">
        <f>[1]Mitigation!$C$6767</f>
        <v>2</v>
      </c>
    </row>
    <row r="707" spans="4:22" x14ac:dyDescent="0.45">
      <c r="D707" s="43" t="s">
        <v>986</v>
      </c>
      <c r="E707" s="4" t="str">
        <f>[1]Mitigation!H9197</f>
        <v>irn.mit.ener.omn.bio.e.2</v>
      </c>
      <c r="F707" s="4" t="str">
        <f t="shared" si="51"/>
        <v>N/A</v>
      </c>
      <c r="G707" s="4" t="str">
        <f t="shared" si="52"/>
        <v>irn.mit.ener_g-f.e.bio.all.ktoe.2</v>
      </c>
      <c r="H707" s="4" t="s">
        <v>19</v>
      </c>
      <c r="I707" s="4" t="s">
        <v>158</v>
      </c>
      <c r="J707" s="4" t="s">
        <v>176</v>
      </c>
      <c r="K707" s="4" t="s">
        <v>159</v>
      </c>
      <c r="L707" s="4"/>
      <c r="M707" s="4" t="s">
        <v>29</v>
      </c>
      <c r="N707" s="4" t="str">
        <f>[1]Mitigation!$Z$73</f>
        <v>omn</v>
      </c>
      <c r="O707" s="4"/>
      <c r="P707" s="4" t="str">
        <f t="shared" si="53"/>
        <v>omn</v>
      </c>
      <c r="Q707" s="4" t="s">
        <v>162</v>
      </c>
      <c r="R707" s="4" t="s">
        <v>175</v>
      </c>
      <c r="S707" s="4"/>
      <c r="T707" s="4"/>
      <c r="U707" s="4"/>
      <c r="V707" s="9">
        <f>[1]Mitigation!$C$6767</f>
        <v>2</v>
      </c>
    </row>
    <row r="708" spans="4:22" x14ac:dyDescent="0.45">
      <c r="D708" s="43" t="s">
        <v>987</v>
      </c>
      <c r="E708" s="4" t="str">
        <f>[1]Mitigation!H9198</f>
        <v>irn.mit.ener.omn.ren.e.2</v>
      </c>
      <c r="F708" s="4" t="str">
        <f t="shared" si="51"/>
        <v>N/A</v>
      </c>
      <c r="G708" s="4" t="str">
        <f t="shared" si="52"/>
        <v>irn.mit.ener_g-f.e.ren.all.ktoe.2</v>
      </c>
      <c r="H708" s="4" t="s">
        <v>19</v>
      </c>
      <c r="I708" s="4" t="s">
        <v>158</v>
      </c>
      <c r="J708" s="4" t="s">
        <v>176</v>
      </c>
      <c r="K708" s="4" t="s">
        <v>159</v>
      </c>
      <c r="L708" s="4"/>
      <c r="M708" s="4" t="s">
        <v>29</v>
      </c>
      <c r="N708" s="4" t="str">
        <f>[1]Mitigation!$Z$73</f>
        <v>omn</v>
      </c>
      <c r="O708" s="4"/>
      <c r="P708" s="4" t="str">
        <f t="shared" si="53"/>
        <v>omn</v>
      </c>
      <c r="Q708" s="4" t="s">
        <v>174</v>
      </c>
      <c r="R708" s="4" t="s">
        <v>175</v>
      </c>
      <c r="S708" s="4"/>
      <c r="T708" s="4"/>
      <c r="U708" s="4"/>
      <c r="V708" s="9">
        <f>[1]Mitigation!$C$6767</f>
        <v>2</v>
      </c>
    </row>
    <row r="709" spans="4:22" x14ac:dyDescent="0.45">
      <c r="D709" s="43" t="s">
        <v>988</v>
      </c>
      <c r="E709" s="4" t="str">
        <f>[1]Mitigation!H9215</f>
        <v>irn.mit.ener.cst.coa.e.2</v>
      </c>
      <c r="F709" s="4" t="str">
        <f t="shared" si="51"/>
        <v>N/A</v>
      </c>
      <c r="G709" s="4" t="str">
        <f t="shared" si="52"/>
        <v>irn.mit.ener_g-f.e.coa.all.ktoe.2</v>
      </c>
      <c r="H709" s="4" t="s">
        <v>19</v>
      </c>
      <c r="I709" s="4" t="s">
        <v>158</v>
      </c>
      <c r="J709" s="4" t="s">
        <v>176</v>
      </c>
      <c r="K709" s="4" t="s">
        <v>159</v>
      </c>
      <c r="L709" s="4"/>
      <c r="M709" s="4" t="s">
        <v>29</v>
      </c>
      <c r="N709" s="4" t="str">
        <f>[1]Mitigation!$Z$74</f>
        <v>cst</v>
      </c>
      <c r="O709" s="4"/>
      <c r="P709" s="4" t="str">
        <f t="shared" si="53"/>
        <v>cst</v>
      </c>
      <c r="Q709" s="4" t="s">
        <v>60</v>
      </c>
      <c r="R709" s="4" t="s">
        <v>175</v>
      </c>
      <c r="S709" s="4"/>
      <c r="T709" s="4"/>
      <c r="U709" s="4"/>
      <c r="V709" s="9">
        <f>[1]Mitigation!$C$6767</f>
        <v>2</v>
      </c>
    </row>
    <row r="710" spans="4:22" x14ac:dyDescent="0.45">
      <c r="D710" s="43" t="s">
        <v>989</v>
      </c>
      <c r="E710" s="4" t="str">
        <f>[1]Mitigation!H9216</f>
        <v>irn.mit.ener.cst.nga.e.2</v>
      </c>
      <c r="F710" s="4" t="str">
        <f t="shared" si="51"/>
        <v>N/A</v>
      </c>
      <c r="G710" s="4" t="str">
        <f t="shared" si="52"/>
        <v>irn.mit.ener_g-f.e.nga.all.ktoe.2</v>
      </c>
      <c r="H710" s="4" t="s">
        <v>19</v>
      </c>
      <c r="I710" s="4" t="s">
        <v>158</v>
      </c>
      <c r="J710" s="4" t="s">
        <v>176</v>
      </c>
      <c r="K710" s="4" t="s">
        <v>159</v>
      </c>
      <c r="L710" s="4"/>
      <c r="M710" s="4" t="s">
        <v>29</v>
      </c>
      <c r="N710" s="4" t="str">
        <f>[1]Mitigation!$Z$74</f>
        <v>cst</v>
      </c>
      <c r="O710" s="4"/>
      <c r="P710" s="4" t="str">
        <f t="shared" si="53"/>
        <v>cst</v>
      </c>
      <c r="Q710" s="4" t="s">
        <v>61</v>
      </c>
      <c r="R710" s="4" t="s">
        <v>175</v>
      </c>
      <c r="S710" s="4"/>
      <c r="T710" s="4"/>
      <c r="U710" s="4"/>
      <c r="V710" s="9">
        <f>[1]Mitigation!$C$6767</f>
        <v>2</v>
      </c>
    </row>
    <row r="711" spans="4:22" x14ac:dyDescent="0.45">
      <c r="D711" s="43" t="s">
        <v>990</v>
      </c>
      <c r="E711" s="4" t="str">
        <f>[1]Mitigation!H9217</f>
        <v>irn.mit.ener.cst.gso.e.2</v>
      </c>
      <c r="F711" s="4" t="str">
        <f t="shared" si="51"/>
        <v>N/A</v>
      </c>
      <c r="G711" s="4" t="str">
        <f t="shared" si="52"/>
        <v>irn.mit.ener_g-f.e.gso.all.ktoe.2</v>
      </c>
      <c r="H711" s="4" t="s">
        <v>19</v>
      </c>
      <c r="I711" s="4" t="s">
        <v>158</v>
      </c>
      <c r="J711" s="4" t="s">
        <v>176</v>
      </c>
      <c r="K711" s="4" t="s">
        <v>159</v>
      </c>
      <c r="L711" s="4"/>
      <c r="M711" s="4" t="s">
        <v>29</v>
      </c>
      <c r="N711" s="4" t="str">
        <f>[1]Mitigation!$Z$74</f>
        <v>cst</v>
      </c>
      <c r="O711" s="4"/>
      <c r="P711" s="4" t="str">
        <f t="shared" si="53"/>
        <v>cst</v>
      </c>
      <c r="Q711" s="4" t="s">
        <v>63</v>
      </c>
      <c r="R711" s="4" t="s">
        <v>175</v>
      </c>
      <c r="S711" s="4"/>
      <c r="T711" s="4"/>
      <c r="U711" s="4"/>
      <c r="V711" s="9">
        <f>[1]Mitigation!$C$6767</f>
        <v>2</v>
      </c>
    </row>
    <row r="712" spans="4:22" x14ac:dyDescent="0.45">
      <c r="D712" s="43" t="s">
        <v>991</v>
      </c>
      <c r="E712" s="4" t="str">
        <f>[1]Mitigation!H9218</f>
        <v>irn.mit.ener.cst.die.e.2</v>
      </c>
      <c r="F712" s="4" t="str">
        <f t="shared" si="51"/>
        <v>N/A</v>
      </c>
      <c r="G712" s="4" t="str">
        <f t="shared" si="52"/>
        <v>irn.mit.ener_g-f.e.die.all.ktoe.2</v>
      </c>
      <c r="H712" s="4" t="s">
        <v>19</v>
      </c>
      <c r="I712" s="4" t="s">
        <v>158</v>
      </c>
      <c r="J712" s="4" t="s">
        <v>176</v>
      </c>
      <c r="K712" s="4" t="s">
        <v>159</v>
      </c>
      <c r="L712" s="4"/>
      <c r="M712" s="4" t="s">
        <v>29</v>
      </c>
      <c r="N712" s="4" t="str">
        <f>[1]Mitigation!$Z$74</f>
        <v>cst</v>
      </c>
      <c r="O712" s="4"/>
      <c r="P712" s="4" t="str">
        <f t="shared" si="53"/>
        <v>cst</v>
      </c>
      <c r="Q712" s="4" t="s">
        <v>64</v>
      </c>
      <c r="R712" s="4" t="s">
        <v>175</v>
      </c>
      <c r="S712" s="4"/>
      <c r="T712" s="4"/>
      <c r="U712" s="4"/>
      <c r="V712" s="9">
        <f>[1]Mitigation!$C$6767</f>
        <v>2</v>
      </c>
    </row>
    <row r="713" spans="4:22" x14ac:dyDescent="0.45">
      <c r="D713" s="43" t="s">
        <v>992</v>
      </c>
      <c r="E713" s="4" t="str">
        <f>[1]Mitigation!H9219</f>
        <v>irn.mit.ener.cst.lpg.e.2</v>
      </c>
      <c r="F713" s="4" t="str">
        <f t="shared" si="51"/>
        <v>N/A</v>
      </c>
      <c r="G713" s="4" t="str">
        <f t="shared" si="52"/>
        <v>irn.mit.ener_g-f.e.lpg.all.ktoe.2</v>
      </c>
      <c r="H713" s="4" t="s">
        <v>19</v>
      </c>
      <c r="I713" s="4" t="s">
        <v>158</v>
      </c>
      <c r="J713" s="4" t="s">
        <v>176</v>
      </c>
      <c r="K713" s="4" t="s">
        <v>159</v>
      </c>
      <c r="L713" s="4"/>
      <c r="M713" s="4" t="s">
        <v>29</v>
      </c>
      <c r="N713" s="4" t="str">
        <f>[1]Mitigation!$Z$74</f>
        <v>cst</v>
      </c>
      <c r="O713" s="4"/>
      <c r="P713" s="4" t="str">
        <f t="shared" si="53"/>
        <v>cst</v>
      </c>
      <c r="Q713" s="4" t="s">
        <v>65</v>
      </c>
      <c r="R713" s="4" t="s">
        <v>175</v>
      </c>
      <c r="S713" s="4"/>
      <c r="T713" s="4"/>
      <c r="U713" s="4"/>
      <c r="V713" s="9">
        <f>[1]Mitigation!$C$6767</f>
        <v>2</v>
      </c>
    </row>
    <row r="714" spans="4:22" x14ac:dyDescent="0.45">
      <c r="D714" s="43" t="s">
        <v>993</v>
      </c>
      <c r="E714" s="4" t="str">
        <f>[1]Mitigation!H9220</f>
        <v>irn.mit.ener.cst.ker.e.2</v>
      </c>
      <c r="F714" s="4" t="str">
        <f t="shared" si="51"/>
        <v>N/A</v>
      </c>
      <c r="G714" s="4" t="str">
        <f t="shared" si="52"/>
        <v>irn.mit.ener_g-f.e.ker.all.ktoe.2</v>
      </c>
      <c r="H714" s="4" t="s">
        <v>19</v>
      </c>
      <c r="I714" s="4" t="s">
        <v>158</v>
      </c>
      <c r="J714" s="4" t="s">
        <v>176</v>
      </c>
      <c r="K714" s="4" t="s">
        <v>159</v>
      </c>
      <c r="L714" s="4"/>
      <c r="M714" s="4" t="s">
        <v>29</v>
      </c>
      <c r="N714" s="4" t="str">
        <f>[1]Mitigation!$Z$74</f>
        <v>cst</v>
      </c>
      <c r="O714" s="4"/>
      <c r="P714" s="4" t="str">
        <f t="shared" si="53"/>
        <v>cst</v>
      </c>
      <c r="Q714" s="4" t="s">
        <v>66</v>
      </c>
      <c r="R714" s="4" t="s">
        <v>175</v>
      </c>
      <c r="S714" s="4"/>
      <c r="T714" s="4"/>
      <c r="U714" s="4"/>
      <c r="V714" s="9">
        <f>[1]Mitigation!$C$6767</f>
        <v>2</v>
      </c>
    </row>
    <row r="715" spans="4:22" x14ac:dyDescent="0.45">
      <c r="D715" s="43" t="s">
        <v>994</v>
      </c>
      <c r="E715" s="4" t="str">
        <f>[1]Mitigation!H9221</f>
        <v>irn.mit.ener.cst.oop.e.2</v>
      </c>
      <c r="F715" s="4" t="str">
        <f t="shared" si="51"/>
        <v>N/A</v>
      </c>
      <c r="G715" s="4" t="str">
        <f t="shared" si="52"/>
        <v>irn.mit.ener_g-f.e.oop.all.ktoe.2</v>
      </c>
      <c r="H715" s="4" t="s">
        <v>19</v>
      </c>
      <c r="I715" s="4" t="s">
        <v>158</v>
      </c>
      <c r="J715" s="4" t="s">
        <v>176</v>
      </c>
      <c r="K715" s="4" t="s">
        <v>159</v>
      </c>
      <c r="L715" s="4"/>
      <c r="M715" s="4" t="s">
        <v>29</v>
      </c>
      <c r="N715" s="4" t="str">
        <f>[1]Mitigation!$Z$74</f>
        <v>cst</v>
      </c>
      <c r="O715" s="4"/>
      <c r="P715" s="4" t="str">
        <f t="shared" si="53"/>
        <v>cst</v>
      </c>
      <c r="Q715" s="4" t="s">
        <v>113</v>
      </c>
      <c r="R715" s="4" t="s">
        <v>175</v>
      </c>
      <c r="S715" s="4"/>
      <c r="T715" s="4"/>
      <c r="U715" s="4"/>
      <c r="V715" s="9">
        <f>[1]Mitigation!$C$6767</f>
        <v>2</v>
      </c>
    </row>
    <row r="716" spans="4:22" x14ac:dyDescent="0.45">
      <c r="D716" s="43" t="s">
        <v>995</v>
      </c>
      <c r="E716" s="4" t="str">
        <f>[1]Mitigation!H9222</f>
        <v>irn.mit.ener.cst.bio.e.2</v>
      </c>
      <c r="F716" s="4" t="str">
        <f t="shared" si="51"/>
        <v>N/A</v>
      </c>
      <c r="G716" s="4" t="str">
        <f t="shared" si="52"/>
        <v>irn.mit.ener_g-f.e.bio.all.ktoe.2</v>
      </c>
      <c r="H716" s="4" t="s">
        <v>19</v>
      </c>
      <c r="I716" s="4" t="s">
        <v>158</v>
      </c>
      <c r="J716" s="4" t="s">
        <v>176</v>
      </c>
      <c r="K716" s="4" t="s">
        <v>159</v>
      </c>
      <c r="L716" s="4"/>
      <c r="M716" s="4" t="s">
        <v>29</v>
      </c>
      <c r="N716" s="4" t="str">
        <f>[1]Mitigation!$Z$74</f>
        <v>cst</v>
      </c>
      <c r="O716" s="4"/>
      <c r="P716" s="4" t="str">
        <f t="shared" si="53"/>
        <v>cst</v>
      </c>
      <c r="Q716" s="4" t="s">
        <v>162</v>
      </c>
      <c r="R716" s="4" t="s">
        <v>175</v>
      </c>
      <c r="S716" s="4"/>
      <c r="T716" s="4"/>
      <c r="U716" s="4"/>
      <c r="V716" s="9">
        <f>[1]Mitigation!$C$6767</f>
        <v>2</v>
      </c>
    </row>
    <row r="717" spans="4:22" x14ac:dyDescent="0.45">
      <c r="D717" s="43" t="s">
        <v>996</v>
      </c>
      <c r="E717" s="4" t="str">
        <f>[1]Mitigation!H9223</f>
        <v>irn.mit.ener.cst.ren.e.2</v>
      </c>
      <c r="F717" s="4" t="str">
        <f t="shared" si="51"/>
        <v>N/A</v>
      </c>
      <c r="G717" s="4" t="str">
        <f t="shared" si="52"/>
        <v>irn.mit.ener_g-f.e.ren.all.ktoe.2</v>
      </c>
      <c r="H717" s="4" t="s">
        <v>19</v>
      </c>
      <c r="I717" s="4" t="s">
        <v>158</v>
      </c>
      <c r="J717" s="4" t="s">
        <v>176</v>
      </c>
      <c r="K717" s="4" t="s">
        <v>159</v>
      </c>
      <c r="L717" s="4"/>
      <c r="M717" s="4" t="s">
        <v>29</v>
      </c>
      <c r="N717" s="4" t="str">
        <f>[1]Mitigation!$Z$74</f>
        <v>cst</v>
      </c>
      <c r="O717" s="4"/>
      <c r="P717" s="4" t="str">
        <f t="shared" si="53"/>
        <v>cst</v>
      </c>
      <c r="Q717" s="4" t="s">
        <v>174</v>
      </c>
      <c r="R717" s="4" t="s">
        <v>175</v>
      </c>
      <c r="S717" s="4"/>
      <c r="T717" s="4"/>
      <c r="U717" s="4"/>
      <c r="V717" s="9">
        <f>[1]Mitigation!$C$6767</f>
        <v>2</v>
      </c>
    </row>
    <row r="718" spans="4:22" x14ac:dyDescent="0.45">
      <c r="D718" s="43" t="s">
        <v>997</v>
      </c>
      <c r="E718" s="4" t="str">
        <f>[1]Mitigation!H9240</f>
        <v>irn.mit.ener.ftr.coa.e.2</v>
      </c>
      <c r="F718" s="4" t="str">
        <f t="shared" si="51"/>
        <v>N/A</v>
      </c>
      <c r="G718" s="4" t="str">
        <f t="shared" si="52"/>
        <v>irn.mit.ener_g-f.e.coa.all.ktoe.2</v>
      </c>
      <c r="H718" s="4" t="s">
        <v>19</v>
      </c>
      <c r="I718" s="4" t="s">
        <v>158</v>
      </c>
      <c r="J718" s="4" t="s">
        <v>176</v>
      </c>
      <c r="K718" s="4" t="s">
        <v>159</v>
      </c>
      <c r="L718" s="4"/>
      <c r="M718" s="4" t="s">
        <v>29</v>
      </c>
      <c r="N718" s="4" t="str">
        <f>[1]Mitigation!$Z$75</f>
        <v>ftr</v>
      </c>
      <c r="O718" s="4"/>
      <c r="P718" s="4" t="str">
        <f t="shared" si="53"/>
        <v>ftr</v>
      </c>
      <c r="Q718" s="4" t="s">
        <v>60</v>
      </c>
      <c r="R718" s="4" t="s">
        <v>175</v>
      </c>
      <c r="S718" s="4"/>
      <c r="T718" s="4"/>
      <c r="U718" s="4"/>
      <c r="V718" s="9">
        <f>[1]Mitigation!$C$6767</f>
        <v>2</v>
      </c>
    </row>
    <row r="719" spans="4:22" x14ac:dyDescent="0.45">
      <c r="D719" s="43" t="s">
        <v>998</v>
      </c>
      <c r="E719" s="4" t="str">
        <f>[1]Mitigation!H9241</f>
        <v>irn.mit.ener.ftr.nga.e.2</v>
      </c>
      <c r="F719" s="4" t="str">
        <f t="shared" si="51"/>
        <v>N/A</v>
      </c>
      <c r="G719" s="4" t="str">
        <f t="shared" si="52"/>
        <v>irn.mit.ener_g-f.e.nga.all.ktoe.2</v>
      </c>
      <c r="H719" s="4" t="s">
        <v>19</v>
      </c>
      <c r="I719" s="4" t="s">
        <v>158</v>
      </c>
      <c r="J719" s="4" t="s">
        <v>176</v>
      </c>
      <c r="K719" s="4" t="s">
        <v>159</v>
      </c>
      <c r="L719" s="4"/>
      <c r="M719" s="4" t="s">
        <v>29</v>
      </c>
      <c r="N719" s="4" t="str">
        <f>[1]Mitigation!$Z$75</f>
        <v>ftr</v>
      </c>
      <c r="O719" s="4"/>
      <c r="P719" s="4" t="str">
        <f t="shared" si="53"/>
        <v>ftr</v>
      </c>
      <c r="Q719" s="4" t="s">
        <v>61</v>
      </c>
      <c r="R719" s="4" t="s">
        <v>175</v>
      </c>
      <c r="S719" s="4"/>
      <c r="T719" s="4"/>
      <c r="U719" s="4"/>
      <c r="V719" s="9">
        <f>[1]Mitigation!$C$6767</f>
        <v>2</v>
      </c>
    </row>
    <row r="720" spans="4:22" x14ac:dyDescent="0.45">
      <c r="D720" s="43" t="s">
        <v>999</v>
      </c>
      <c r="E720" s="4" t="str">
        <f>[1]Mitigation!H9242</f>
        <v>irn.mit.ener.ftr.gso.e.2</v>
      </c>
      <c r="F720" s="4" t="str">
        <f t="shared" si="51"/>
        <v>N/A</v>
      </c>
      <c r="G720" s="4" t="str">
        <f t="shared" si="52"/>
        <v>irn.mit.ener_g-f.e.gso.all.ktoe.2</v>
      </c>
      <c r="H720" s="4" t="s">
        <v>19</v>
      </c>
      <c r="I720" s="4" t="s">
        <v>158</v>
      </c>
      <c r="J720" s="4" t="s">
        <v>176</v>
      </c>
      <c r="K720" s="4" t="s">
        <v>159</v>
      </c>
      <c r="L720" s="4"/>
      <c r="M720" s="4" t="s">
        <v>29</v>
      </c>
      <c r="N720" s="4" t="str">
        <f>[1]Mitigation!$Z$75</f>
        <v>ftr</v>
      </c>
      <c r="O720" s="4"/>
      <c r="P720" s="4" t="str">
        <f t="shared" si="53"/>
        <v>ftr</v>
      </c>
      <c r="Q720" s="4" t="s">
        <v>63</v>
      </c>
      <c r="R720" s="4" t="s">
        <v>175</v>
      </c>
      <c r="S720" s="4"/>
      <c r="T720" s="4"/>
      <c r="U720" s="4"/>
      <c r="V720" s="9">
        <f>[1]Mitigation!$C$6767</f>
        <v>2</v>
      </c>
    </row>
    <row r="721" spans="4:22" x14ac:dyDescent="0.45">
      <c r="D721" s="43" t="s">
        <v>1000</v>
      </c>
      <c r="E721" s="4" t="str">
        <f>[1]Mitigation!H9243</f>
        <v>irn.mit.ener.ftr.die.e.2</v>
      </c>
      <c r="F721" s="4" t="str">
        <f t="shared" si="51"/>
        <v>N/A</v>
      </c>
      <c r="G721" s="4" t="str">
        <f t="shared" si="52"/>
        <v>irn.mit.ener_g-f.e.die.all.ktoe.2</v>
      </c>
      <c r="H721" s="4" t="s">
        <v>19</v>
      </c>
      <c r="I721" s="4" t="s">
        <v>158</v>
      </c>
      <c r="J721" s="4" t="s">
        <v>176</v>
      </c>
      <c r="K721" s="4" t="s">
        <v>159</v>
      </c>
      <c r="L721" s="4"/>
      <c r="M721" s="4" t="s">
        <v>29</v>
      </c>
      <c r="N721" s="4" t="str">
        <f>[1]Mitigation!$Z$75</f>
        <v>ftr</v>
      </c>
      <c r="O721" s="4"/>
      <c r="P721" s="4" t="str">
        <f t="shared" si="53"/>
        <v>ftr</v>
      </c>
      <c r="Q721" s="4" t="s">
        <v>64</v>
      </c>
      <c r="R721" s="4" t="s">
        <v>175</v>
      </c>
      <c r="S721" s="4"/>
      <c r="T721" s="4"/>
      <c r="U721" s="4"/>
      <c r="V721" s="9">
        <f>[1]Mitigation!$C$6767</f>
        <v>2</v>
      </c>
    </row>
    <row r="722" spans="4:22" x14ac:dyDescent="0.45">
      <c r="D722" s="43" t="s">
        <v>1001</v>
      </c>
      <c r="E722" s="4" t="str">
        <f>[1]Mitigation!H9244</f>
        <v>irn.mit.ener.ftr.lpg.e.2</v>
      </c>
      <c r="F722" s="4" t="str">
        <f t="shared" si="51"/>
        <v>N/A</v>
      </c>
      <c r="G722" s="4" t="str">
        <f t="shared" si="52"/>
        <v>irn.mit.ener_g-f.e.lpg.all.ktoe.2</v>
      </c>
      <c r="H722" s="4" t="s">
        <v>19</v>
      </c>
      <c r="I722" s="4" t="s">
        <v>158</v>
      </c>
      <c r="J722" s="4" t="s">
        <v>176</v>
      </c>
      <c r="K722" s="4" t="s">
        <v>159</v>
      </c>
      <c r="L722" s="4"/>
      <c r="M722" s="4" t="s">
        <v>29</v>
      </c>
      <c r="N722" s="4" t="str">
        <f>[1]Mitigation!$Z$75</f>
        <v>ftr</v>
      </c>
      <c r="O722" s="4"/>
      <c r="P722" s="4" t="str">
        <f t="shared" si="53"/>
        <v>ftr</v>
      </c>
      <c r="Q722" s="4" t="s">
        <v>65</v>
      </c>
      <c r="R722" s="4" t="s">
        <v>175</v>
      </c>
      <c r="S722" s="4"/>
      <c r="T722" s="4"/>
      <c r="U722" s="4"/>
      <c r="V722" s="9">
        <f>[1]Mitigation!$C$6767</f>
        <v>2</v>
      </c>
    </row>
    <row r="723" spans="4:22" x14ac:dyDescent="0.45">
      <c r="D723" s="43" t="s">
        <v>1002</v>
      </c>
      <c r="E723" s="4" t="str">
        <f>[1]Mitigation!H9245</f>
        <v>irn.mit.ener.ftr.ker.e.2</v>
      </c>
      <c r="F723" s="4" t="str">
        <f t="shared" si="51"/>
        <v>N/A</v>
      </c>
      <c r="G723" s="4" t="str">
        <f t="shared" si="52"/>
        <v>irn.mit.ener_g-f.e.ker.all.ktoe.2</v>
      </c>
      <c r="H723" s="4" t="s">
        <v>19</v>
      </c>
      <c r="I723" s="4" t="s">
        <v>158</v>
      </c>
      <c r="J723" s="4" t="s">
        <v>176</v>
      </c>
      <c r="K723" s="4" t="s">
        <v>159</v>
      </c>
      <c r="L723" s="4"/>
      <c r="M723" s="4" t="s">
        <v>29</v>
      </c>
      <c r="N723" s="4" t="str">
        <f>[1]Mitigation!$Z$75</f>
        <v>ftr</v>
      </c>
      <c r="O723" s="4"/>
      <c r="P723" s="4" t="str">
        <f t="shared" si="53"/>
        <v>ftr</v>
      </c>
      <c r="Q723" s="4" t="s">
        <v>66</v>
      </c>
      <c r="R723" s="4" t="s">
        <v>175</v>
      </c>
      <c r="S723" s="4"/>
      <c r="T723" s="4"/>
      <c r="U723" s="4"/>
      <c r="V723" s="9">
        <f>[1]Mitigation!$C$6767</f>
        <v>2</v>
      </c>
    </row>
    <row r="724" spans="4:22" x14ac:dyDescent="0.45">
      <c r="D724" s="43" t="s">
        <v>1003</v>
      </c>
      <c r="E724" s="4" t="str">
        <f>[1]Mitigation!H9246</f>
        <v>irn.mit.ener.ftr.oop.e.2</v>
      </c>
      <c r="F724" s="4" t="str">
        <f t="shared" si="51"/>
        <v>N/A</v>
      </c>
      <c r="G724" s="4" t="str">
        <f t="shared" si="52"/>
        <v>irn.mit.ener_g-f.e.oop.all.ktoe.2</v>
      </c>
      <c r="H724" s="4" t="s">
        <v>19</v>
      </c>
      <c r="I724" s="4" t="s">
        <v>158</v>
      </c>
      <c r="J724" s="4" t="s">
        <v>176</v>
      </c>
      <c r="K724" s="4" t="s">
        <v>159</v>
      </c>
      <c r="L724" s="4"/>
      <c r="M724" s="4" t="s">
        <v>29</v>
      </c>
      <c r="N724" s="4" t="str">
        <f>[1]Mitigation!$Z$75</f>
        <v>ftr</v>
      </c>
      <c r="O724" s="4"/>
      <c r="P724" s="4" t="str">
        <f t="shared" si="53"/>
        <v>ftr</v>
      </c>
      <c r="Q724" s="4" t="s">
        <v>113</v>
      </c>
      <c r="R724" s="4" t="s">
        <v>175</v>
      </c>
      <c r="S724" s="4"/>
      <c r="T724" s="4"/>
      <c r="U724" s="4"/>
      <c r="V724" s="9">
        <f>[1]Mitigation!$C$6767</f>
        <v>2</v>
      </c>
    </row>
    <row r="725" spans="4:22" x14ac:dyDescent="0.45">
      <c r="D725" s="43" t="s">
        <v>1004</v>
      </c>
      <c r="E725" s="4" t="str">
        <f>[1]Mitigation!H9247</f>
        <v>irn.mit.ener.ftr.bio.e.2</v>
      </c>
      <c r="F725" s="4" t="str">
        <f t="shared" si="51"/>
        <v>N/A</v>
      </c>
      <c r="G725" s="4" t="str">
        <f t="shared" si="52"/>
        <v>irn.mit.ener_g-f.e.bio.all.ktoe.2</v>
      </c>
      <c r="H725" s="4" t="s">
        <v>19</v>
      </c>
      <c r="I725" s="4" t="s">
        <v>158</v>
      </c>
      <c r="J725" s="4" t="s">
        <v>176</v>
      </c>
      <c r="K725" s="4" t="s">
        <v>159</v>
      </c>
      <c r="L725" s="4"/>
      <c r="M725" s="4" t="s">
        <v>29</v>
      </c>
      <c r="N725" s="4" t="str">
        <f>[1]Mitigation!$Z$75</f>
        <v>ftr</v>
      </c>
      <c r="O725" s="4"/>
      <c r="P725" s="4" t="str">
        <f t="shared" si="53"/>
        <v>ftr</v>
      </c>
      <c r="Q725" s="4" t="s">
        <v>162</v>
      </c>
      <c r="R725" s="4" t="s">
        <v>175</v>
      </c>
      <c r="S725" s="4"/>
      <c r="T725" s="4"/>
      <c r="U725" s="4"/>
      <c r="V725" s="9">
        <f>[1]Mitigation!$C$6767</f>
        <v>2</v>
      </c>
    </row>
    <row r="726" spans="4:22" x14ac:dyDescent="0.45">
      <c r="D726" s="43" t="s">
        <v>1005</v>
      </c>
      <c r="E726" s="4" t="str">
        <f>[1]Mitigation!H9248</f>
        <v>irn.mit.ener.ftr.ren.e.2</v>
      </c>
      <c r="F726" s="4" t="str">
        <f t="shared" si="51"/>
        <v>N/A</v>
      </c>
      <c r="G726" s="4" t="str">
        <f t="shared" si="52"/>
        <v>irn.mit.ener_g-f.e.ren.all.ktoe.2</v>
      </c>
      <c r="H726" s="4" t="s">
        <v>19</v>
      </c>
      <c r="I726" s="4" t="s">
        <v>158</v>
      </c>
      <c r="J726" s="4" t="s">
        <v>176</v>
      </c>
      <c r="K726" s="4" t="s">
        <v>159</v>
      </c>
      <c r="L726" s="4"/>
      <c r="M726" s="4" t="s">
        <v>29</v>
      </c>
      <c r="N726" s="4" t="str">
        <f>[1]Mitigation!$Z$75</f>
        <v>ftr</v>
      </c>
      <c r="O726" s="4"/>
      <c r="P726" s="4" t="str">
        <f t="shared" si="53"/>
        <v>ftr</v>
      </c>
      <c r="Q726" s="4" t="s">
        <v>174</v>
      </c>
      <c r="R726" s="4" t="s">
        <v>175</v>
      </c>
      <c r="S726" s="4"/>
      <c r="T726" s="4"/>
      <c r="U726" s="4"/>
      <c r="V726" s="9">
        <f>[1]Mitigation!$C$6767</f>
        <v>2</v>
      </c>
    </row>
    <row r="727" spans="4:22" x14ac:dyDescent="0.45">
      <c r="D727" s="40" t="s">
        <v>1006</v>
      </c>
      <c r="E727" s="4" t="str">
        <f>[1]Mitigation!H8234</f>
        <v>irn.mit.ener.tot.ecy.t.2</v>
      </c>
      <c r="F727" s="4" t="str">
        <f t="shared" si="51"/>
        <v>N/A</v>
      </c>
      <c r="G727" s="4" t="str">
        <f t="shared" si="52"/>
        <v>irn.mit.ener_s.t.ecy.tecy.ktoe.2</v>
      </c>
      <c r="H727" s="4" t="s">
        <v>19</v>
      </c>
      <c r="I727" s="4" t="s">
        <v>158</v>
      </c>
      <c r="J727" s="4" t="s">
        <v>67</v>
      </c>
      <c r="K727" s="4" t="s">
        <v>159</v>
      </c>
      <c r="L727" s="4"/>
      <c r="M727" s="4" t="s">
        <v>181</v>
      </c>
      <c r="N727" s="4" t="s">
        <v>37</v>
      </c>
      <c r="O727" s="4"/>
      <c r="P727" s="4" t="str">
        <f t="shared" si="53"/>
        <v>tot</v>
      </c>
      <c r="Q727" s="4" t="s">
        <v>101</v>
      </c>
      <c r="R727" s="4" t="s">
        <v>69</v>
      </c>
      <c r="S727" s="4" t="s">
        <v>101</v>
      </c>
      <c r="T727" s="4"/>
      <c r="U727" s="4" t="str">
        <f>R727&amp;T727&amp;S727</f>
        <v>tecy</v>
      </c>
      <c r="V727" s="9">
        <f>[1]Mitigation!$C$6767</f>
        <v>2</v>
      </c>
    </row>
    <row r="728" spans="4:22" x14ac:dyDescent="0.45">
      <c r="D728" s="43" t="s">
        <v>1007</v>
      </c>
      <c r="E728" s="4" t="str">
        <f>[1]Mitigation!H8218</f>
        <v>irn.mit.ener.rod.ecy.t.2</v>
      </c>
      <c r="F728" s="4" t="str">
        <f t="shared" si="51"/>
        <v>N/A</v>
      </c>
      <c r="G728" s="4" t="str">
        <f t="shared" si="52"/>
        <v>irn.mit.ener_g-f.t.ecy.all.ktoe.2</v>
      </c>
      <c r="H728" s="4" t="s">
        <v>19</v>
      </c>
      <c r="I728" s="4" t="s">
        <v>158</v>
      </c>
      <c r="J728" s="4" t="s">
        <v>176</v>
      </c>
      <c r="K728" s="4" t="s">
        <v>159</v>
      </c>
      <c r="L728" s="4"/>
      <c r="M728" s="4" t="s">
        <v>181</v>
      </c>
      <c r="N728" s="4" t="s">
        <v>177</v>
      </c>
      <c r="O728" s="4"/>
      <c r="P728" s="4" t="str">
        <f t="shared" si="53"/>
        <v>rod</v>
      </c>
      <c r="Q728" s="4" t="s">
        <v>101</v>
      </c>
      <c r="R728" s="4" t="s">
        <v>69</v>
      </c>
      <c r="S728" s="4" t="s">
        <v>101</v>
      </c>
      <c r="T728" s="4"/>
      <c r="U728" s="4"/>
      <c r="V728" s="9">
        <f>[1]Mitigation!$C$6767</f>
        <v>2</v>
      </c>
    </row>
    <row r="729" spans="4:22" x14ac:dyDescent="0.45">
      <c r="D729" s="43" t="s">
        <v>1008</v>
      </c>
      <c r="E729" s="4" t="str">
        <f>[1]Mitigation!H8219</f>
        <v>irn.mit.ener.ral.ecy.t.2</v>
      </c>
      <c r="F729" s="4" t="str">
        <f t="shared" ref="F729:F754" si="54">IF(MTAct,E729&amp;"_"&amp;MSTScenarioID,"N/A")</f>
        <v>N/A</v>
      </c>
      <c r="G729" s="4" t="str">
        <f t="shared" si="52"/>
        <v>irn.mit.ener_g-f.t.ecy.all.ktoe.2</v>
      </c>
      <c r="H729" s="4" t="s">
        <v>19</v>
      </c>
      <c r="I729" s="4" t="s">
        <v>158</v>
      </c>
      <c r="J729" s="4" t="s">
        <v>176</v>
      </c>
      <c r="K729" s="4" t="s">
        <v>159</v>
      </c>
      <c r="L729" s="4"/>
      <c r="M729" s="4" t="s">
        <v>181</v>
      </c>
      <c r="N729" s="4" t="s">
        <v>178</v>
      </c>
      <c r="O729" s="4"/>
      <c r="P729" s="4" t="str">
        <f t="shared" si="53"/>
        <v>ral</v>
      </c>
      <c r="Q729" s="4" t="s">
        <v>101</v>
      </c>
      <c r="R729" s="4" t="s">
        <v>69</v>
      </c>
      <c r="S729" s="4" t="s">
        <v>101</v>
      </c>
      <c r="T729" s="4"/>
      <c r="U729" s="4"/>
      <c r="V729" s="9">
        <f>[1]Mitigation!$C$6767</f>
        <v>2</v>
      </c>
    </row>
    <row r="730" spans="4:22" x14ac:dyDescent="0.45">
      <c r="D730" s="43" t="s">
        <v>1009</v>
      </c>
      <c r="E730" s="4" t="str">
        <f>[1]Mitigation!H8220</f>
        <v>irn.mit.ener.avi.ecy.t.2</v>
      </c>
      <c r="F730" s="4" t="str">
        <f t="shared" si="54"/>
        <v>N/A</v>
      </c>
      <c r="G730" s="4" t="str">
        <f t="shared" si="52"/>
        <v>irn.mit.ener_g-f.t.ecy.all.ktoe.2</v>
      </c>
      <c r="H730" s="4" t="s">
        <v>19</v>
      </c>
      <c r="I730" s="4" t="s">
        <v>158</v>
      </c>
      <c r="J730" s="4" t="s">
        <v>176</v>
      </c>
      <c r="K730" s="4" t="s">
        <v>159</v>
      </c>
      <c r="L730" s="4"/>
      <c r="M730" s="4" t="s">
        <v>181</v>
      </c>
      <c r="N730" s="4" t="s">
        <v>182</v>
      </c>
      <c r="O730" s="4"/>
      <c r="P730" s="4" t="str">
        <f t="shared" si="53"/>
        <v>avi</v>
      </c>
      <c r="Q730" s="4" t="s">
        <v>101</v>
      </c>
      <c r="R730" s="4" t="s">
        <v>69</v>
      </c>
      <c r="S730" s="4" t="s">
        <v>101</v>
      </c>
      <c r="T730" s="4"/>
      <c r="U730" s="4"/>
      <c r="V730" s="9">
        <f>[1]Mitigation!$C$6767</f>
        <v>2</v>
      </c>
    </row>
    <row r="731" spans="4:22" x14ac:dyDescent="0.45">
      <c r="D731" s="43" t="s">
        <v>1010</v>
      </c>
      <c r="E731" s="4" t="str">
        <f>[1]Mitigation!H8221</f>
        <v>irn.mit.ener.nav.ecy.t.2</v>
      </c>
      <c r="F731" s="4" t="str">
        <f t="shared" si="54"/>
        <v>N/A</v>
      </c>
      <c r="G731" s="4" t="str">
        <f t="shared" si="52"/>
        <v>irn.mit.ener_g-f.t.ecy.all.ktoe.2</v>
      </c>
      <c r="H731" s="4" t="s">
        <v>19</v>
      </c>
      <c r="I731" s="4" t="s">
        <v>158</v>
      </c>
      <c r="J731" s="4" t="s">
        <v>176</v>
      </c>
      <c r="K731" s="4" t="s">
        <v>159</v>
      </c>
      <c r="L731" s="4"/>
      <c r="M731" s="4" t="s">
        <v>181</v>
      </c>
      <c r="N731" s="4" t="s">
        <v>179</v>
      </c>
      <c r="O731" s="4"/>
      <c r="P731" s="4" t="str">
        <f t="shared" si="53"/>
        <v>nav</v>
      </c>
      <c r="Q731" s="4" t="s">
        <v>101</v>
      </c>
      <c r="R731" s="4" t="s">
        <v>69</v>
      </c>
      <c r="S731" s="4" t="s">
        <v>101</v>
      </c>
      <c r="T731" s="4"/>
      <c r="U731" s="4"/>
      <c r="V731" s="9">
        <f>[1]Mitigation!$C$6767</f>
        <v>2</v>
      </c>
    </row>
    <row r="732" spans="4:22" x14ac:dyDescent="0.45">
      <c r="D732" s="43" t="s">
        <v>1011</v>
      </c>
      <c r="E732" s="4" t="str">
        <f>[1]Mitigation!H8222</f>
        <v>irn.mit.ener.res.ecy.t.2</v>
      </c>
      <c r="F732" s="4" t="str">
        <f t="shared" si="54"/>
        <v>N/A</v>
      </c>
      <c r="G732" s="4" t="str">
        <f t="shared" ref="G732:G828" si="55">IF(D732="","",LOWER(_Country_code)&amp;"."&amp;H732&amp;"."&amp;IF(I732="","all",I732)&amp;"_"&amp;J732&amp;"."&amp;IF(R732="","all",R732)&amp;"."&amp;IF(Q732="","all",Q732)&amp;"."&amp;IF(U732="","all",U732)&amp;"."&amp;IF(K732="","all",K732)&amp;"."&amp;IF(V732="","all",V732))</f>
        <v>irn.mit.ener_g-f.t.ecy.all.ktoe.2</v>
      </c>
      <c r="H732" s="4" t="s">
        <v>19</v>
      </c>
      <c r="I732" s="4" t="s">
        <v>158</v>
      </c>
      <c r="J732" s="4" t="s">
        <v>176</v>
      </c>
      <c r="K732" s="4" t="s">
        <v>159</v>
      </c>
      <c r="L732" s="4"/>
      <c r="M732" s="4" t="s">
        <v>181</v>
      </c>
      <c r="N732" s="4" t="s">
        <v>28</v>
      </c>
      <c r="O732" s="4"/>
      <c r="P732" s="4" t="str">
        <f t="shared" si="53"/>
        <v>res</v>
      </c>
      <c r="Q732" s="4" t="s">
        <v>101</v>
      </c>
      <c r="R732" s="4" t="s">
        <v>69</v>
      </c>
      <c r="S732" s="4" t="s">
        <v>101</v>
      </c>
      <c r="T732" s="4"/>
      <c r="U732" s="4"/>
      <c r="V732" s="9">
        <f>[1]Mitigation!$C$6767</f>
        <v>2</v>
      </c>
    </row>
    <row r="733" spans="4:22" x14ac:dyDescent="0.45">
      <c r="D733" s="43" t="s">
        <v>1012</v>
      </c>
      <c r="E733" s="4" t="str">
        <f>[1]Mitigation!H8223</f>
        <v>irn.mit.ener.foo.ecy.t.2</v>
      </c>
      <c r="F733" s="4" t="str">
        <f t="shared" si="54"/>
        <v>N/A</v>
      </c>
      <c r="G733" s="4" t="str">
        <f t="shared" si="55"/>
        <v>irn.mit.ener_g-f.t.ecy.all.ktoe.2</v>
      </c>
      <c r="H733" s="4" t="s">
        <v>19</v>
      </c>
      <c r="I733" s="4" t="s">
        <v>158</v>
      </c>
      <c r="J733" s="4" t="s">
        <v>176</v>
      </c>
      <c r="K733" s="4" t="s">
        <v>159</v>
      </c>
      <c r="L733" s="4"/>
      <c r="M733" s="4" t="s">
        <v>181</v>
      </c>
      <c r="N733" s="4" t="s">
        <v>183</v>
      </c>
      <c r="O733" s="4"/>
      <c r="P733" s="4" t="str">
        <f t="shared" si="53"/>
        <v>foo</v>
      </c>
      <c r="Q733" s="4" t="s">
        <v>101</v>
      </c>
      <c r="R733" s="4" t="s">
        <v>69</v>
      </c>
      <c r="S733" s="4" t="s">
        <v>101</v>
      </c>
      <c r="T733" s="4"/>
      <c r="U733" s="4"/>
      <c r="V733" s="9">
        <f>[1]Mitigation!$C$6767</f>
        <v>2</v>
      </c>
    </row>
    <row r="734" spans="4:22" x14ac:dyDescent="0.45">
      <c r="D734" s="43" t="s">
        <v>1013</v>
      </c>
      <c r="E734" s="4" t="str">
        <f>[1]Mitigation!H8224</f>
        <v>irn.mit.ener.srv.ecy.t.2</v>
      </c>
      <c r="F734" s="4" t="str">
        <f t="shared" si="54"/>
        <v>N/A</v>
      </c>
      <c r="G734" s="4" t="str">
        <f t="shared" si="55"/>
        <v>irn.mit.ener_g-f.t.ecy.all.ktoe.2</v>
      </c>
      <c r="H734" s="4" t="s">
        <v>19</v>
      </c>
      <c r="I734" s="4" t="s">
        <v>158</v>
      </c>
      <c r="J734" s="4" t="s">
        <v>176</v>
      </c>
      <c r="K734" s="4" t="s">
        <v>159</v>
      </c>
      <c r="L734" s="4"/>
      <c r="M734" s="4" t="s">
        <v>181</v>
      </c>
      <c r="N734" s="4" t="s">
        <v>184</v>
      </c>
      <c r="O734" s="4"/>
      <c r="P734" s="4" t="str">
        <f t="shared" si="53"/>
        <v>srv</v>
      </c>
      <c r="Q734" s="4" t="s">
        <v>101</v>
      </c>
      <c r="R734" s="4" t="s">
        <v>69</v>
      </c>
      <c r="S734" s="4" t="s">
        <v>101</v>
      </c>
      <c r="T734" s="4"/>
      <c r="U734" s="4"/>
      <c r="V734" s="9">
        <f>[1]Mitigation!$C$6767</f>
        <v>2</v>
      </c>
    </row>
    <row r="735" spans="4:22" x14ac:dyDescent="0.45">
      <c r="D735" s="43" t="s">
        <v>1014</v>
      </c>
      <c r="E735" s="4" t="str">
        <f>[1]Mitigation!H8225</f>
        <v>irn.mit.ener.mch.ecy.t.2</v>
      </c>
      <c r="F735" s="4" t="str">
        <f t="shared" si="54"/>
        <v>N/A</v>
      </c>
      <c r="G735" s="4" t="str">
        <f t="shared" si="55"/>
        <v>irn.mit.ener_g-f.t.ecy.all.ktoe.2</v>
      </c>
      <c r="H735" s="4" t="s">
        <v>19</v>
      </c>
      <c r="I735" s="4" t="s">
        <v>158</v>
      </c>
      <c r="J735" s="4" t="s">
        <v>176</v>
      </c>
      <c r="K735" s="4" t="s">
        <v>159</v>
      </c>
      <c r="L735" s="4"/>
      <c r="M735" s="4" t="s">
        <v>181</v>
      </c>
      <c r="N735" s="4" t="s">
        <v>185</v>
      </c>
      <c r="O735" s="4"/>
      <c r="P735" s="4" t="str">
        <f t="shared" si="53"/>
        <v>mch</v>
      </c>
      <c r="Q735" s="4" t="s">
        <v>101</v>
      </c>
      <c r="R735" s="4" t="s">
        <v>69</v>
      </c>
      <c r="S735" s="4" t="s">
        <v>101</v>
      </c>
      <c r="T735" s="4"/>
      <c r="U735" s="4"/>
      <c r="V735" s="9">
        <f>[1]Mitigation!$C$6767</f>
        <v>2</v>
      </c>
    </row>
    <row r="736" spans="4:22" x14ac:dyDescent="0.45">
      <c r="D736" s="43" t="s">
        <v>1015</v>
      </c>
      <c r="E736" s="4" t="str">
        <f>[1]Mitigation!H8226</f>
        <v>irn.mit.ener.irn.ecy.t.2</v>
      </c>
      <c r="F736" s="4" t="str">
        <f t="shared" si="54"/>
        <v>N/A</v>
      </c>
      <c r="G736" s="4" t="str">
        <f t="shared" si="55"/>
        <v>irn.mit.ener_g-f.t.ecy.all.ktoe.2</v>
      </c>
      <c r="H736" s="4" t="s">
        <v>19</v>
      </c>
      <c r="I736" s="4" t="s">
        <v>158</v>
      </c>
      <c r="J736" s="4" t="s">
        <v>176</v>
      </c>
      <c r="K736" s="4" t="s">
        <v>159</v>
      </c>
      <c r="L736" s="4"/>
      <c r="M736" s="4" t="s">
        <v>181</v>
      </c>
      <c r="N736" s="4" t="s">
        <v>186</v>
      </c>
      <c r="O736" s="4"/>
      <c r="P736" s="4" t="str">
        <f t="shared" si="53"/>
        <v>irn</v>
      </c>
      <c r="Q736" s="4" t="s">
        <v>101</v>
      </c>
      <c r="R736" s="4" t="s">
        <v>69</v>
      </c>
      <c r="S736" s="4" t="s">
        <v>101</v>
      </c>
      <c r="T736" s="4"/>
      <c r="U736" s="4"/>
      <c r="V736" s="9">
        <f>[1]Mitigation!$C$6767</f>
        <v>2</v>
      </c>
    </row>
    <row r="737" spans="4:22" x14ac:dyDescent="0.45">
      <c r="D737" s="43" t="s">
        <v>1016</v>
      </c>
      <c r="E737" s="4" t="str">
        <f>[1]Mitigation!H8227</f>
        <v>irn.mit.ener.nfm.ecy.t.2</v>
      </c>
      <c r="F737" s="4" t="str">
        <f t="shared" si="54"/>
        <v>N/A</v>
      </c>
      <c r="G737" s="4" t="str">
        <f t="shared" si="55"/>
        <v>irn.mit.ener_g-f.t.ecy.all.ktoe.2</v>
      </c>
      <c r="H737" s="4" t="s">
        <v>19</v>
      </c>
      <c r="I737" s="4" t="s">
        <v>158</v>
      </c>
      <c r="J737" s="4" t="s">
        <v>176</v>
      </c>
      <c r="K737" s="4" t="s">
        <v>159</v>
      </c>
      <c r="L737" s="4"/>
      <c r="M737" s="4" t="s">
        <v>181</v>
      </c>
      <c r="N737" s="4" t="s">
        <v>187</v>
      </c>
      <c r="O737" s="4"/>
      <c r="P737" s="4" t="str">
        <f t="shared" si="53"/>
        <v>nfm</v>
      </c>
      <c r="Q737" s="4" t="s">
        <v>101</v>
      </c>
      <c r="R737" s="4" t="s">
        <v>69</v>
      </c>
      <c r="S737" s="4" t="s">
        <v>101</v>
      </c>
      <c r="T737" s="4"/>
      <c r="U737" s="4"/>
      <c r="V737" s="9">
        <f>[1]Mitigation!$C$6767</f>
        <v>2</v>
      </c>
    </row>
    <row r="738" spans="4:22" x14ac:dyDescent="0.45">
      <c r="D738" s="43" t="s">
        <v>1017</v>
      </c>
      <c r="E738" s="4" t="str">
        <f>[1]Mitigation!H8228</f>
        <v>irn.mit.ener.mac.ecy.t.2</v>
      </c>
      <c r="F738" s="4" t="str">
        <f t="shared" si="54"/>
        <v>N/A</v>
      </c>
      <c r="G738" s="4" t="str">
        <f t="shared" si="55"/>
        <v>irn.mit.ener_g-f.t.ecy.all.ktoe.2</v>
      </c>
      <c r="H738" s="4" t="s">
        <v>19</v>
      </c>
      <c r="I738" s="4" t="s">
        <v>158</v>
      </c>
      <c r="J738" s="4" t="s">
        <v>176</v>
      </c>
      <c r="K738" s="4" t="s">
        <v>159</v>
      </c>
      <c r="L738" s="4"/>
      <c r="M738" s="4" t="s">
        <v>181</v>
      </c>
      <c r="N738" s="4" t="s">
        <v>188</v>
      </c>
      <c r="O738" s="4"/>
      <c r="P738" s="4" t="str">
        <f t="shared" si="53"/>
        <v>mac</v>
      </c>
      <c r="Q738" s="4" t="s">
        <v>101</v>
      </c>
      <c r="R738" s="4" t="s">
        <v>69</v>
      </c>
      <c r="S738" s="4" t="s">
        <v>101</v>
      </c>
      <c r="T738" s="4"/>
      <c r="U738" s="4"/>
      <c r="V738" s="9">
        <f>[1]Mitigation!$C$6767</f>
        <v>2</v>
      </c>
    </row>
    <row r="739" spans="4:22" x14ac:dyDescent="0.45">
      <c r="D739" s="43" t="s">
        <v>1018</v>
      </c>
      <c r="E739" s="4" t="str">
        <f>[1]Mitigation!H8229</f>
        <v>irn.mit.ener.cem.ecy.t.2</v>
      </c>
      <c r="F739" s="4" t="str">
        <f t="shared" si="54"/>
        <v>N/A</v>
      </c>
      <c r="G739" s="4" t="str">
        <f t="shared" si="55"/>
        <v>irn.mit.ener_g-f.t.ecy.all.ktoe.2</v>
      </c>
      <c r="H739" s="4" t="s">
        <v>19</v>
      </c>
      <c r="I739" s="4" t="s">
        <v>158</v>
      </c>
      <c r="J739" s="4" t="s">
        <v>176</v>
      </c>
      <c r="K739" s="4" t="s">
        <v>159</v>
      </c>
      <c r="L739" s="4"/>
      <c r="M739" s="4" t="s">
        <v>181</v>
      </c>
      <c r="N739" s="4" t="s">
        <v>189</v>
      </c>
      <c r="O739" s="4"/>
      <c r="P739" s="4" t="str">
        <f t="shared" si="53"/>
        <v>cem</v>
      </c>
      <c r="Q739" s="4" t="s">
        <v>101</v>
      </c>
      <c r="R739" s="4" t="s">
        <v>69</v>
      </c>
      <c r="S739" s="4" t="s">
        <v>101</v>
      </c>
      <c r="T739" s="4"/>
      <c r="U739" s="4"/>
      <c r="V739" s="9">
        <f>[1]Mitigation!$C$6767</f>
        <v>2</v>
      </c>
    </row>
    <row r="740" spans="4:22" x14ac:dyDescent="0.45">
      <c r="D740" s="43" t="s">
        <v>1019</v>
      </c>
      <c r="E740" s="4" t="str">
        <f>[1]Mitigation!H8230</f>
        <v>irn.mit.ener.omn.ecy.t.2</v>
      </c>
      <c r="F740" s="4" t="str">
        <f t="shared" si="54"/>
        <v>N/A</v>
      </c>
      <c r="G740" s="4" t="str">
        <f t="shared" si="55"/>
        <v>irn.mit.ener_g-f.t.ecy.all.ktoe.2</v>
      </c>
      <c r="H740" s="4" t="s">
        <v>19</v>
      </c>
      <c r="I740" s="4" t="s">
        <v>158</v>
      </c>
      <c r="J740" s="4" t="s">
        <v>176</v>
      </c>
      <c r="K740" s="4" t="s">
        <v>159</v>
      </c>
      <c r="L740" s="4"/>
      <c r="M740" s="4" t="s">
        <v>181</v>
      </c>
      <c r="N740" s="4" t="s">
        <v>190</v>
      </c>
      <c r="O740" s="4"/>
      <c r="P740" s="4" t="str">
        <f t="shared" si="53"/>
        <v>omn</v>
      </c>
      <c r="Q740" s="4" t="s">
        <v>101</v>
      </c>
      <c r="R740" s="4" t="s">
        <v>69</v>
      </c>
      <c r="S740" s="4" t="s">
        <v>101</v>
      </c>
      <c r="T740" s="4"/>
      <c r="U740" s="4"/>
      <c r="V740" s="9">
        <f>[1]Mitigation!$C$6767</f>
        <v>2</v>
      </c>
    </row>
    <row r="741" spans="4:22" x14ac:dyDescent="0.45">
      <c r="D741" s="43" t="s">
        <v>1020</v>
      </c>
      <c r="E741" s="4" t="str">
        <f>[1]Mitigation!H8231</f>
        <v>irn.mit.ener.cst.ecy.t.2</v>
      </c>
      <c r="F741" s="4" t="str">
        <f t="shared" si="54"/>
        <v>N/A</v>
      </c>
      <c r="G741" s="4" t="str">
        <f t="shared" si="55"/>
        <v>irn.mit.ener_g-f.t.ecy.all.ktoe.2</v>
      </c>
      <c r="H741" s="4" t="s">
        <v>19</v>
      </c>
      <c r="I741" s="4" t="s">
        <v>158</v>
      </c>
      <c r="J741" s="4" t="s">
        <v>176</v>
      </c>
      <c r="K741" s="4" t="s">
        <v>159</v>
      </c>
      <c r="L741" s="4"/>
      <c r="M741" s="4" t="s">
        <v>181</v>
      </c>
      <c r="N741" s="4" t="s">
        <v>191</v>
      </c>
      <c r="O741" s="4"/>
      <c r="P741" s="4" t="str">
        <f t="shared" si="53"/>
        <v>cst</v>
      </c>
      <c r="Q741" s="4" t="s">
        <v>101</v>
      </c>
      <c r="R741" s="4" t="s">
        <v>69</v>
      </c>
      <c r="S741" s="4" t="s">
        <v>101</v>
      </c>
      <c r="T741" s="4"/>
      <c r="U741" s="4"/>
      <c r="V741" s="9">
        <f>[1]Mitigation!$C$6767</f>
        <v>2</v>
      </c>
    </row>
    <row r="742" spans="4:22" x14ac:dyDescent="0.45">
      <c r="D742" s="43" t="s">
        <v>1021</v>
      </c>
      <c r="E742" s="4" t="str">
        <f>[1]Mitigation!H8248</f>
        <v>irn.mit.ener.ftr.ecy.t.2</v>
      </c>
      <c r="F742" s="4" t="str">
        <f t="shared" si="54"/>
        <v>N/A</v>
      </c>
      <c r="G742" s="4" t="str">
        <f t="shared" si="55"/>
        <v>irn.mit.ener_g-f.t.ecy.all.ktoe.2</v>
      </c>
      <c r="H742" s="4" t="s">
        <v>19</v>
      </c>
      <c r="I742" s="4" t="s">
        <v>158</v>
      </c>
      <c r="J742" s="4" t="s">
        <v>176</v>
      </c>
      <c r="K742" s="4" t="s">
        <v>159</v>
      </c>
      <c r="L742" s="4"/>
      <c r="M742" s="4" t="s">
        <v>181</v>
      </c>
      <c r="N742" s="4" t="s">
        <v>192</v>
      </c>
      <c r="O742" s="4"/>
      <c r="P742" s="4" t="str">
        <f t="shared" si="53"/>
        <v>ftr</v>
      </c>
      <c r="Q742" s="4" t="s">
        <v>101</v>
      </c>
      <c r="R742" s="4" t="s">
        <v>69</v>
      </c>
      <c r="S742" s="4" t="s">
        <v>101</v>
      </c>
      <c r="T742" s="4"/>
      <c r="U742" s="4"/>
      <c r="V742" s="9">
        <f>[1]Mitigation!$C$6767</f>
        <v>2</v>
      </c>
    </row>
    <row r="743" spans="4:22" x14ac:dyDescent="0.45">
      <c r="D743" s="43" t="s">
        <v>1022</v>
      </c>
      <c r="E743" s="4" t="str">
        <f>[1]Mitigation!H8232</f>
        <v>irn.mit.ener.oen.ecy.t.2</v>
      </c>
      <c r="F743" s="4" t="str">
        <f t="shared" si="54"/>
        <v>N/A</v>
      </c>
      <c r="G743" s="4" t="str">
        <f t="shared" si="55"/>
        <v>irn.mit.ener_g-f.t.ecy.all.ktoe.2</v>
      </c>
      <c r="H743" s="4" t="s">
        <v>19</v>
      </c>
      <c r="I743" s="4" t="s">
        <v>158</v>
      </c>
      <c r="J743" s="4" t="s">
        <v>176</v>
      </c>
      <c r="K743" s="4" t="s">
        <v>159</v>
      </c>
      <c r="L743" s="4"/>
      <c r="M743" s="4" t="s">
        <v>181</v>
      </c>
      <c r="N743" s="4" t="s">
        <v>165</v>
      </c>
      <c r="O743" s="4"/>
      <c r="P743" s="4" t="str">
        <f t="shared" si="53"/>
        <v>oen</v>
      </c>
      <c r="Q743" s="4" t="s">
        <v>101</v>
      </c>
      <c r="R743" s="4" t="s">
        <v>69</v>
      </c>
      <c r="S743" s="4" t="s">
        <v>101</v>
      </c>
      <c r="T743" s="4"/>
      <c r="U743" s="4"/>
      <c r="V743" s="9">
        <f>[1]Mitigation!$C$6767</f>
        <v>2</v>
      </c>
    </row>
    <row r="744" spans="4:22" ht="15.4" x14ac:dyDescent="0.55000000000000004">
      <c r="D744" s="46" t="s">
        <v>1023</v>
      </c>
      <c r="E744" s="4" t="str">
        <f>[1]Mitigation!H8235</f>
        <v>irn.mit.ener.nxp.ecy.t.2</v>
      </c>
      <c r="F744" s="4" t="str">
        <f t="shared" si="54"/>
        <v>N/A</v>
      </c>
      <c r="G744" s="4" t="str">
        <f t="shared" si="55"/>
        <v>irn.mit.ener_s.t.ecy.all.ktoe.2</v>
      </c>
      <c r="H744" s="4" t="s">
        <v>19</v>
      </c>
      <c r="I744" s="4" t="s">
        <v>158</v>
      </c>
      <c r="J744" s="4" t="s">
        <v>67</v>
      </c>
      <c r="K744" s="4" t="s">
        <v>159</v>
      </c>
      <c r="L744" s="4"/>
      <c r="M744" s="4" t="s">
        <v>181</v>
      </c>
      <c r="N744" s="4" t="s">
        <v>193</v>
      </c>
      <c r="O744" s="4"/>
      <c r="P744" s="4" t="str">
        <f t="shared" ref="P744:P840" si="56">L744&amp;IF(N744="",M744,N744)&amp;O744</f>
        <v>nxp</v>
      </c>
      <c r="Q744" s="4" t="s">
        <v>101</v>
      </c>
      <c r="R744" s="4" t="s">
        <v>69</v>
      </c>
      <c r="S744" s="4"/>
      <c r="T744" s="4"/>
      <c r="U744" s="4"/>
      <c r="V744" s="9">
        <f>[1]Mitigation!$C$6767</f>
        <v>2</v>
      </c>
    </row>
    <row r="745" spans="4:22" x14ac:dyDescent="0.45">
      <c r="D745" s="44" t="s">
        <v>1024</v>
      </c>
      <c r="E745" s="16" t="str">
        <f>[1]Mitigation!H8357</f>
        <v>irn.mit.ener.pow.tot.t.2</v>
      </c>
      <c r="F745" s="4" t="str">
        <f t="shared" si="54"/>
        <v>N/A</v>
      </c>
      <c r="G745" s="4" t="str">
        <f t="shared" si="55"/>
        <v>irn.mit.ener_s.t.tot.t.ktoe.2</v>
      </c>
      <c r="H745" s="4" t="s">
        <v>19</v>
      </c>
      <c r="I745" s="4" t="s">
        <v>158</v>
      </c>
      <c r="J745" s="4" t="s">
        <v>67</v>
      </c>
      <c r="K745" s="4" t="s">
        <v>159</v>
      </c>
      <c r="L745" s="4"/>
      <c r="M745" s="4" t="s">
        <v>181</v>
      </c>
      <c r="N745" s="4" t="s">
        <v>26</v>
      </c>
      <c r="O745" s="4"/>
      <c r="P745" s="4" t="str">
        <f t="shared" si="56"/>
        <v>pow</v>
      </c>
      <c r="Q745" s="4" t="s">
        <v>37</v>
      </c>
      <c r="R745" s="4" t="s">
        <v>69</v>
      </c>
      <c r="S745" s="4"/>
      <c r="T745" s="4"/>
      <c r="U745" s="4" t="str">
        <f>R745&amp;T745&amp;S745</f>
        <v>t</v>
      </c>
      <c r="V745" s="9">
        <f>[1]Mitigation!$C$6767</f>
        <v>2</v>
      </c>
    </row>
    <row r="746" spans="4:22" x14ac:dyDescent="0.45">
      <c r="D746" s="43" t="s">
        <v>1025</v>
      </c>
      <c r="E746" s="4" t="str">
        <f>[1]Mitigation!H8348</f>
        <v>irn.mit.ener.pow.coa.t.2</v>
      </c>
      <c r="F746" s="4" t="str">
        <f t="shared" si="54"/>
        <v>N/A</v>
      </c>
      <c r="G746" s="4" t="str">
        <f t="shared" si="55"/>
        <v>irn.mit.ener_g-f.t.coa.all.ktoe.2</v>
      </c>
      <c r="H746" s="4" t="s">
        <v>19</v>
      </c>
      <c r="I746" s="4" t="s">
        <v>158</v>
      </c>
      <c r="J746" s="4" t="s">
        <v>176</v>
      </c>
      <c r="K746" s="4" t="s">
        <v>159</v>
      </c>
      <c r="L746" s="4"/>
      <c r="M746" s="4" t="s">
        <v>26</v>
      </c>
      <c r="N746" s="4" t="s">
        <v>26</v>
      </c>
      <c r="O746" s="4"/>
      <c r="P746" s="4" t="str">
        <f t="shared" si="56"/>
        <v>pow</v>
      </c>
      <c r="Q746" s="4" t="s">
        <v>60</v>
      </c>
      <c r="R746" s="4" t="s">
        <v>69</v>
      </c>
      <c r="S746" s="4"/>
      <c r="T746" s="4"/>
      <c r="U746" s="4"/>
      <c r="V746" s="9">
        <f>[1]Mitigation!$C$6767</f>
        <v>2</v>
      </c>
    </row>
    <row r="747" spans="4:22" x14ac:dyDescent="0.45">
      <c r="D747" s="43" t="s">
        <v>1026</v>
      </c>
      <c r="E747" s="4" t="str">
        <f>[1]Mitigation!H8349</f>
        <v>irn.mit.ener.pow.nga.t.2</v>
      </c>
      <c r="F747" s="4" t="str">
        <f t="shared" si="54"/>
        <v>N/A</v>
      </c>
      <c r="G747" s="4" t="str">
        <f t="shared" si="55"/>
        <v>irn.mit.ener_g-f.t.nga.all.ktoe.2</v>
      </c>
      <c r="H747" s="4" t="s">
        <v>19</v>
      </c>
      <c r="I747" s="4" t="s">
        <v>158</v>
      </c>
      <c r="J747" s="4" t="s">
        <v>176</v>
      </c>
      <c r="K747" s="4" t="s">
        <v>159</v>
      </c>
      <c r="L747" s="4"/>
      <c r="M747" s="4" t="s">
        <v>26</v>
      </c>
      <c r="N747" s="4" t="s">
        <v>26</v>
      </c>
      <c r="O747" s="4"/>
      <c r="P747" s="4" t="str">
        <f t="shared" si="56"/>
        <v>pow</v>
      </c>
      <c r="Q747" s="4" t="s">
        <v>61</v>
      </c>
      <c r="R747" s="4" t="s">
        <v>69</v>
      </c>
      <c r="S747" s="4"/>
      <c r="T747" s="4"/>
      <c r="U747" s="4"/>
      <c r="V747" s="9">
        <f>[1]Mitigation!$C$6767</f>
        <v>2</v>
      </c>
    </row>
    <row r="748" spans="4:22" x14ac:dyDescent="0.45">
      <c r="D748" s="43" t="s">
        <v>1027</v>
      </c>
      <c r="E748" s="4" t="str">
        <f>[1]Mitigation!H8350</f>
        <v>irn.mit.ener.pow.oop.t.2</v>
      </c>
      <c r="F748" s="4" t="str">
        <f t="shared" si="54"/>
        <v>N/A</v>
      </c>
      <c r="G748" s="4" t="str">
        <f t="shared" si="55"/>
        <v>irn.mit.ener_g-f.t.oop.all.ktoe.2</v>
      </c>
      <c r="H748" s="4" t="s">
        <v>19</v>
      </c>
      <c r="I748" s="4" t="s">
        <v>158</v>
      </c>
      <c r="J748" s="4" t="s">
        <v>176</v>
      </c>
      <c r="K748" s="4" t="s">
        <v>159</v>
      </c>
      <c r="L748" s="4"/>
      <c r="M748" s="4" t="s">
        <v>26</v>
      </c>
      <c r="N748" s="4" t="s">
        <v>26</v>
      </c>
      <c r="O748" s="4"/>
      <c r="P748" s="4" t="str">
        <f t="shared" si="56"/>
        <v>pow</v>
      </c>
      <c r="Q748" s="4" t="s">
        <v>113</v>
      </c>
      <c r="R748" s="4" t="s">
        <v>69</v>
      </c>
      <c r="S748" s="4"/>
      <c r="T748" s="4"/>
      <c r="U748" s="4"/>
      <c r="V748" s="9">
        <f>[1]Mitigation!$C$6767</f>
        <v>2</v>
      </c>
    </row>
    <row r="749" spans="4:22" x14ac:dyDescent="0.45">
      <c r="D749" s="43" t="s">
        <v>1028</v>
      </c>
      <c r="E749" s="4" t="str">
        <f>[1]Mitigation!H8351</f>
        <v>irn.mit.ener.pow.nuc.t.2</v>
      </c>
      <c r="F749" s="4" t="str">
        <f t="shared" si="54"/>
        <v>N/A</v>
      </c>
      <c r="G749" s="4" t="str">
        <f t="shared" si="55"/>
        <v>irn.mit.ener_g-f.t.nuc.all.ktoe.2</v>
      </c>
      <c r="H749" s="4" t="s">
        <v>19</v>
      </c>
      <c r="I749" s="4" t="s">
        <v>158</v>
      </c>
      <c r="J749" s="4" t="s">
        <v>176</v>
      </c>
      <c r="K749" s="4" t="s">
        <v>159</v>
      </c>
      <c r="L749" s="4"/>
      <c r="M749" s="4" t="s">
        <v>26</v>
      </c>
      <c r="N749" s="4" t="s">
        <v>26</v>
      </c>
      <c r="O749" s="4"/>
      <c r="P749" s="4" t="str">
        <f t="shared" si="56"/>
        <v>pow</v>
      </c>
      <c r="Q749" s="4" t="s">
        <v>160</v>
      </c>
      <c r="R749" s="4" t="s">
        <v>69</v>
      </c>
      <c r="S749" s="4"/>
      <c r="T749" s="4"/>
      <c r="U749" s="4"/>
      <c r="V749" s="9">
        <f>[1]Mitigation!$C$6767</f>
        <v>2</v>
      </c>
    </row>
    <row r="750" spans="4:22" x14ac:dyDescent="0.45">
      <c r="D750" s="43" t="s">
        <v>1029</v>
      </c>
      <c r="E750" s="4" t="str">
        <f>[1]Mitigation!H8352</f>
        <v>irn.mit.ener.pow.wnd.t.2</v>
      </c>
      <c r="F750" s="4" t="str">
        <f t="shared" si="54"/>
        <v>N/A</v>
      </c>
      <c r="G750" s="4" t="str">
        <f t="shared" si="55"/>
        <v>irn.mit.ener_g-f.t.wnd.all.ktoe.2</v>
      </c>
      <c r="H750" s="4" t="s">
        <v>19</v>
      </c>
      <c r="I750" s="4" t="s">
        <v>158</v>
      </c>
      <c r="J750" s="4" t="s">
        <v>176</v>
      </c>
      <c r="K750" s="4" t="s">
        <v>159</v>
      </c>
      <c r="L750" s="4"/>
      <c r="M750" s="4" t="s">
        <v>26</v>
      </c>
      <c r="N750" s="4" t="s">
        <v>26</v>
      </c>
      <c r="O750" s="4"/>
      <c r="P750" s="4" t="str">
        <f t="shared" si="56"/>
        <v>pow</v>
      </c>
      <c r="Q750" s="4" t="s">
        <v>170</v>
      </c>
      <c r="R750" s="4" t="s">
        <v>69</v>
      </c>
      <c r="S750" s="4"/>
      <c r="T750" s="4"/>
      <c r="U750" s="4"/>
      <c r="V750" s="9">
        <f>[1]Mitigation!$C$6767</f>
        <v>2</v>
      </c>
    </row>
    <row r="751" spans="4:22" x14ac:dyDescent="0.45">
      <c r="D751" s="43" t="s">
        <v>1030</v>
      </c>
      <c r="E751" s="4" t="str">
        <f>[1]Mitigation!H8353</f>
        <v>irn.mit.ener.pow.sol.t.2</v>
      </c>
      <c r="F751" s="4" t="str">
        <f t="shared" si="54"/>
        <v>N/A</v>
      </c>
      <c r="G751" s="4" t="str">
        <f t="shared" si="55"/>
        <v>irn.mit.ener_g-f.t.sol.all.ktoe.2</v>
      </c>
      <c r="H751" s="4" t="s">
        <v>19</v>
      </c>
      <c r="I751" s="4" t="s">
        <v>158</v>
      </c>
      <c r="J751" s="4" t="s">
        <v>176</v>
      </c>
      <c r="K751" s="4" t="s">
        <v>159</v>
      </c>
      <c r="L751" s="4"/>
      <c r="M751" s="4" t="s">
        <v>26</v>
      </c>
      <c r="N751" s="4" t="s">
        <v>26</v>
      </c>
      <c r="O751" s="4"/>
      <c r="P751" s="4" t="str">
        <f t="shared" si="56"/>
        <v>pow</v>
      </c>
      <c r="Q751" s="4" t="s">
        <v>171</v>
      </c>
      <c r="R751" s="4" t="s">
        <v>69</v>
      </c>
      <c r="S751" s="4"/>
      <c r="T751" s="4"/>
      <c r="U751" s="4"/>
      <c r="V751" s="9">
        <f>[1]Mitigation!$C$6767</f>
        <v>2</v>
      </c>
    </row>
    <row r="752" spans="4:22" x14ac:dyDescent="0.45">
      <c r="D752" s="43" t="s">
        <v>1031</v>
      </c>
      <c r="E752" s="4" t="str">
        <f>[1]Mitigation!H8354</f>
        <v>irn.mit.ener.pow.hyd.t.2</v>
      </c>
      <c r="F752" s="4" t="str">
        <f t="shared" si="54"/>
        <v>N/A</v>
      </c>
      <c r="G752" s="4" t="str">
        <f t="shared" si="55"/>
        <v>irn.mit.ener_g-f.t.hyd.all.ktoe.2</v>
      </c>
      <c r="H752" s="4" t="s">
        <v>19</v>
      </c>
      <c r="I752" s="4" t="s">
        <v>158</v>
      </c>
      <c r="J752" s="4" t="s">
        <v>176</v>
      </c>
      <c r="K752" s="4" t="s">
        <v>159</v>
      </c>
      <c r="L752" s="4"/>
      <c r="M752" s="4" t="s">
        <v>26</v>
      </c>
      <c r="N752" s="4" t="s">
        <v>26</v>
      </c>
      <c r="O752" s="4"/>
      <c r="P752" s="4" t="str">
        <f t="shared" si="56"/>
        <v>pow</v>
      </c>
      <c r="Q752" s="4" t="s">
        <v>172</v>
      </c>
      <c r="R752" s="4" t="s">
        <v>69</v>
      </c>
      <c r="S752" s="4"/>
      <c r="T752" s="4"/>
      <c r="U752" s="4"/>
      <c r="V752" s="9">
        <f>[1]Mitigation!$C$6767</f>
        <v>2</v>
      </c>
    </row>
    <row r="753" spans="4:22" x14ac:dyDescent="0.45">
      <c r="D753" s="43" t="s">
        <v>1032</v>
      </c>
      <c r="E753" s="4" t="str">
        <f>[1]Mitigation!H8355</f>
        <v>irn.mit.ener.pow.ore.t.2</v>
      </c>
      <c r="F753" s="4" t="str">
        <f t="shared" si="54"/>
        <v>N/A</v>
      </c>
      <c r="G753" s="4" t="str">
        <f t="shared" si="55"/>
        <v>irn.mit.ener_g-f.t.ore.all.ktoe.2</v>
      </c>
      <c r="H753" s="4" t="s">
        <v>19</v>
      </c>
      <c r="I753" s="4" t="s">
        <v>158</v>
      </c>
      <c r="J753" s="4" t="s">
        <v>176</v>
      </c>
      <c r="K753" s="4" t="s">
        <v>159</v>
      </c>
      <c r="L753" s="4"/>
      <c r="M753" s="4" t="s">
        <v>26</v>
      </c>
      <c r="N753" s="4" t="s">
        <v>26</v>
      </c>
      <c r="O753" s="4"/>
      <c r="P753" s="4" t="str">
        <f t="shared" si="56"/>
        <v>pow</v>
      </c>
      <c r="Q753" s="4" t="s">
        <v>173</v>
      </c>
      <c r="R753" s="4" t="s">
        <v>69</v>
      </c>
      <c r="S753" s="4"/>
      <c r="T753" s="4"/>
      <c r="U753" s="4"/>
      <c r="V753" s="9">
        <f>[1]Mitigation!$C$6767</f>
        <v>2</v>
      </c>
    </row>
    <row r="754" spans="4:22" x14ac:dyDescent="0.45">
      <c r="D754" s="17" t="s">
        <v>1033</v>
      </c>
      <c r="E754" s="4" t="str">
        <f>[1]Mitigation!H8356</f>
        <v>irn.mit.ener.pow.bio.t.2</v>
      </c>
      <c r="F754" s="17" t="str">
        <f t="shared" si="54"/>
        <v>N/A</v>
      </c>
      <c r="G754" s="17" t="str">
        <f t="shared" si="55"/>
        <v>irn.mit.ener_g-f.t.bio.all.ktoe.2</v>
      </c>
      <c r="H754" s="17" t="s">
        <v>19</v>
      </c>
      <c r="I754" s="17" t="s">
        <v>158</v>
      </c>
      <c r="J754" s="17" t="s">
        <v>176</v>
      </c>
      <c r="K754" s="17" t="s">
        <v>159</v>
      </c>
      <c r="L754" s="17"/>
      <c r="M754" s="17" t="s">
        <v>26</v>
      </c>
      <c r="N754" s="17" t="s">
        <v>26</v>
      </c>
      <c r="O754" s="17"/>
      <c r="P754" s="17" t="str">
        <f t="shared" si="56"/>
        <v>pow</v>
      </c>
      <c r="Q754" s="17" t="s">
        <v>162</v>
      </c>
      <c r="R754" s="17" t="s">
        <v>69</v>
      </c>
      <c r="S754" s="17"/>
      <c r="T754" s="17"/>
      <c r="U754" s="17"/>
      <c r="V754" s="17">
        <f>[1]Mitigation!$C$6767</f>
        <v>2</v>
      </c>
    </row>
    <row r="755" spans="4:22" x14ac:dyDescent="0.45">
      <c r="D755" s="44" t="s">
        <v>1034</v>
      </c>
      <c r="E755" s="17">
        <f>[1]Mitigation!H9480</f>
        <v>0</v>
      </c>
      <c r="F755" s="17" t="str">
        <f>IF(MTAct,E755&amp;"_"&amp;MSTScenarioID,"N/A")</f>
        <v>N/A</v>
      </c>
      <c r="G755" s="17" t="str">
        <f t="shared" si="55"/>
        <v>irn.mit.ener_s.e.tot.e.ktoe.2</v>
      </c>
      <c r="H755" s="17" t="s">
        <v>19</v>
      </c>
      <c r="I755" s="17" t="s">
        <v>158</v>
      </c>
      <c r="J755" s="17" t="s">
        <v>67</v>
      </c>
      <c r="K755" s="17" t="s">
        <v>159</v>
      </c>
      <c r="L755" s="17"/>
      <c r="M755" s="17" t="s">
        <v>26</v>
      </c>
      <c r="N755" s="17" t="s">
        <v>26</v>
      </c>
      <c r="O755" s="17"/>
      <c r="P755" s="17" t="str">
        <f t="shared" si="56"/>
        <v>pow</v>
      </c>
      <c r="Q755" s="17" t="s">
        <v>37</v>
      </c>
      <c r="R755" s="17" t="s">
        <v>175</v>
      </c>
      <c r="S755" s="17"/>
      <c r="T755" s="17"/>
      <c r="U755" s="17" t="str">
        <f>R755&amp;T755&amp;S755</f>
        <v>e</v>
      </c>
      <c r="V755" s="17">
        <f>[1]Mitigation!$C$6767</f>
        <v>2</v>
      </c>
    </row>
    <row r="756" spans="4:22" x14ac:dyDescent="0.45">
      <c r="D756" s="17" t="s">
        <v>1025</v>
      </c>
      <c r="E756" s="17" t="str">
        <f>[1]Mitigation!H9470</f>
        <v>irn.mit.ener.pow.coa.e.2</v>
      </c>
      <c r="F756" s="17" t="str">
        <f t="shared" ref="F756:F765" si="57">IF(MTAct,E756&amp;"_"&amp;MSTScenarioID,"N/A")</f>
        <v>N/A</v>
      </c>
      <c r="G756" s="17" t="str">
        <f t="shared" si="55"/>
        <v>irn.mit.ener_g-f.e.coa.all.ktoe.2</v>
      </c>
      <c r="H756" s="17" t="s">
        <v>19</v>
      </c>
      <c r="I756" s="17" t="s">
        <v>158</v>
      </c>
      <c r="J756" s="17" t="s">
        <v>176</v>
      </c>
      <c r="K756" s="17" t="s">
        <v>159</v>
      </c>
      <c r="L756" s="17"/>
      <c r="M756" s="17" t="s">
        <v>26</v>
      </c>
      <c r="N756" s="17" t="s">
        <v>26</v>
      </c>
      <c r="O756" s="17"/>
      <c r="P756" s="17" t="str">
        <f t="shared" si="56"/>
        <v>pow</v>
      </c>
      <c r="Q756" s="17" t="s">
        <v>60</v>
      </c>
      <c r="R756" s="17" t="s">
        <v>175</v>
      </c>
      <c r="S756" s="17"/>
      <c r="T756" s="17"/>
      <c r="U756" s="17"/>
      <c r="V756" s="17">
        <f>[1]Mitigation!$C$6767</f>
        <v>2</v>
      </c>
    </row>
    <row r="757" spans="4:22" x14ac:dyDescent="0.45">
      <c r="D757" s="17" t="s">
        <v>1026</v>
      </c>
      <c r="E757" s="17" t="str">
        <f>[1]Mitigation!H9471</f>
        <v>irn.mit.ener.pow.nga.e.2</v>
      </c>
      <c r="F757" s="17" t="str">
        <f t="shared" si="57"/>
        <v>N/A</v>
      </c>
      <c r="G757" s="17" t="str">
        <f t="shared" si="55"/>
        <v>irn.mit.ener_g-f.e.nga.all.ktoe.2</v>
      </c>
      <c r="H757" s="17" t="s">
        <v>19</v>
      </c>
      <c r="I757" s="17" t="s">
        <v>158</v>
      </c>
      <c r="J757" s="17" t="s">
        <v>176</v>
      </c>
      <c r="K757" s="17" t="s">
        <v>159</v>
      </c>
      <c r="L757" s="17"/>
      <c r="M757" s="17" t="s">
        <v>26</v>
      </c>
      <c r="N757" s="17" t="s">
        <v>26</v>
      </c>
      <c r="O757" s="17"/>
      <c r="P757" s="17" t="str">
        <f t="shared" si="56"/>
        <v>pow</v>
      </c>
      <c r="Q757" s="17" t="s">
        <v>61</v>
      </c>
      <c r="R757" s="17" t="s">
        <v>175</v>
      </c>
      <c r="S757" s="17"/>
      <c r="T757" s="17"/>
      <c r="U757" s="17"/>
      <c r="V757" s="17">
        <f>[1]Mitigation!$C$6767</f>
        <v>2</v>
      </c>
    </row>
    <row r="758" spans="4:22" x14ac:dyDescent="0.45">
      <c r="D758" s="17" t="s">
        <v>1027</v>
      </c>
      <c r="E758" s="17" t="str">
        <f>[1]Mitigation!H9472</f>
        <v>irn.mit.ener.pow.oop.e.2</v>
      </c>
      <c r="F758" s="17" t="str">
        <f t="shared" si="57"/>
        <v>N/A</v>
      </c>
      <c r="G758" s="17" t="str">
        <f t="shared" si="55"/>
        <v>irn.mit.ener_g-f.e.oop.all.ktoe.2</v>
      </c>
      <c r="H758" s="17" t="s">
        <v>19</v>
      </c>
      <c r="I758" s="17" t="s">
        <v>158</v>
      </c>
      <c r="J758" s="17" t="s">
        <v>176</v>
      </c>
      <c r="K758" s="17" t="s">
        <v>159</v>
      </c>
      <c r="L758" s="17"/>
      <c r="M758" s="17" t="s">
        <v>26</v>
      </c>
      <c r="N758" s="17" t="s">
        <v>26</v>
      </c>
      <c r="O758" s="17"/>
      <c r="P758" s="17" t="str">
        <f t="shared" si="56"/>
        <v>pow</v>
      </c>
      <c r="Q758" s="17" t="s">
        <v>113</v>
      </c>
      <c r="R758" s="17" t="s">
        <v>175</v>
      </c>
      <c r="S758" s="17"/>
      <c r="T758" s="17"/>
      <c r="U758" s="17"/>
      <c r="V758" s="17">
        <f>[1]Mitigation!$C$6767</f>
        <v>2</v>
      </c>
    </row>
    <row r="759" spans="4:22" x14ac:dyDescent="0.45">
      <c r="D759" s="17" t="s">
        <v>1028</v>
      </c>
      <c r="E759" s="17" t="str">
        <f>[1]Mitigation!H9473</f>
        <v>irn.mit.ener.pow.nuc.e.2</v>
      </c>
      <c r="F759" s="17" t="str">
        <f t="shared" si="57"/>
        <v>N/A</v>
      </c>
      <c r="G759" s="17" t="str">
        <f t="shared" si="55"/>
        <v>irn.mit.ener_g-f.e.nuc.all.ktoe.2</v>
      </c>
      <c r="H759" s="17" t="s">
        <v>19</v>
      </c>
      <c r="I759" s="17" t="s">
        <v>158</v>
      </c>
      <c r="J759" s="17" t="s">
        <v>176</v>
      </c>
      <c r="K759" s="17" t="s">
        <v>159</v>
      </c>
      <c r="L759" s="17"/>
      <c r="M759" s="17" t="s">
        <v>26</v>
      </c>
      <c r="N759" s="17" t="s">
        <v>26</v>
      </c>
      <c r="O759" s="17"/>
      <c r="P759" s="17" t="str">
        <f t="shared" si="56"/>
        <v>pow</v>
      </c>
      <c r="Q759" s="17" t="s">
        <v>160</v>
      </c>
      <c r="R759" s="17" t="s">
        <v>175</v>
      </c>
      <c r="S759" s="17"/>
      <c r="T759" s="17"/>
      <c r="U759" s="17"/>
      <c r="V759" s="17">
        <f>[1]Mitigation!$C$6767</f>
        <v>2</v>
      </c>
    </row>
    <row r="760" spans="4:22" x14ac:dyDescent="0.45">
      <c r="D760" s="17" t="s">
        <v>1029</v>
      </c>
      <c r="E760" s="17" t="str">
        <f>[1]Mitigation!H9474</f>
        <v>irn.mit.ener.pow.wnd.e.2</v>
      </c>
      <c r="F760" s="17" t="str">
        <f t="shared" si="57"/>
        <v>N/A</v>
      </c>
      <c r="G760" s="17" t="str">
        <f t="shared" si="55"/>
        <v>irn.mit.ener_g-f.e.wnd.all.ktoe.2</v>
      </c>
      <c r="H760" s="17" t="s">
        <v>19</v>
      </c>
      <c r="I760" s="17" t="s">
        <v>158</v>
      </c>
      <c r="J760" s="17" t="s">
        <v>176</v>
      </c>
      <c r="K760" s="17" t="s">
        <v>159</v>
      </c>
      <c r="L760" s="17"/>
      <c r="M760" s="17" t="s">
        <v>26</v>
      </c>
      <c r="N760" s="17" t="s">
        <v>26</v>
      </c>
      <c r="O760" s="17"/>
      <c r="P760" s="17" t="str">
        <f t="shared" si="56"/>
        <v>pow</v>
      </c>
      <c r="Q760" s="17" t="s">
        <v>170</v>
      </c>
      <c r="R760" s="17" t="s">
        <v>175</v>
      </c>
      <c r="S760" s="17"/>
      <c r="T760" s="17"/>
      <c r="U760" s="17"/>
      <c r="V760" s="17">
        <f>[1]Mitigation!$C$6767</f>
        <v>2</v>
      </c>
    </row>
    <row r="761" spans="4:22" x14ac:dyDescent="0.45">
      <c r="D761" s="17" t="s">
        <v>1030</v>
      </c>
      <c r="E761" s="17" t="str">
        <f>[1]Mitigation!H9475</f>
        <v>irn.mit.ener.pow.sol.e.2</v>
      </c>
      <c r="F761" s="17" t="str">
        <f t="shared" si="57"/>
        <v>N/A</v>
      </c>
      <c r="G761" s="17" t="str">
        <f t="shared" si="55"/>
        <v>irn.mit.ener_g-f.e.sol.all.ktoe.2</v>
      </c>
      <c r="H761" s="17" t="s">
        <v>19</v>
      </c>
      <c r="I761" s="17" t="s">
        <v>158</v>
      </c>
      <c r="J761" s="17" t="s">
        <v>176</v>
      </c>
      <c r="K761" s="17" t="s">
        <v>159</v>
      </c>
      <c r="L761" s="17"/>
      <c r="M761" s="17" t="s">
        <v>26</v>
      </c>
      <c r="N761" s="17" t="s">
        <v>26</v>
      </c>
      <c r="O761" s="17"/>
      <c r="P761" s="17" t="str">
        <f t="shared" si="56"/>
        <v>pow</v>
      </c>
      <c r="Q761" s="17" t="s">
        <v>171</v>
      </c>
      <c r="R761" s="17" t="s">
        <v>175</v>
      </c>
      <c r="S761" s="17"/>
      <c r="T761" s="17"/>
      <c r="U761" s="17"/>
      <c r="V761" s="17">
        <f>[1]Mitigation!$C$6767</f>
        <v>2</v>
      </c>
    </row>
    <row r="762" spans="4:22" x14ac:dyDescent="0.45">
      <c r="D762" s="17" t="s">
        <v>1031</v>
      </c>
      <c r="E762" s="17" t="str">
        <f>[1]Mitigation!H9476</f>
        <v>irn.mit.ener.pow.hyd.e.2</v>
      </c>
      <c r="F762" s="17" t="str">
        <f t="shared" si="57"/>
        <v>N/A</v>
      </c>
      <c r="G762" s="17" t="str">
        <f t="shared" si="55"/>
        <v>irn.mit.ener_g-f.e.hyd.all.ktoe.2</v>
      </c>
      <c r="H762" s="17" t="s">
        <v>19</v>
      </c>
      <c r="I762" s="17" t="s">
        <v>158</v>
      </c>
      <c r="J762" s="17" t="s">
        <v>176</v>
      </c>
      <c r="K762" s="17" t="s">
        <v>159</v>
      </c>
      <c r="L762" s="17"/>
      <c r="M762" s="17" t="s">
        <v>26</v>
      </c>
      <c r="N762" s="17" t="s">
        <v>26</v>
      </c>
      <c r="O762" s="17"/>
      <c r="P762" s="17" t="str">
        <f t="shared" si="56"/>
        <v>pow</v>
      </c>
      <c r="Q762" s="17" t="s">
        <v>172</v>
      </c>
      <c r="R762" s="17" t="s">
        <v>175</v>
      </c>
      <c r="S762" s="17"/>
      <c r="T762" s="17"/>
      <c r="U762" s="17"/>
      <c r="V762" s="17">
        <f>[1]Mitigation!$C$6767</f>
        <v>2</v>
      </c>
    </row>
    <row r="763" spans="4:22" x14ac:dyDescent="0.45">
      <c r="D763" s="17" t="s">
        <v>1032</v>
      </c>
      <c r="E763" s="17" t="str">
        <f>[1]Mitigation!H9477</f>
        <v>irn.mit.ener.pow.ore.e.2</v>
      </c>
      <c r="F763" s="17" t="str">
        <f t="shared" si="57"/>
        <v>N/A</v>
      </c>
      <c r="G763" s="17" t="str">
        <f t="shared" si="55"/>
        <v>irn.mit.ener_g-f.e.ore.all.ktoe.2</v>
      </c>
      <c r="H763" s="17" t="s">
        <v>19</v>
      </c>
      <c r="I763" s="17" t="s">
        <v>158</v>
      </c>
      <c r="J763" s="17" t="s">
        <v>176</v>
      </c>
      <c r="K763" s="17" t="s">
        <v>159</v>
      </c>
      <c r="L763" s="17"/>
      <c r="M763" s="17" t="s">
        <v>26</v>
      </c>
      <c r="N763" s="17" t="s">
        <v>26</v>
      </c>
      <c r="O763" s="17"/>
      <c r="P763" s="17" t="str">
        <f t="shared" si="56"/>
        <v>pow</v>
      </c>
      <c r="Q763" s="17" t="s">
        <v>173</v>
      </c>
      <c r="R763" s="17" t="s">
        <v>175</v>
      </c>
      <c r="S763" s="17"/>
      <c r="T763" s="17"/>
      <c r="U763" s="17"/>
      <c r="V763" s="17">
        <f>[1]Mitigation!$C$6767</f>
        <v>2</v>
      </c>
    </row>
    <row r="764" spans="4:22" x14ac:dyDescent="0.45">
      <c r="D764" s="17" t="s">
        <v>1033</v>
      </c>
      <c r="E764" s="17" t="str">
        <f>[1]Mitigation!H9478</f>
        <v>irn.mit.ener.pow.bio.e.2</v>
      </c>
      <c r="F764" s="17" t="str">
        <f t="shared" si="57"/>
        <v>N/A</v>
      </c>
      <c r="G764" s="17" t="str">
        <f t="shared" si="55"/>
        <v>irn.mit.ener_g-f.e.bio.all.ktoe.2</v>
      </c>
      <c r="H764" s="17" t="s">
        <v>19</v>
      </c>
      <c r="I764" s="17" t="s">
        <v>158</v>
      </c>
      <c r="J764" s="17" t="s">
        <v>176</v>
      </c>
      <c r="K764" s="17" t="s">
        <v>159</v>
      </c>
      <c r="L764" s="17"/>
      <c r="M764" s="17" t="s">
        <v>26</v>
      </c>
      <c r="N764" s="17" t="s">
        <v>26</v>
      </c>
      <c r="O764" s="17"/>
      <c r="P764" s="17" t="str">
        <f t="shared" si="56"/>
        <v>pow</v>
      </c>
      <c r="Q764" s="17" t="s">
        <v>162</v>
      </c>
      <c r="R764" s="17" t="s">
        <v>175</v>
      </c>
      <c r="S764" s="17"/>
      <c r="T764" s="17"/>
      <c r="U764" s="17"/>
      <c r="V764" s="17">
        <f>[1]Mitigation!$C$6767</f>
        <v>2</v>
      </c>
    </row>
    <row r="765" spans="4:22" x14ac:dyDescent="0.45">
      <c r="D765" s="44" t="s">
        <v>1035</v>
      </c>
      <c r="E765" s="17" t="str">
        <f t="shared" ref="E765:E774" si="58">LOWER(_Country_code)&amp;"."&amp;H765&amp;"."&amp;IF(I765="","all",I765)&amp;"."&amp;N765&amp;"."&amp;IF(Q765="","all",Q765)&amp;"."&amp;R765&amp;"."&amp;IF(V765="","all",V765)</f>
        <v>irn.mit.ener.pow.tot.a.2</v>
      </c>
      <c r="F765" s="17" t="str">
        <f t="shared" si="57"/>
        <v>N/A</v>
      </c>
      <c r="G765" s="17" t="str">
        <f t="shared" si="55"/>
        <v>irn.mit.ener_g-f.a.tot.a.ktoe.2</v>
      </c>
      <c r="H765" s="17" t="s">
        <v>19</v>
      </c>
      <c r="I765" s="17" t="s">
        <v>158</v>
      </c>
      <c r="J765" s="17" t="s">
        <v>176</v>
      </c>
      <c r="K765" s="17" t="s">
        <v>159</v>
      </c>
      <c r="L765" s="17"/>
      <c r="M765" s="17" t="s">
        <v>26</v>
      </c>
      <c r="N765" s="17" t="s">
        <v>26</v>
      </c>
      <c r="O765" s="17"/>
      <c r="P765" s="17" t="str">
        <f t="shared" si="56"/>
        <v>pow</v>
      </c>
      <c r="Q765" s="17" t="s">
        <v>37</v>
      </c>
      <c r="R765" s="17" t="s">
        <v>194</v>
      </c>
      <c r="S765" s="17"/>
      <c r="T765" s="17"/>
      <c r="U765" s="17" t="str">
        <f>R765&amp;T765&amp;S765</f>
        <v>a</v>
      </c>
      <c r="V765" s="17">
        <f>[1]Mitigation!$C$6767</f>
        <v>2</v>
      </c>
    </row>
    <row r="766" spans="4:22" x14ac:dyDescent="0.45">
      <c r="D766" s="17" t="s">
        <v>1025</v>
      </c>
      <c r="E766" s="17" t="str">
        <f t="shared" si="58"/>
        <v>irn.mit.ener.pow.coa.a.2</v>
      </c>
      <c r="F766" s="17" t="str">
        <f t="shared" ref="F766:F807" si="59">IF(MTAct,E766&amp;"_"&amp;MSTScenarioID,"N/A")</f>
        <v>N/A</v>
      </c>
      <c r="G766" s="17" t="str">
        <f t="shared" si="55"/>
        <v>irn.mit.ener_g-f.a.coa.all.ktoe.2</v>
      </c>
      <c r="H766" s="17" t="s">
        <v>19</v>
      </c>
      <c r="I766" s="17" t="s">
        <v>158</v>
      </c>
      <c r="J766" s="17" t="s">
        <v>176</v>
      </c>
      <c r="K766" s="17" t="s">
        <v>159</v>
      </c>
      <c r="L766" s="17"/>
      <c r="M766" s="17" t="s">
        <v>26</v>
      </c>
      <c r="N766" s="17" t="s">
        <v>26</v>
      </c>
      <c r="O766" s="17"/>
      <c r="P766" s="17" t="str">
        <f t="shared" si="56"/>
        <v>pow</v>
      </c>
      <c r="Q766" s="17" t="s">
        <v>60</v>
      </c>
      <c r="R766" s="17" t="s">
        <v>194</v>
      </c>
      <c r="S766" s="17"/>
      <c r="T766" s="17"/>
      <c r="U766" s="17"/>
      <c r="V766" s="17">
        <f>[1]Mitigation!$C$6767</f>
        <v>2</v>
      </c>
    </row>
    <row r="767" spans="4:22" x14ac:dyDescent="0.45">
      <c r="D767" s="17" t="s">
        <v>1026</v>
      </c>
      <c r="E767" s="17" t="str">
        <f t="shared" si="58"/>
        <v>irn.mit.ener.pow.nga.a.2</v>
      </c>
      <c r="F767" s="17" t="str">
        <f t="shared" si="59"/>
        <v>N/A</v>
      </c>
      <c r="G767" s="17" t="str">
        <f t="shared" si="55"/>
        <v>irn.mit.ener_g-f.a.nga.all.ktoe.2</v>
      </c>
      <c r="H767" s="17" t="s">
        <v>19</v>
      </c>
      <c r="I767" s="17" t="s">
        <v>158</v>
      </c>
      <c r="J767" s="17" t="s">
        <v>176</v>
      </c>
      <c r="K767" s="17" t="s">
        <v>159</v>
      </c>
      <c r="L767" s="17"/>
      <c r="M767" s="17" t="s">
        <v>26</v>
      </c>
      <c r="N767" s="17" t="s">
        <v>26</v>
      </c>
      <c r="O767" s="17"/>
      <c r="P767" s="17" t="str">
        <f t="shared" si="56"/>
        <v>pow</v>
      </c>
      <c r="Q767" s="17" t="s">
        <v>61</v>
      </c>
      <c r="R767" s="17" t="s">
        <v>194</v>
      </c>
      <c r="S767" s="17"/>
      <c r="T767" s="17"/>
      <c r="U767" s="17"/>
      <c r="V767" s="17">
        <f>[1]Mitigation!$C$6767</f>
        <v>2</v>
      </c>
    </row>
    <row r="768" spans="4:22" x14ac:dyDescent="0.45">
      <c r="D768" s="17" t="s">
        <v>1027</v>
      </c>
      <c r="E768" s="17" t="str">
        <f t="shared" si="58"/>
        <v>irn.mit.ener.pow.oop.a.2</v>
      </c>
      <c r="F768" s="17" t="str">
        <f t="shared" si="59"/>
        <v>N/A</v>
      </c>
      <c r="G768" s="17" t="str">
        <f t="shared" si="55"/>
        <v>irn.mit.ener_g-f.a.oop.all.ktoe.2</v>
      </c>
      <c r="H768" s="17" t="s">
        <v>19</v>
      </c>
      <c r="I768" s="17" t="s">
        <v>158</v>
      </c>
      <c r="J768" s="17" t="s">
        <v>176</v>
      </c>
      <c r="K768" s="17" t="s">
        <v>159</v>
      </c>
      <c r="L768" s="17"/>
      <c r="M768" s="17" t="s">
        <v>26</v>
      </c>
      <c r="N768" s="17" t="s">
        <v>26</v>
      </c>
      <c r="O768" s="17"/>
      <c r="P768" s="17" t="str">
        <f t="shared" si="56"/>
        <v>pow</v>
      </c>
      <c r="Q768" s="17" t="s">
        <v>113</v>
      </c>
      <c r="R768" s="17" t="s">
        <v>194</v>
      </c>
      <c r="S768" s="17"/>
      <c r="T768" s="17"/>
      <c r="U768" s="17"/>
      <c r="V768" s="17">
        <f>[1]Mitigation!$C$6767</f>
        <v>2</v>
      </c>
    </row>
    <row r="769" spans="4:22" x14ac:dyDescent="0.45">
      <c r="D769" s="17" t="s">
        <v>1028</v>
      </c>
      <c r="E769" s="17" t="str">
        <f t="shared" si="58"/>
        <v>irn.mit.ener.pow.nuc.a.2</v>
      </c>
      <c r="F769" s="17" t="str">
        <f t="shared" si="59"/>
        <v>N/A</v>
      </c>
      <c r="G769" s="17" t="str">
        <f t="shared" si="55"/>
        <v>irn.mit.ener_g-f.a.nuc.all.ktoe.2</v>
      </c>
      <c r="H769" s="17" t="s">
        <v>19</v>
      </c>
      <c r="I769" s="17" t="s">
        <v>158</v>
      </c>
      <c r="J769" s="17" t="s">
        <v>176</v>
      </c>
      <c r="K769" s="17" t="s">
        <v>159</v>
      </c>
      <c r="L769" s="17"/>
      <c r="M769" s="17" t="s">
        <v>26</v>
      </c>
      <c r="N769" s="17" t="s">
        <v>26</v>
      </c>
      <c r="O769" s="17"/>
      <c r="P769" s="17" t="str">
        <f t="shared" si="56"/>
        <v>pow</v>
      </c>
      <c r="Q769" s="17" t="s">
        <v>160</v>
      </c>
      <c r="R769" s="17" t="s">
        <v>194</v>
      </c>
      <c r="S769" s="17"/>
      <c r="T769" s="17"/>
      <c r="U769" s="17"/>
      <c r="V769" s="17">
        <f>[1]Mitigation!$C$6767</f>
        <v>2</v>
      </c>
    </row>
    <row r="770" spans="4:22" x14ac:dyDescent="0.45">
      <c r="D770" s="17" t="s">
        <v>1029</v>
      </c>
      <c r="E770" s="17" t="str">
        <f t="shared" si="58"/>
        <v>irn.mit.ener.pow.wnd.a.2</v>
      </c>
      <c r="F770" s="17" t="str">
        <f t="shared" si="59"/>
        <v>N/A</v>
      </c>
      <c r="G770" s="17" t="str">
        <f t="shared" si="55"/>
        <v>irn.mit.ener_g-f.a.wnd.all.ktoe.2</v>
      </c>
      <c r="H770" s="17" t="s">
        <v>19</v>
      </c>
      <c r="I770" s="17" t="s">
        <v>158</v>
      </c>
      <c r="J770" s="17" t="s">
        <v>176</v>
      </c>
      <c r="K770" s="17" t="s">
        <v>159</v>
      </c>
      <c r="L770" s="17"/>
      <c r="M770" s="17" t="s">
        <v>26</v>
      </c>
      <c r="N770" s="17" t="s">
        <v>26</v>
      </c>
      <c r="O770" s="17"/>
      <c r="P770" s="17" t="str">
        <f t="shared" si="56"/>
        <v>pow</v>
      </c>
      <c r="Q770" s="17" t="s">
        <v>170</v>
      </c>
      <c r="R770" s="17" t="s">
        <v>194</v>
      </c>
      <c r="S770" s="17"/>
      <c r="T770" s="17"/>
      <c r="U770" s="17"/>
      <c r="V770" s="17">
        <f>[1]Mitigation!$C$6767</f>
        <v>2</v>
      </c>
    </row>
    <row r="771" spans="4:22" x14ac:dyDescent="0.45">
      <c r="D771" s="17" t="s">
        <v>1030</v>
      </c>
      <c r="E771" s="17" t="str">
        <f t="shared" si="58"/>
        <v>irn.mit.ener.pow.sol.a.2</v>
      </c>
      <c r="F771" s="17" t="str">
        <f t="shared" si="59"/>
        <v>N/A</v>
      </c>
      <c r="G771" s="17" t="str">
        <f t="shared" si="55"/>
        <v>irn.mit.ener_g-f.a.sol.all.ktoe.2</v>
      </c>
      <c r="H771" s="17" t="s">
        <v>19</v>
      </c>
      <c r="I771" s="17" t="s">
        <v>158</v>
      </c>
      <c r="J771" s="17" t="s">
        <v>176</v>
      </c>
      <c r="K771" s="17" t="s">
        <v>159</v>
      </c>
      <c r="L771" s="17"/>
      <c r="M771" s="17" t="s">
        <v>26</v>
      </c>
      <c r="N771" s="17" t="s">
        <v>26</v>
      </c>
      <c r="O771" s="17"/>
      <c r="P771" s="17" t="str">
        <f t="shared" si="56"/>
        <v>pow</v>
      </c>
      <c r="Q771" s="17" t="s">
        <v>171</v>
      </c>
      <c r="R771" s="17" t="s">
        <v>194</v>
      </c>
      <c r="S771" s="17"/>
      <c r="T771" s="17"/>
      <c r="U771" s="17"/>
      <c r="V771" s="17">
        <f>[1]Mitigation!$C$6767</f>
        <v>2</v>
      </c>
    </row>
    <row r="772" spans="4:22" x14ac:dyDescent="0.45">
      <c r="D772" s="17" t="s">
        <v>1031</v>
      </c>
      <c r="E772" s="17" t="str">
        <f t="shared" si="58"/>
        <v>irn.mit.ener.pow.hyd.a.2</v>
      </c>
      <c r="F772" s="17" t="str">
        <f t="shared" si="59"/>
        <v>N/A</v>
      </c>
      <c r="G772" s="17" t="str">
        <f t="shared" si="55"/>
        <v>irn.mit.ener_g-f.a.hyd.all.ktoe.2</v>
      </c>
      <c r="H772" s="17" t="s">
        <v>19</v>
      </c>
      <c r="I772" s="17" t="s">
        <v>158</v>
      </c>
      <c r="J772" s="17" t="s">
        <v>176</v>
      </c>
      <c r="K772" s="17" t="s">
        <v>159</v>
      </c>
      <c r="L772" s="17"/>
      <c r="M772" s="17" t="s">
        <v>26</v>
      </c>
      <c r="N772" s="17" t="s">
        <v>26</v>
      </c>
      <c r="O772" s="17"/>
      <c r="P772" s="17" t="str">
        <f t="shared" si="56"/>
        <v>pow</v>
      </c>
      <c r="Q772" s="17" t="s">
        <v>172</v>
      </c>
      <c r="R772" s="17" t="s">
        <v>194</v>
      </c>
      <c r="S772" s="17"/>
      <c r="T772" s="17"/>
      <c r="U772" s="17"/>
      <c r="V772" s="17">
        <f>[1]Mitigation!$C$6767</f>
        <v>2</v>
      </c>
    </row>
    <row r="773" spans="4:22" x14ac:dyDescent="0.45">
      <c r="D773" s="17" t="s">
        <v>1032</v>
      </c>
      <c r="E773" s="17" t="str">
        <f t="shared" si="58"/>
        <v>irn.mit.ener.pow.ore.a.2</v>
      </c>
      <c r="F773" s="17" t="str">
        <f t="shared" si="59"/>
        <v>N/A</v>
      </c>
      <c r="G773" s="17" t="str">
        <f t="shared" si="55"/>
        <v>irn.mit.ener_g-f.a.ore.all.ktoe.2</v>
      </c>
      <c r="H773" s="17" t="s">
        <v>19</v>
      </c>
      <c r="I773" s="17" t="s">
        <v>158</v>
      </c>
      <c r="J773" s="17" t="s">
        <v>176</v>
      </c>
      <c r="K773" s="17" t="s">
        <v>159</v>
      </c>
      <c r="L773" s="17"/>
      <c r="M773" s="17" t="s">
        <v>26</v>
      </c>
      <c r="N773" s="17" t="s">
        <v>26</v>
      </c>
      <c r="O773" s="17"/>
      <c r="P773" s="17" t="str">
        <f t="shared" si="56"/>
        <v>pow</v>
      </c>
      <c r="Q773" s="17" t="s">
        <v>173</v>
      </c>
      <c r="R773" s="17" t="s">
        <v>194</v>
      </c>
      <c r="S773" s="17"/>
      <c r="T773" s="17"/>
      <c r="U773" s="17"/>
      <c r="V773" s="17">
        <f>[1]Mitigation!$C$6767</f>
        <v>2</v>
      </c>
    </row>
    <row r="774" spans="4:22" x14ac:dyDescent="0.45">
      <c r="D774" s="17" t="s">
        <v>1033</v>
      </c>
      <c r="E774" s="17" t="str">
        <f t="shared" si="58"/>
        <v>irn.mit.ener.pow.bio.a.2</v>
      </c>
      <c r="F774" s="17" t="str">
        <f t="shared" si="59"/>
        <v>N/A</v>
      </c>
      <c r="G774" s="17" t="str">
        <f t="shared" si="55"/>
        <v>irn.mit.ener_g-f.a.bio.all.ktoe.2</v>
      </c>
      <c r="H774" s="17" t="s">
        <v>19</v>
      </c>
      <c r="I774" s="17" t="s">
        <v>158</v>
      </c>
      <c r="J774" s="17" t="s">
        <v>176</v>
      </c>
      <c r="K774" s="17" t="s">
        <v>159</v>
      </c>
      <c r="L774" s="17"/>
      <c r="M774" s="17" t="s">
        <v>26</v>
      </c>
      <c r="N774" s="17" t="s">
        <v>26</v>
      </c>
      <c r="O774" s="17"/>
      <c r="P774" s="17" t="str">
        <f t="shared" si="56"/>
        <v>pow</v>
      </c>
      <c r="Q774" s="17" t="s">
        <v>162</v>
      </c>
      <c r="R774" s="17" t="s">
        <v>194</v>
      </c>
      <c r="S774" s="17"/>
      <c r="T774" s="17"/>
      <c r="U774" s="17"/>
      <c r="V774" s="17">
        <f>[1]Mitigation!$C$6767</f>
        <v>2</v>
      </c>
    </row>
    <row r="775" spans="4:22" x14ac:dyDescent="0.45">
      <c r="D775" s="2"/>
      <c r="E775" s="2"/>
      <c r="F775" s="2"/>
      <c r="G775" s="2"/>
      <c r="H775" s="2" t="s">
        <v>18</v>
      </c>
      <c r="I775" s="2"/>
      <c r="J775" s="2" t="s">
        <v>18</v>
      </c>
      <c r="K775" s="2"/>
      <c r="L775" s="2"/>
      <c r="M775" s="2"/>
      <c r="N775" s="2"/>
      <c r="O775" s="2"/>
      <c r="P775" s="2" t="str">
        <f>L775&amp;IF(N775="",M775,N775)&amp;O775</f>
        <v/>
      </c>
      <c r="Q775" s="2"/>
      <c r="R775" s="2"/>
      <c r="S775" s="2"/>
      <c r="T775" s="2"/>
      <c r="U775" s="2" t="str">
        <f>R775&amp;T775&amp;S775</f>
        <v/>
      </c>
      <c r="V775" s="3"/>
    </row>
    <row r="776" spans="4:22" x14ac:dyDescent="0.45">
      <c r="D776" s="44" t="s">
        <v>1036</v>
      </c>
      <c r="E776" s="18" t="str">
        <f>[1]Mitigation!H14346</f>
        <v>irn.mit.rev.new.usd.1</v>
      </c>
      <c r="F776" s="18" t="str">
        <f t="shared" si="59"/>
        <v>N/A</v>
      </c>
      <c r="G776" s="18" t="str">
        <f t="shared" ref="G776:G807" si="60">IF(D776="","",LOWER(_Country_code)&amp;"."&amp;H776&amp;"."&amp;IF(I776="","all",I776)&amp;"_"&amp;J776&amp;"."&amp;IF(Q776="","all",Q776)&amp;"."&amp;IF(K776="","all",K776)&amp;"."&amp;IF(V776="","all",V776))</f>
        <v>irn.mit.rev_all.tot.usd.1</v>
      </c>
      <c r="H776" s="18" t="s">
        <v>19</v>
      </c>
      <c r="I776" s="18" t="s">
        <v>38</v>
      </c>
      <c r="J776" s="19" t="s">
        <v>46</v>
      </c>
      <c r="K776" s="18" t="s">
        <v>195</v>
      </c>
      <c r="L776" s="18"/>
      <c r="M776" s="18" t="s">
        <v>196</v>
      </c>
      <c r="N776" s="18"/>
      <c r="O776" s="18"/>
      <c r="P776" s="18"/>
      <c r="Q776" s="18" t="s">
        <v>37</v>
      </c>
      <c r="R776" s="18"/>
      <c r="S776" s="18"/>
      <c r="T776" s="18"/>
      <c r="U776" s="18"/>
      <c r="V776" s="19">
        <v>1</v>
      </c>
    </row>
    <row r="777" spans="4:22" x14ac:dyDescent="0.45">
      <c r="D777" s="18" t="s">
        <v>1037</v>
      </c>
      <c r="E777" s="18" t="str">
        <f>[1]Mitigation!H6190</f>
        <v>irn.mit.rev.new.coa.usd.1</v>
      </c>
      <c r="F777" s="18" t="str">
        <f t="shared" si="59"/>
        <v>N/A</v>
      </c>
      <c r="G777" s="18" t="str">
        <f t="shared" si="60"/>
        <v>irn.mit.rev_f.coa.usd.1</v>
      </c>
      <c r="H777" s="18" t="s">
        <v>19</v>
      </c>
      <c r="I777" s="18" t="s">
        <v>38</v>
      </c>
      <c r="J777" s="18" t="s">
        <v>59</v>
      </c>
      <c r="K777" s="18" t="s">
        <v>195</v>
      </c>
      <c r="L777" s="18"/>
      <c r="M777" s="18" t="s">
        <v>196</v>
      </c>
      <c r="N777" s="18"/>
      <c r="O777" s="18"/>
      <c r="P777" s="18"/>
      <c r="Q777" s="18" t="s">
        <v>60</v>
      </c>
      <c r="R777" s="18"/>
      <c r="S777" s="18"/>
      <c r="T777" s="18"/>
      <c r="U777" s="18"/>
      <c r="V777" s="19">
        <v>1</v>
      </c>
    </row>
    <row r="778" spans="4:22" x14ac:dyDescent="0.45">
      <c r="D778" s="18" t="s">
        <v>1038</v>
      </c>
      <c r="E778" s="18" t="str">
        <f>[1]Mitigation!H6191</f>
        <v>irn.mit.rev.new.nga.usd.1</v>
      </c>
      <c r="F778" s="18" t="str">
        <f t="shared" si="59"/>
        <v>N/A</v>
      </c>
      <c r="G778" s="18" t="str">
        <f t="shared" si="60"/>
        <v>irn.mit.rev_f.nga.usd.1</v>
      </c>
      <c r="H778" s="18" t="s">
        <v>19</v>
      </c>
      <c r="I778" s="18" t="s">
        <v>38</v>
      </c>
      <c r="J778" s="18" t="s">
        <v>59</v>
      </c>
      <c r="K778" s="18" t="s">
        <v>195</v>
      </c>
      <c r="L778" s="18"/>
      <c r="M778" s="18" t="s">
        <v>196</v>
      </c>
      <c r="N778" s="18"/>
      <c r="O778" s="18"/>
      <c r="P778" s="18"/>
      <c r="Q778" s="18" t="s">
        <v>61</v>
      </c>
      <c r="R778" s="18"/>
      <c r="S778" s="18"/>
      <c r="T778" s="18"/>
      <c r="U778" s="18"/>
      <c r="V778" s="19">
        <v>1</v>
      </c>
    </row>
    <row r="779" spans="4:22" x14ac:dyDescent="0.45">
      <c r="D779" s="18" t="s">
        <v>1039</v>
      </c>
      <c r="E779" s="18" t="str">
        <f>[1]Mitigation!H6192</f>
        <v>irn.mit.rev.new.oil.usd.1</v>
      </c>
      <c r="F779" s="18" t="str">
        <f t="shared" si="59"/>
        <v>N/A</v>
      </c>
      <c r="G779" s="18" t="str">
        <f t="shared" si="60"/>
        <v>irn.mit.rev_f.oil.usd.1</v>
      </c>
      <c r="H779" s="18" t="s">
        <v>19</v>
      </c>
      <c r="I779" s="18" t="s">
        <v>38</v>
      </c>
      <c r="J779" s="18" t="s">
        <v>59</v>
      </c>
      <c r="K779" s="18" t="s">
        <v>195</v>
      </c>
      <c r="L779" s="18"/>
      <c r="M779" s="18" t="s">
        <v>196</v>
      </c>
      <c r="N779" s="18"/>
      <c r="O779" s="18"/>
      <c r="P779" s="18"/>
      <c r="Q779" s="18" t="s">
        <v>62</v>
      </c>
      <c r="R779" s="18"/>
      <c r="S779" s="18"/>
      <c r="T779" s="18"/>
      <c r="U779" s="18"/>
      <c r="V779" s="19">
        <v>1</v>
      </c>
    </row>
    <row r="780" spans="4:22" x14ac:dyDescent="0.45">
      <c r="D780" s="18" t="s">
        <v>1040</v>
      </c>
      <c r="E780" s="18" t="str">
        <f>[1]Mitigation!H6193</f>
        <v>irn.mit.rev.new.gso.usd.1</v>
      </c>
      <c r="F780" s="18" t="str">
        <f t="shared" si="59"/>
        <v>N/A</v>
      </c>
      <c r="G780" s="18" t="str">
        <f t="shared" si="60"/>
        <v>irn.mit.rev_f.gso.usd.1</v>
      </c>
      <c r="H780" s="18" t="s">
        <v>19</v>
      </c>
      <c r="I780" s="18" t="s">
        <v>38</v>
      </c>
      <c r="J780" s="18" t="s">
        <v>59</v>
      </c>
      <c r="K780" s="18" t="s">
        <v>195</v>
      </c>
      <c r="L780" s="18"/>
      <c r="M780" s="18" t="s">
        <v>196</v>
      </c>
      <c r="N780" s="18"/>
      <c r="O780" s="18"/>
      <c r="P780" s="18"/>
      <c r="Q780" s="18" t="s">
        <v>63</v>
      </c>
      <c r="R780" s="18"/>
      <c r="S780" s="18"/>
      <c r="T780" s="18"/>
      <c r="U780" s="18"/>
      <c r="V780" s="19">
        <v>1</v>
      </c>
    </row>
    <row r="781" spans="4:22" x14ac:dyDescent="0.45">
      <c r="D781" s="18" t="s">
        <v>1041</v>
      </c>
      <c r="E781" s="18" t="str">
        <f>[1]Mitigation!H6194</f>
        <v>irn.mit.rev.new.die.usd.1</v>
      </c>
      <c r="F781" s="18" t="str">
        <f t="shared" si="59"/>
        <v>N/A</v>
      </c>
      <c r="G781" s="18" t="str">
        <f t="shared" si="60"/>
        <v>irn.mit.rev_f.die.usd.1</v>
      </c>
      <c r="H781" s="18" t="s">
        <v>19</v>
      </c>
      <c r="I781" s="18" t="s">
        <v>38</v>
      </c>
      <c r="J781" s="18" t="s">
        <v>59</v>
      </c>
      <c r="K781" s="18" t="s">
        <v>195</v>
      </c>
      <c r="L781" s="18"/>
      <c r="M781" s="18" t="s">
        <v>196</v>
      </c>
      <c r="N781" s="18"/>
      <c r="O781" s="18"/>
      <c r="P781" s="18"/>
      <c r="Q781" s="18" t="s">
        <v>64</v>
      </c>
      <c r="R781" s="18"/>
      <c r="S781" s="18"/>
      <c r="T781" s="18"/>
      <c r="U781" s="18"/>
      <c r="V781" s="19">
        <v>1</v>
      </c>
    </row>
    <row r="782" spans="4:22" x14ac:dyDescent="0.45">
      <c r="D782" s="18" t="s">
        <v>1042</v>
      </c>
      <c r="E782" s="18" t="str">
        <f>[1]Mitigation!H6195</f>
        <v>irn.mit.rev.new.lpk.usd.1</v>
      </c>
      <c r="F782" s="18" t="str">
        <f t="shared" si="59"/>
        <v>N/A</v>
      </c>
      <c r="G782" s="18" t="str">
        <f t="shared" si="60"/>
        <v>irn.mit.rev_f.lpk.usd.1</v>
      </c>
      <c r="H782" s="18" t="s">
        <v>19</v>
      </c>
      <c r="I782" s="18" t="s">
        <v>38</v>
      </c>
      <c r="J782" s="18" t="s">
        <v>59</v>
      </c>
      <c r="K782" s="18" t="s">
        <v>195</v>
      </c>
      <c r="L782" s="18"/>
      <c r="M782" s="18" t="s">
        <v>196</v>
      </c>
      <c r="N782" s="18"/>
      <c r="O782" s="18"/>
      <c r="P782" s="18"/>
      <c r="Q782" s="18" t="s">
        <v>197</v>
      </c>
      <c r="R782" s="18"/>
      <c r="S782" s="18"/>
      <c r="T782" s="18"/>
      <c r="U782" s="18"/>
      <c r="V782" s="19">
        <v>1</v>
      </c>
    </row>
    <row r="783" spans="4:22" x14ac:dyDescent="0.45">
      <c r="D783" s="44" t="s">
        <v>1043</v>
      </c>
      <c r="E783" s="18" t="str">
        <f>[1]Mitigation!G14355</f>
        <v>irn.mit.rev.new.usd.2</v>
      </c>
      <c r="F783" s="18" t="str">
        <f t="shared" si="59"/>
        <v>N/A</v>
      </c>
      <c r="G783" s="18" t="str">
        <f t="shared" si="60"/>
        <v>irn.mit.rev_all.tot.usd.2</v>
      </c>
      <c r="H783" s="18" t="s">
        <v>19</v>
      </c>
      <c r="I783" s="18" t="s">
        <v>38</v>
      </c>
      <c r="J783" s="18" t="s">
        <v>46</v>
      </c>
      <c r="K783" s="18" t="s">
        <v>195</v>
      </c>
      <c r="L783" s="18"/>
      <c r="M783" s="18" t="s">
        <v>196</v>
      </c>
      <c r="N783" s="18"/>
      <c r="O783" s="18"/>
      <c r="P783" s="18"/>
      <c r="Q783" s="18" t="s">
        <v>37</v>
      </c>
      <c r="R783" s="18"/>
      <c r="S783" s="18"/>
      <c r="T783" s="18"/>
      <c r="U783" s="18"/>
      <c r="V783" s="19">
        <v>2</v>
      </c>
    </row>
    <row r="784" spans="4:22" x14ac:dyDescent="0.45">
      <c r="D784" s="18" t="s">
        <v>1044</v>
      </c>
      <c r="E784" s="18" t="str">
        <f>[1]Mitigation!G14348</f>
        <v>irn.mit.rev.new.coa.usd.2</v>
      </c>
      <c r="F784" s="18" t="str">
        <f t="shared" si="59"/>
        <v>N/A</v>
      </c>
      <c r="G784" s="18" t="str">
        <f t="shared" si="60"/>
        <v>irn.mit.rev_f.coa.usd.2</v>
      </c>
      <c r="H784" s="18" t="s">
        <v>19</v>
      </c>
      <c r="I784" s="18" t="s">
        <v>38</v>
      </c>
      <c r="J784" s="18" t="s">
        <v>59</v>
      </c>
      <c r="K784" s="18" t="s">
        <v>195</v>
      </c>
      <c r="L784" s="18"/>
      <c r="M784" s="18" t="s">
        <v>196</v>
      </c>
      <c r="N784" s="18"/>
      <c r="O784" s="18"/>
      <c r="P784" s="18"/>
      <c r="Q784" s="18" t="s">
        <v>60</v>
      </c>
      <c r="R784" s="18"/>
      <c r="S784" s="18"/>
      <c r="T784" s="18"/>
      <c r="U784" s="18"/>
      <c r="V784" s="19">
        <v>2</v>
      </c>
    </row>
    <row r="785" spans="4:22" x14ac:dyDescent="0.45">
      <c r="D785" s="18" t="s">
        <v>1045</v>
      </c>
      <c r="E785" s="18" t="str">
        <f>[1]Mitigation!G14349</f>
        <v>irn.mit.rev.new.nga.usd.2</v>
      </c>
      <c r="F785" s="18" t="str">
        <f t="shared" si="59"/>
        <v>N/A</v>
      </c>
      <c r="G785" s="18" t="str">
        <f t="shared" si="60"/>
        <v>irn.mit.rev_f.nga.usd.2</v>
      </c>
      <c r="H785" s="18" t="s">
        <v>19</v>
      </c>
      <c r="I785" s="18" t="s">
        <v>38</v>
      </c>
      <c r="J785" s="18" t="s">
        <v>59</v>
      </c>
      <c r="K785" s="18" t="s">
        <v>195</v>
      </c>
      <c r="L785" s="18"/>
      <c r="M785" s="18" t="s">
        <v>196</v>
      </c>
      <c r="N785" s="18"/>
      <c r="O785" s="18"/>
      <c r="P785" s="18"/>
      <c r="Q785" s="18" t="s">
        <v>61</v>
      </c>
      <c r="R785" s="18"/>
      <c r="S785" s="18"/>
      <c r="T785" s="18"/>
      <c r="U785" s="18"/>
      <c r="V785" s="19">
        <v>2</v>
      </c>
    </row>
    <row r="786" spans="4:22" x14ac:dyDescent="0.45">
      <c r="D786" s="18" t="s">
        <v>1046</v>
      </c>
      <c r="E786" s="18" t="str">
        <f>[1]Mitigation!G14350</f>
        <v>irn.mit.rev.new.oil.usd.2</v>
      </c>
      <c r="F786" s="18" t="str">
        <f t="shared" si="59"/>
        <v>N/A</v>
      </c>
      <c r="G786" s="18" t="str">
        <f t="shared" si="60"/>
        <v>irn.mit.rev_f.oil.usd.2</v>
      </c>
      <c r="H786" s="18" t="s">
        <v>19</v>
      </c>
      <c r="I786" s="18" t="s">
        <v>38</v>
      </c>
      <c r="J786" s="18" t="s">
        <v>59</v>
      </c>
      <c r="K786" s="18" t="s">
        <v>195</v>
      </c>
      <c r="L786" s="18"/>
      <c r="M786" s="18" t="s">
        <v>196</v>
      </c>
      <c r="N786" s="18"/>
      <c r="O786" s="18"/>
      <c r="P786" s="18"/>
      <c r="Q786" s="18" t="s">
        <v>62</v>
      </c>
      <c r="R786" s="18"/>
      <c r="S786" s="18"/>
      <c r="T786" s="18"/>
      <c r="U786" s="18"/>
      <c r="V786" s="19">
        <v>2</v>
      </c>
    </row>
    <row r="787" spans="4:22" x14ac:dyDescent="0.45">
      <c r="D787" s="18" t="s">
        <v>1047</v>
      </c>
      <c r="E787" s="18" t="str">
        <f>[1]Mitigation!G14351</f>
        <v>irn.mit.rev.new.gso.usd.2</v>
      </c>
      <c r="F787" s="18" t="str">
        <f t="shared" si="59"/>
        <v>N/A</v>
      </c>
      <c r="G787" s="18" t="str">
        <f t="shared" si="60"/>
        <v>irn.mit.rev_f.gso.usd.2</v>
      </c>
      <c r="H787" s="18" t="s">
        <v>19</v>
      </c>
      <c r="I787" s="18" t="s">
        <v>38</v>
      </c>
      <c r="J787" s="18" t="s">
        <v>59</v>
      </c>
      <c r="K787" s="18" t="s">
        <v>195</v>
      </c>
      <c r="L787" s="18"/>
      <c r="M787" s="18" t="s">
        <v>196</v>
      </c>
      <c r="N787" s="18"/>
      <c r="O787" s="18"/>
      <c r="P787" s="18"/>
      <c r="Q787" s="18" t="s">
        <v>63</v>
      </c>
      <c r="R787" s="18"/>
      <c r="S787" s="18"/>
      <c r="T787" s="18"/>
      <c r="U787" s="18"/>
      <c r="V787" s="19">
        <v>2</v>
      </c>
    </row>
    <row r="788" spans="4:22" x14ac:dyDescent="0.45">
      <c r="D788" s="18" t="s">
        <v>1048</v>
      </c>
      <c r="E788" s="18" t="str">
        <f>[1]Mitigation!G14352</f>
        <v>irn.mit.rev.new.die.usd.2</v>
      </c>
      <c r="F788" s="18" t="str">
        <f t="shared" si="59"/>
        <v>N/A</v>
      </c>
      <c r="G788" s="18" t="str">
        <f t="shared" si="60"/>
        <v>irn.mit.rev_f.die.usd.2</v>
      </c>
      <c r="H788" s="18" t="s">
        <v>19</v>
      </c>
      <c r="I788" s="18" t="s">
        <v>38</v>
      </c>
      <c r="J788" s="18" t="s">
        <v>59</v>
      </c>
      <c r="K788" s="18" t="s">
        <v>195</v>
      </c>
      <c r="L788" s="18"/>
      <c r="M788" s="18" t="s">
        <v>196</v>
      </c>
      <c r="N788" s="18"/>
      <c r="O788" s="18"/>
      <c r="P788" s="18"/>
      <c r="Q788" s="18" t="s">
        <v>64</v>
      </c>
      <c r="R788" s="18"/>
      <c r="S788" s="18"/>
      <c r="T788" s="18"/>
      <c r="U788" s="18"/>
      <c r="V788" s="19">
        <v>2</v>
      </c>
    </row>
    <row r="789" spans="4:22" x14ac:dyDescent="0.45">
      <c r="D789" s="18" t="s">
        <v>1049</v>
      </c>
      <c r="E789" s="18" t="str">
        <f>[1]Mitigation!G14353</f>
        <v>irn.mit.rev.new.lpk.usd.2</v>
      </c>
      <c r="F789" s="18" t="str">
        <f t="shared" si="59"/>
        <v>N/A</v>
      </c>
      <c r="G789" s="18" t="str">
        <f t="shared" si="60"/>
        <v>irn.mit.rev_f.lpk.usd.2</v>
      </c>
      <c r="H789" s="18" t="s">
        <v>19</v>
      </c>
      <c r="I789" s="18" t="s">
        <v>38</v>
      </c>
      <c r="J789" s="18" t="s">
        <v>59</v>
      </c>
      <c r="K789" s="18" t="s">
        <v>195</v>
      </c>
      <c r="L789" s="18"/>
      <c r="M789" s="18" t="s">
        <v>196</v>
      </c>
      <c r="N789" s="18"/>
      <c r="O789" s="18"/>
      <c r="P789" s="18"/>
      <c r="Q789" s="18" t="s">
        <v>197</v>
      </c>
      <c r="R789" s="18"/>
      <c r="S789" s="18"/>
      <c r="T789" s="18"/>
      <c r="U789" s="18"/>
      <c r="V789" s="19">
        <v>2</v>
      </c>
    </row>
    <row r="790" spans="4:22" x14ac:dyDescent="0.45">
      <c r="D790" s="44" t="s">
        <v>1050</v>
      </c>
      <c r="E790" s="18" t="str">
        <f>[1]Mitigation!G14359</f>
        <v>irn.mit.rev.tot.usd.1</v>
      </c>
      <c r="F790" s="18" t="str">
        <f t="shared" si="59"/>
        <v>N/A</v>
      </c>
      <c r="G790" s="18" t="str">
        <f t="shared" si="60"/>
        <v>irn.mit.rev_f.tot.usd.1</v>
      </c>
      <c r="H790" s="18" t="s">
        <v>19</v>
      </c>
      <c r="I790" s="18" t="s">
        <v>38</v>
      </c>
      <c r="J790" s="18" t="s">
        <v>59</v>
      </c>
      <c r="K790" s="18" t="s">
        <v>195</v>
      </c>
      <c r="L790" s="18"/>
      <c r="M790" s="18" t="s">
        <v>37</v>
      </c>
      <c r="N790" s="18"/>
      <c r="O790" s="18"/>
      <c r="P790" s="18"/>
      <c r="Q790" s="18" t="s">
        <v>37</v>
      </c>
      <c r="R790" s="18"/>
      <c r="S790" s="18"/>
      <c r="T790" s="18"/>
      <c r="U790" s="18"/>
      <c r="V790" s="19">
        <v>1</v>
      </c>
    </row>
    <row r="791" spans="4:22" x14ac:dyDescent="0.45">
      <c r="D791" s="18" t="s">
        <v>1051</v>
      </c>
      <c r="E791" s="18" t="str">
        <f>[1]Mitigation!G14360</f>
        <v>irn.mit.rev.tot.coa.usd.1</v>
      </c>
      <c r="F791" s="18" t="str">
        <f t="shared" si="59"/>
        <v>N/A</v>
      </c>
      <c r="G791" s="18" t="str">
        <f t="shared" si="60"/>
        <v>irn.mit.rev_f.coa.usd.1</v>
      </c>
      <c r="H791" s="18" t="s">
        <v>19</v>
      </c>
      <c r="I791" s="18" t="s">
        <v>38</v>
      </c>
      <c r="J791" s="18" t="s">
        <v>59</v>
      </c>
      <c r="K791" s="18" t="s">
        <v>195</v>
      </c>
      <c r="L791" s="18"/>
      <c r="M791" s="18" t="s">
        <v>37</v>
      </c>
      <c r="N791" s="18"/>
      <c r="O791" s="18"/>
      <c r="P791" s="18"/>
      <c r="Q791" s="18" t="s">
        <v>60</v>
      </c>
      <c r="R791" s="18"/>
      <c r="S791" s="18"/>
      <c r="T791" s="18"/>
      <c r="U791" s="18"/>
      <c r="V791" s="19">
        <v>1</v>
      </c>
    </row>
    <row r="792" spans="4:22" x14ac:dyDescent="0.45">
      <c r="D792" s="18" t="s">
        <v>1052</v>
      </c>
      <c r="E792" s="18" t="str">
        <f>[1]Mitigation!G14361</f>
        <v>irn.mit.rev.tot.nga.usd.1</v>
      </c>
      <c r="F792" s="18" t="str">
        <f t="shared" si="59"/>
        <v>N/A</v>
      </c>
      <c r="G792" s="18" t="str">
        <f t="shared" si="60"/>
        <v>irn.mit.rev_f.nga.usd.1</v>
      </c>
      <c r="H792" s="18" t="s">
        <v>19</v>
      </c>
      <c r="I792" s="18" t="s">
        <v>38</v>
      </c>
      <c r="J792" s="18" t="s">
        <v>59</v>
      </c>
      <c r="K792" s="18" t="s">
        <v>195</v>
      </c>
      <c r="L792" s="18"/>
      <c r="M792" s="18" t="s">
        <v>37</v>
      </c>
      <c r="N792" s="18"/>
      <c r="O792" s="18"/>
      <c r="P792" s="18"/>
      <c r="Q792" s="18" t="s">
        <v>61</v>
      </c>
      <c r="R792" s="18"/>
      <c r="S792" s="18"/>
      <c r="T792" s="18"/>
      <c r="U792" s="18"/>
      <c r="V792" s="19">
        <v>1</v>
      </c>
    </row>
    <row r="793" spans="4:22" x14ac:dyDescent="0.45">
      <c r="D793" s="18" t="s">
        <v>1053</v>
      </c>
      <c r="E793" s="18" t="str">
        <f>[1]Mitigation!G14362</f>
        <v>irn.mit.rev.tot.oil.usd.1</v>
      </c>
      <c r="F793" s="18" t="str">
        <f t="shared" si="59"/>
        <v>N/A</v>
      </c>
      <c r="G793" s="18" t="str">
        <f t="shared" si="60"/>
        <v>irn.mit.rev_f.oil.usd.1</v>
      </c>
      <c r="H793" s="18" t="s">
        <v>19</v>
      </c>
      <c r="I793" s="18" t="s">
        <v>38</v>
      </c>
      <c r="J793" s="18" t="s">
        <v>59</v>
      </c>
      <c r="K793" s="18" t="s">
        <v>195</v>
      </c>
      <c r="L793" s="18"/>
      <c r="M793" s="18" t="s">
        <v>37</v>
      </c>
      <c r="N793" s="18"/>
      <c r="O793" s="18"/>
      <c r="P793" s="18"/>
      <c r="Q793" s="18" t="s">
        <v>62</v>
      </c>
      <c r="R793" s="18"/>
      <c r="S793" s="18"/>
      <c r="T793" s="18"/>
      <c r="U793" s="18"/>
      <c r="V793" s="19">
        <v>1</v>
      </c>
    </row>
    <row r="794" spans="4:22" x14ac:dyDescent="0.45">
      <c r="D794" s="18" t="s">
        <v>1054</v>
      </c>
      <c r="E794" s="18" t="str">
        <f>[1]Mitigation!G14363</f>
        <v>irn.mit.rev.tot.gso.usd.1</v>
      </c>
      <c r="F794" s="18" t="str">
        <f t="shared" si="59"/>
        <v>N/A</v>
      </c>
      <c r="G794" s="18" t="str">
        <f t="shared" si="60"/>
        <v>irn.mit.rev_f.gso.usd.1</v>
      </c>
      <c r="H794" s="18" t="s">
        <v>19</v>
      </c>
      <c r="I794" s="18" t="s">
        <v>38</v>
      </c>
      <c r="J794" s="18" t="s">
        <v>59</v>
      </c>
      <c r="K794" s="18" t="s">
        <v>195</v>
      </c>
      <c r="L794" s="18"/>
      <c r="M794" s="18" t="s">
        <v>37</v>
      </c>
      <c r="N794" s="18"/>
      <c r="O794" s="18"/>
      <c r="P794" s="18"/>
      <c r="Q794" s="18" t="s">
        <v>63</v>
      </c>
      <c r="R794" s="18"/>
      <c r="S794" s="18"/>
      <c r="T794" s="18"/>
      <c r="U794" s="18"/>
      <c r="V794" s="19">
        <v>1</v>
      </c>
    </row>
    <row r="795" spans="4:22" x14ac:dyDescent="0.45">
      <c r="D795" s="18" t="s">
        <v>1055</v>
      </c>
      <c r="E795" s="18" t="str">
        <f>[1]Mitigation!G14364</f>
        <v>irn.mit.rev.tot.die.usd.1</v>
      </c>
      <c r="F795" s="18" t="str">
        <f t="shared" si="59"/>
        <v>N/A</v>
      </c>
      <c r="G795" s="18" t="str">
        <f t="shared" si="60"/>
        <v>irn.mit.rev_f.die.usd.1</v>
      </c>
      <c r="H795" s="18" t="s">
        <v>19</v>
      </c>
      <c r="I795" s="18" t="s">
        <v>38</v>
      </c>
      <c r="J795" s="18" t="s">
        <v>59</v>
      </c>
      <c r="K795" s="18" t="s">
        <v>195</v>
      </c>
      <c r="L795" s="18"/>
      <c r="M795" s="18" t="s">
        <v>37</v>
      </c>
      <c r="N795" s="18"/>
      <c r="O795" s="18"/>
      <c r="P795" s="18"/>
      <c r="Q795" s="18" t="s">
        <v>64</v>
      </c>
      <c r="R795" s="18"/>
      <c r="S795" s="18"/>
      <c r="T795" s="18"/>
      <c r="U795" s="18"/>
      <c r="V795" s="19">
        <v>1</v>
      </c>
    </row>
    <row r="796" spans="4:22" x14ac:dyDescent="0.45">
      <c r="D796" s="18" t="s">
        <v>1056</v>
      </c>
      <c r="E796" s="18" t="str">
        <f>[1]Mitigation!G14365</f>
        <v>irn.mit.rev.tot.lpk.usd.1</v>
      </c>
      <c r="F796" s="18" t="str">
        <f t="shared" si="59"/>
        <v>N/A</v>
      </c>
      <c r="G796" s="18" t="str">
        <f t="shared" si="60"/>
        <v>irn.mit.rev_f.lpk.usd.1</v>
      </c>
      <c r="H796" s="18" t="s">
        <v>19</v>
      </c>
      <c r="I796" s="18" t="s">
        <v>38</v>
      </c>
      <c r="J796" s="18" t="s">
        <v>59</v>
      </c>
      <c r="K796" s="18" t="s">
        <v>195</v>
      </c>
      <c r="L796" s="18"/>
      <c r="M796" s="18"/>
      <c r="N796" s="18"/>
      <c r="O796" s="18"/>
      <c r="P796" s="18"/>
      <c r="Q796" s="18" t="s">
        <v>197</v>
      </c>
      <c r="R796" s="18"/>
      <c r="S796" s="18"/>
      <c r="T796" s="18"/>
      <c r="U796" s="18"/>
      <c r="V796" s="19">
        <v>1</v>
      </c>
    </row>
    <row r="797" spans="4:22" x14ac:dyDescent="0.45">
      <c r="D797" s="18" t="s">
        <v>1057</v>
      </c>
      <c r="E797" s="18" t="str">
        <f>[1]Mitigation!G14366</f>
        <v>irn.mit.sub.ren.usd.1</v>
      </c>
      <c r="F797" s="18" t="str">
        <f t="shared" si="59"/>
        <v>N/A</v>
      </c>
      <c r="G797" s="18" t="str">
        <f t="shared" si="60"/>
        <v>irn.mit.sub_f.ren.usd.1</v>
      </c>
      <c r="H797" s="18" t="s">
        <v>19</v>
      </c>
      <c r="I797" s="18" t="s">
        <v>198</v>
      </c>
      <c r="J797" s="18" t="s">
        <v>59</v>
      </c>
      <c r="K797" s="18" t="s">
        <v>195</v>
      </c>
      <c r="L797" s="18"/>
      <c r="M797" s="18" t="s">
        <v>196</v>
      </c>
      <c r="N797" s="18"/>
      <c r="O797" s="18"/>
      <c r="P797" s="18"/>
      <c r="Q797" s="18" t="s">
        <v>174</v>
      </c>
      <c r="R797" s="18"/>
      <c r="S797" s="18"/>
      <c r="T797" s="18"/>
      <c r="U797" s="18"/>
      <c r="V797" s="19">
        <v>1</v>
      </c>
    </row>
    <row r="798" spans="4:22" x14ac:dyDescent="0.45">
      <c r="D798" s="18" t="s">
        <v>1058</v>
      </c>
      <c r="E798" s="18" t="str">
        <f>[1]Mitigation!G14367</f>
        <v>irn.mit.rev.tot.ecy.usd.1</v>
      </c>
      <c r="F798" s="18" t="str">
        <f t="shared" si="59"/>
        <v>N/A</v>
      </c>
      <c r="G798" s="18" t="str">
        <f t="shared" si="60"/>
        <v>irn.mit.rev_f.elec.usd.1</v>
      </c>
      <c r="H798" s="18" t="s">
        <v>19</v>
      </c>
      <c r="I798" s="18" t="s">
        <v>38</v>
      </c>
      <c r="J798" s="18" t="s">
        <v>59</v>
      </c>
      <c r="K798" s="18" t="s">
        <v>195</v>
      </c>
      <c r="L798" s="18"/>
      <c r="M798" s="18" t="s">
        <v>196</v>
      </c>
      <c r="N798" s="18"/>
      <c r="O798" s="18"/>
      <c r="P798" s="18"/>
      <c r="Q798" s="18" t="s">
        <v>168</v>
      </c>
      <c r="R798" s="18"/>
      <c r="S798" s="18"/>
      <c r="T798" s="18"/>
      <c r="U798" s="18"/>
      <c r="V798" s="19">
        <v>1</v>
      </c>
    </row>
    <row r="799" spans="4:22" x14ac:dyDescent="0.45">
      <c r="D799" s="44" t="s">
        <v>1059</v>
      </c>
      <c r="E799" s="18" t="str">
        <f>[1]Mitigation!G14368</f>
        <v>irn.mit.rev.tot.usd.2</v>
      </c>
      <c r="F799" s="18" t="str">
        <f t="shared" si="59"/>
        <v>N/A</v>
      </c>
      <c r="G799" s="18" t="str">
        <f t="shared" si="60"/>
        <v>irn.mit.rev_f.tot.usd.2</v>
      </c>
      <c r="H799" s="18" t="s">
        <v>19</v>
      </c>
      <c r="I799" s="18" t="s">
        <v>38</v>
      </c>
      <c r="J799" s="18" t="s">
        <v>59</v>
      </c>
      <c r="K799" s="18" t="s">
        <v>195</v>
      </c>
      <c r="L799" s="18"/>
      <c r="M799" s="18" t="s">
        <v>37</v>
      </c>
      <c r="N799" s="18"/>
      <c r="O799" s="18"/>
      <c r="P799" s="18"/>
      <c r="Q799" s="18" t="s">
        <v>37</v>
      </c>
      <c r="R799" s="18"/>
      <c r="S799" s="18"/>
      <c r="T799" s="18"/>
      <c r="U799" s="18"/>
      <c r="V799" s="19">
        <v>2</v>
      </c>
    </row>
    <row r="800" spans="4:22" x14ac:dyDescent="0.45">
      <c r="D800" s="18" t="s">
        <v>1060</v>
      </c>
      <c r="E800" s="18" t="str">
        <f>[1]Mitigation!G14369</f>
        <v>irn.mit.rev.tot.coa.usd.2</v>
      </c>
      <c r="F800" s="18" t="str">
        <f t="shared" si="59"/>
        <v>N/A</v>
      </c>
      <c r="G800" s="18" t="str">
        <f t="shared" si="60"/>
        <v>irn.mit.rev_f.coa.usd.2</v>
      </c>
      <c r="H800" s="18" t="s">
        <v>19</v>
      </c>
      <c r="I800" s="18" t="s">
        <v>38</v>
      </c>
      <c r="J800" s="18" t="s">
        <v>59</v>
      </c>
      <c r="K800" s="18" t="s">
        <v>195</v>
      </c>
      <c r="L800" s="18"/>
      <c r="M800" s="18" t="s">
        <v>37</v>
      </c>
      <c r="N800" s="18"/>
      <c r="O800" s="18"/>
      <c r="P800" s="18"/>
      <c r="Q800" s="18" t="s">
        <v>60</v>
      </c>
      <c r="R800" s="18"/>
      <c r="S800" s="18"/>
      <c r="T800" s="18"/>
      <c r="U800" s="18"/>
      <c r="V800" s="19">
        <v>2</v>
      </c>
    </row>
    <row r="801" spans="4:22" x14ac:dyDescent="0.45">
      <c r="D801" s="18" t="s">
        <v>1061</v>
      </c>
      <c r="E801" s="18" t="str">
        <f>[1]Mitigation!G14370</f>
        <v>irn.mit.rev.tot.nga.usd.2</v>
      </c>
      <c r="F801" s="18" t="str">
        <f t="shared" si="59"/>
        <v>N/A</v>
      </c>
      <c r="G801" s="18" t="str">
        <f t="shared" si="60"/>
        <v>irn.mit.rev_f.nga.usd.2</v>
      </c>
      <c r="H801" s="18" t="s">
        <v>19</v>
      </c>
      <c r="I801" s="18" t="s">
        <v>38</v>
      </c>
      <c r="J801" s="18" t="s">
        <v>59</v>
      </c>
      <c r="K801" s="18" t="s">
        <v>195</v>
      </c>
      <c r="L801" s="18"/>
      <c r="M801" s="18" t="s">
        <v>37</v>
      </c>
      <c r="N801" s="18"/>
      <c r="O801" s="18"/>
      <c r="P801" s="18"/>
      <c r="Q801" s="18" t="s">
        <v>61</v>
      </c>
      <c r="R801" s="18"/>
      <c r="S801" s="18"/>
      <c r="T801" s="18"/>
      <c r="U801" s="18"/>
      <c r="V801" s="19">
        <v>2</v>
      </c>
    </row>
    <row r="802" spans="4:22" x14ac:dyDescent="0.45">
      <c r="D802" s="18" t="s">
        <v>1062</v>
      </c>
      <c r="E802" s="18" t="str">
        <f>[1]Mitigation!G14371</f>
        <v>irn.mit.rev.tot.oil.usd.2</v>
      </c>
      <c r="F802" s="18" t="str">
        <f t="shared" si="59"/>
        <v>N/A</v>
      </c>
      <c r="G802" s="18" t="str">
        <f t="shared" si="60"/>
        <v>irn.mit.rev_f.oil.usd.2</v>
      </c>
      <c r="H802" s="18" t="s">
        <v>19</v>
      </c>
      <c r="I802" s="18" t="s">
        <v>38</v>
      </c>
      <c r="J802" s="18" t="s">
        <v>59</v>
      </c>
      <c r="K802" s="18" t="s">
        <v>195</v>
      </c>
      <c r="L802" s="18"/>
      <c r="M802" s="18" t="s">
        <v>37</v>
      </c>
      <c r="N802" s="18"/>
      <c r="O802" s="18"/>
      <c r="P802" s="18"/>
      <c r="Q802" s="18" t="s">
        <v>62</v>
      </c>
      <c r="R802" s="18"/>
      <c r="S802" s="18"/>
      <c r="T802" s="18"/>
      <c r="U802" s="18"/>
      <c r="V802" s="19">
        <v>2</v>
      </c>
    </row>
    <row r="803" spans="4:22" x14ac:dyDescent="0.45">
      <c r="D803" s="18" t="s">
        <v>1063</v>
      </c>
      <c r="E803" s="18" t="str">
        <f>[1]Mitigation!G14372</f>
        <v>irn.mit.rev.tot.gso.usd.2</v>
      </c>
      <c r="F803" s="18" t="str">
        <f t="shared" si="59"/>
        <v>N/A</v>
      </c>
      <c r="G803" s="18" t="str">
        <f t="shared" si="60"/>
        <v>irn.mit.rev_f.gso.usd.2</v>
      </c>
      <c r="H803" s="18" t="s">
        <v>19</v>
      </c>
      <c r="I803" s="18" t="s">
        <v>38</v>
      </c>
      <c r="J803" s="18" t="s">
        <v>59</v>
      </c>
      <c r="K803" s="18" t="s">
        <v>195</v>
      </c>
      <c r="L803" s="18"/>
      <c r="M803" s="18" t="s">
        <v>37</v>
      </c>
      <c r="N803" s="18"/>
      <c r="O803" s="18"/>
      <c r="P803" s="18"/>
      <c r="Q803" s="18" t="s">
        <v>63</v>
      </c>
      <c r="R803" s="18"/>
      <c r="S803" s="18"/>
      <c r="T803" s="18"/>
      <c r="U803" s="18"/>
      <c r="V803" s="19">
        <v>2</v>
      </c>
    </row>
    <row r="804" spans="4:22" x14ac:dyDescent="0.45">
      <c r="D804" s="18" t="s">
        <v>1064</v>
      </c>
      <c r="E804" s="18" t="str">
        <f>[1]Mitigation!G14373</f>
        <v>irn.mit.rev.tot.die.usd.2</v>
      </c>
      <c r="F804" s="18" t="str">
        <f t="shared" si="59"/>
        <v>N/A</v>
      </c>
      <c r="G804" s="18" t="str">
        <f t="shared" si="60"/>
        <v>irn.mit.rev_f.die.usd.2</v>
      </c>
      <c r="H804" s="18" t="s">
        <v>19</v>
      </c>
      <c r="I804" s="18" t="s">
        <v>38</v>
      </c>
      <c r="J804" s="18" t="s">
        <v>59</v>
      </c>
      <c r="K804" s="18" t="s">
        <v>195</v>
      </c>
      <c r="L804" s="18"/>
      <c r="M804" s="18" t="s">
        <v>37</v>
      </c>
      <c r="N804" s="18"/>
      <c r="O804" s="18"/>
      <c r="P804" s="18"/>
      <c r="Q804" s="18" t="s">
        <v>64</v>
      </c>
      <c r="R804" s="18"/>
      <c r="S804" s="18"/>
      <c r="T804" s="18"/>
      <c r="U804" s="18"/>
      <c r="V804" s="19">
        <v>2</v>
      </c>
    </row>
    <row r="805" spans="4:22" x14ac:dyDescent="0.45">
      <c r="D805" s="18" t="s">
        <v>1065</v>
      </c>
      <c r="E805" s="18" t="str">
        <f>[1]Mitigation!G14374</f>
        <v>irn.mit.rev.tot.lpk.usd.2</v>
      </c>
      <c r="F805" s="18" t="str">
        <f t="shared" si="59"/>
        <v>N/A</v>
      </c>
      <c r="G805" s="18" t="str">
        <f t="shared" si="60"/>
        <v>irn.mit.rev_f.lpk.usd.2</v>
      </c>
      <c r="H805" s="18" t="s">
        <v>19</v>
      </c>
      <c r="I805" s="18" t="s">
        <v>38</v>
      </c>
      <c r="J805" s="18" t="s">
        <v>59</v>
      </c>
      <c r="K805" s="18" t="s">
        <v>195</v>
      </c>
      <c r="L805" s="18"/>
      <c r="M805" s="18" t="s">
        <v>37</v>
      </c>
      <c r="N805" s="18"/>
      <c r="O805" s="18"/>
      <c r="P805" s="18"/>
      <c r="Q805" s="18" t="s">
        <v>197</v>
      </c>
      <c r="R805" s="18"/>
      <c r="S805" s="18"/>
      <c r="T805" s="18"/>
      <c r="U805" s="18"/>
      <c r="V805" s="19">
        <v>2</v>
      </c>
    </row>
    <row r="806" spans="4:22" x14ac:dyDescent="0.45">
      <c r="D806" s="18" t="s">
        <v>1066</v>
      </c>
      <c r="E806" s="18" t="str">
        <f>[1]Mitigation!G14375</f>
        <v>irn.mit.sub.ren.usd.2</v>
      </c>
      <c r="F806" s="18" t="str">
        <f t="shared" si="59"/>
        <v>N/A</v>
      </c>
      <c r="G806" s="18" t="str">
        <f t="shared" si="60"/>
        <v>irn.mit.sub_f.ren.usd.2</v>
      </c>
      <c r="H806" s="18" t="s">
        <v>19</v>
      </c>
      <c r="I806" s="18" t="s">
        <v>198</v>
      </c>
      <c r="J806" s="18" t="s">
        <v>59</v>
      </c>
      <c r="K806" s="18" t="s">
        <v>195</v>
      </c>
      <c r="L806" s="18"/>
      <c r="M806" s="18"/>
      <c r="N806" s="18"/>
      <c r="O806" s="18"/>
      <c r="P806" s="18"/>
      <c r="Q806" s="18" t="s">
        <v>174</v>
      </c>
      <c r="R806" s="18"/>
      <c r="S806" s="18"/>
      <c r="T806" s="18"/>
      <c r="U806" s="18"/>
      <c r="V806" s="19">
        <v>2</v>
      </c>
    </row>
    <row r="807" spans="4:22" x14ac:dyDescent="0.45">
      <c r="D807" s="18" t="s">
        <v>1067</v>
      </c>
      <c r="E807" s="18" t="str">
        <f>[1]Mitigation!G14376</f>
        <v>irn.mit.rev.tot.ecy.usd.2</v>
      </c>
      <c r="F807" s="18" t="str">
        <f t="shared" si="59"/>
        <v>N/A</v>
      </c>
      <c r="G807" s="18" t="str">
        <f t="shared" si="60"/>
        <v>irn.mit.rev_f.elec.usd.2</v>
      </c>
      <c r="H807" s="18" t="s">
        <v>19</v>
      </c>
      <c r="I807" s="18" t="s">
        <v>38</v>
      </c>
      <c r="J807" s="18" t="s">
        <v>59</v>
      </c>
      <c r="K807" s="18" t="s">
        <v>195</v>
      </c>
      <c r="L807" s="18"/>
      <c r="M807" s="18" t="s">
        <v>196</v>
      </c>
      <c r="N807" s="18"/>
      <c r="O807" s="18"/>
      <c r="P807" s="18"/>
      <c r="Q807" s="18" t="s">
        <v>168</v>
      </c>
      <c r="R807" s="18"/>
      <c r="S807" s="18"/>
      <c r="T807" s="18"/>
      <c r="U807" s="18"/>
      <c r="V807" s="19">
        <v>2</v>
      </c>
    </row>
    <row r="808" spans="4:22" x14ac:dyDescent="0.45">
      <c r="D808" s="2"/>
      <c r="E808" s="2"/>
      <c r="F808" s="2"/>
      <c r="G808" s="2" t="str">
        <f t="shared" si="55"/>
        <v/>
      </c>
      <c r="H808" s="2" t="s">
        <v>18</v>
      </c>
      <c r="I808" s="2"/>
      <c r="J808" s="2" t="s">
        <v>18</v>
      </c>
      <c r="K808" s="2"/>
      <c r="L808" s="2"/>
      <c r="M808" s="2"/>
      <c r="N808" s="2"/>
      <c r="O808" s="2"/>
      <c r="P808" s="2" t="str">
        <f t="shared" si="56"/>
        <v/>
      </c>
      <c r="Q808" s="2"/>
      <c r="R808" s="2"/>
      <c r="S808" s="2"/>
      <c r="T808" s="2"/>
      <c r="U808" s="2" t="str">
        <f t="shared" ref="U808:U849" si="61">R808&amp;T808&amp;S808</f>
        <v/>
      </c>
      <c r="V808" s="3"/>
    </row>
    <row r="809" spans="4:22" x14ac:dyDescent="0.45">
      <c r="D809" s="18" t="s">
        <v>1068</v>
      </c>
      <c r="E809" s="4" t="str">
        <f>LOWER(_Country_code)&amp;".air.con.pm2.oap.urb.1"</f>
        <v>irn.air.con.pm2.oap.urb.1</v>
      </c>
      <c r="F809" s="4" t="str">
        <f t="shared" ref="F809:F857" si="62">IF(MTAct,E809&amp;"_"&amp;MSTScenarioID,"N/A")</f>
        <v>N/A</v>
      </c>
      <c r="G809" s="4" t="str">
        <f t="shared" si="55"/>
        <v>irn.air.oap_.all.all.oappm2.all.1</v>
      </c>
      <c r="H809" s="4" t="s">
        <v>199</v>
      </c>
      <c r="I809" s="4" t="s">
        <v>200</v>
      </c>
      <c r="J809" s="4" t="s">
        <v>18</v>
      </c>
      <c r="K809" s="4"/>
      <c r="L809" s="4"/>
      <c r="M809" s="4"/>
      <c r="N809" s="4"/>
      <c r="O809" s="4" t="s">
        <v>201</v>
      </c>
      <c r="P809" s="4" t="str">
        <f t="shared" si="56"/>
        <v>urb</v>
      </c>
      <c r="Q809" s="4"/>
      <c r="R809" s="4"/>
      <c r="S809" s="4" t="s">
        <v>202</v>
      </c>
      <c r="T809" s="4" t="s">
        <v>200</v>
      </c>
      <c r="U809" s="4" t="str">
        <f t="shared" si="61"/>
        <v>oappm2</v>
      </c>
      <c r="V809" s="6">
        <v>1</v>
      </c>
    </row>
    <row r="810" spans="4:22" x14ac:dyDescent="0.45">
      <c r="D810" s="18" t="s">
        <v>1069</v>
      </c>
      <c r="E810" s="4" t="str">
        <f>LOWER(_Country_code)&amp;".air.con.pm2.oap.rur.1"</f>
        <v>irn.air.con.pm2.oap.rur.1</v>
      </c>
      <c r="F810" s="4" t="str">
        <f t="shared" si="62"/>
        <v>N/A</v>
      </c>
      <c r="G810" s="4" t="str">
        <f t="shared" si="55"/>
        <v>irn.air.oap_.all.all.oappm2.all.1</v>
      </c>
      <c r="H810" s="4" t="s">
        <v>199</v>
      </c>
      <c r="I810" s="4" t="s">
        <v>200</v>
      </c>
      <c r="J810" s="4" t="s">
        <v>18</v>
      </c>
      <c r="K810" s="4"/>
      <c r="L810" s="4"/>
      <c r="M810" s="4"/>
      <c r="N810" s="4"/>
      <c r="O810" s="4" t="s">
        <v>203</v>
      </c>
      <c r="P810" s="4" t="str">
        <f t="shared" si="56"/>
        <v>rur</v>
      </c>
      <c r="Q810" s="4"/>
      <c r="R810" s="4"/>
      <c r="S810" s="4" t="s">
        <v>202</v>
      </c>
      <c r="T810" s="4" t="s">
        <v>200</v>
      </c>
      <c r="U810" s="4" t="str">
        <f t="shared" si="61"/>
        <v>oappm2</v>
      </c>
      <c r="V810" s="6">
        <v>1</v>
      </c>
    </row>
    <row r="811" spans="4:22" x14ac:dyDescent="0.45">
      <c r="D811" s="18" t="s">
        <v>1070</v>
      </c>
      <c r="E811" s="4" t="str">
        <f>LOWER(_Country_code)&amp;".air.con.pm2.oap.urb."&amp;ScenarioNum</f>
        <v>irn.air.con.pm2.oap.urb.2</v>
      </c>
      <c r="F811" s="4" t="str">
        <f t="shared" si="62"/>
        <v>N/A</v>
      </c>
      <c r="G811" s="4" t="str">
        <f t="shared" si="55"/>
        <v>irn.air.oap_.all.all.oappm2.all.2</v>
      </c>
      <c r="H811" s="4" t="s">
        <v>199</v>
      </c>
      <c r="I811" s="4" t="s">
        <v>200</v>
      </c>
      <c r="J811" s="4" t="s">
        <v>18</v>
      </c>
      <c r="K811" s="4"/>
      <c r="L811" s="4"/>
      <c r="M811" s="4"/>
      <c r="N811" s="4"/>
      <c r="O811" s="4" t="s">
        <v>201</v>
      </c>
      <c r="P811" s="4" t="str">
        <f t="shared" si="56"/>
        <v>urb</v>
      </c>
      <c r="Q811" s="4"/>
      <c r="R811" s="4"/>
      <c r="S811" s="4" t="s">
        <v>202</v>
      </c>
      <c r="T811" s="4" t="s">
        <v>200</v>
      </c>
      <c r="U811" s="4" t="str">
        <f t="shared" si="61"/>
        <v>oappm2</v>
      </c>
      <c r="V811" s="6">
        <v>2</v>
      </c>
    </row>
    <row r="812" spans="4:22" x14ac:dyDescent="0.45">
      <c r="D812" s="18" t="s">
        <v>1071</v>
      </c>
      <c r="E812" s="4" t="str">
        <f>LOWER(_Country_code)&amp;".air.con.pm2.oap.rur."&amp;ScenarioNum</f>
        <v>irn.air.con.pm2.oap.rur.2</v>
      </c>
      <c r="F812" s="4" t="str">
        <f t="shared" si="62"/>
        <v>N/A</v>
      </c>
      <c r="G812" s="4" t="str">
        <f t="shared" si="55"/>
        <v>irn.air.oap_.all.all.oappm2.all.2</v>
      </c>
      <c r="H812" s="4" t="s">
        <v>199</v>
      </c>
      <c r="I812" s="4" t="s">
        <v>200</v>
      </c>
      <c r="J812" s="4" t="s">
        <v>18</v>
      </c>
      <c r="K812" s="4"/>
      <c r="L812" s="4"/>
      <c r="M812" s="4"/>
      <c r="N812" s="4"/>
      <c r="O812" s="4" t="s">
        <v>203</v>
      </c>
      <c r="P812" s="4" t="str">
        <f t="shared" si="56"/>
        <v>rur</v>
      </c>
      <c r="Q812" s="4"/>
      <c r="R812" s="4"/>
      <c r="S812" s="4" t="s">
        <v>202</v>
      </c>
      <c r="T812" s="4" t="s">
        <v>200</v>
      </c>
      <c r="U812" s="4" t="str">
        <f t="shared" si="61"/>
        <v>oappm2</v>
      </c>
      <c r="V812" s="6">
        <v>2</v>
      </c>
    </row>
    <row r="813" spans="4:22" x14ac:dyDescent="0.45">
      <c r="D813" s="18" t="s">
        <v>1072</v>
      </c>
      <c r="E813" s="4" t="str">
        <f>LOWER(_Country_code)&amp;".air.con.pm2.mod.all.1"</f>
        <v>irn.air.con.pm2.mod.all.1</v>
      </c>
      <c r="F813" s="4" t="str">
        <f t="shared" si="62"/>
        <v>N/A</v>
      </c>
      <c r="G813" s="4" t="str">
        <f t="shared" si="55"/>
        <v>irn.air.mod_.all.all.modpm2.all.1</v>
      </c>
      <c r="H813" s="4" t="s">
        <v>199</v>
      </c>
      <c r="I813" s="4" t="s">
        <v>204</v>
      </c>
      <c r="J813" s="4" t="s">
        <v>18</v>
      </c>
      <c r="K813" s="4"/>
      <c r="L813" s="4"/>
      <c r="M813" s="4"/>
      <c r="N813" s="4"/>
      <c r="O813" s="4" t="s">
        <v>46</v>
      </c>
      <c r="P813" s="4" t="str">
        <f t="shared" si="56"/>
        <v>all</v>
      </c>
      <c r="Q813" s="4"/>
      <c r="R813" s="4"/>
      <c r="S813" s="4" t="s">
        <v>202</v>
      </c>
      <c r="T813" s="4" t="s">
        <v>204</v>
      </c>
      <c r="U813" s="4" t="str">
        <f t="shared" si="61"/>
        <v>modpm2</v>
      </c>
      <c r="V813" s="6">
        <v>1</v>
      </c>
    </row>
    <row r="814" spans="4:22" x14ac:dyDescent="0.45">
      <c r="D814" s="18" t="s">
        <v>1073</v>
      </c>
      <c r="E814" s="4" t="str">
        <f>LOWER(_Country_code)&amp;".air.con.pm2.obs.all.1"</f>
        <v>irn.air.con.pm2.obs.all.1</v>
      </c>
      <c r="F814" s="4" t="str">
        <f t="shared" si="62"/>
        <v>N/A</v>
      </c>
      <c r="G814" s="4" t="str">
        <f t="shared" si="55"/>
        <v>irn.air.obs_.all.all.obspm2.all.1</v>
      </c>
      <c r="H814" s="4" t="s">
        <v>199</v>
      </c>
      <c r="I814" s="4" t="s">
        <v>205</v>
      </c>
      <c r="J814" s="4" t="s">
        <v>18</v>
      </c>
      <c r="K814" s="4"/>
      <c r="L814" s="4"/>
      <c r="M814" s="4"/>
      <c r="N814" s="4"/>
      <c r="O814" s="4" t="s">
        <v>46</v>
      </c>
      <c r="P814" s="4" t="str">
        <f t="shared" si="56"/>
        <v>all</v>
      </c>
      <c r="Q814" s="4"/>
      <c r="R814" s="4"/>
      <c r="S814" s="4" t="s">
        <v>202</v>
      </c>
      <c r="T814" s="4" t="s">
        <v>205</v>
      </c>
      <c r="U814" s="4" t="str">
        <f t="shared" si="61"/>
        <v>obspm2</v>
      </c>
      <c r="V814" s="6">
        <v>1</v>
      </c>
    </row>
    <row r="815" spans="4:22" x14ac:dyDescent="0.45">
      <c r="D815" s="18" t="s">
        <v>1074</v>
      </c>
      <c r="E815" s="4" t="s">
        <v>206</v>
      </c>
      <c r="F815" s="4" t="str">
        <f t="shared" si="62"/>
        <v>N/A</v>
      </c>
      <c r="G815" s="4" t="str">
        <f t="shared" si="55"/>
        <v>irn.gui.whoguidelines_.all.all.pm2.all.all</v>
      </c>
      <c r="H815" s="4" t="s">
        <v>207</v>
      </c>
      <c r="I815" s="4" t="s">
        <v>208</v>
      </c>
      <c r="J815" s="4" t="s">
        <v>18</v>
      </c>
      <c r="K815" s="4"/>
      <c r="L815" s="4"/>
      <c r="M815" s="4"/>
      <c r="N815" s="4"/>
      <c r="O815" s="4"/>
      <c r="P815" s="4" t="str">
        <f t="shared" si="56"/>
        <v/>
      </c>
      <c r="Q815" s="4"/>
      <c r="R815" s="4"/>
      <c r="S815" s="4" t="s">
        <v>202</v>
      </c>
      <c r="T815" s="4"/>
      <c r="U815" s="4" t="str">
        <f t="shared" si="61"/>
        <v>pm2</v>
      </c>
      <c r="V815" s="10"/>
    </row>
    <row r="816" spans="4:22" x14ac:dyDescent="0.45">
      <c r="D816" s="47" t="s">
        <v>1075</v>
      </c>
      <c r="E816" s="4" t="str">
        <f>LOWER(_Country_code)&amp;".air.cad.ao3"</f>
        <v>irn.air.cad.ao3</v>
      </c>
      <c r="F816" s="4" t="str">
        <f t="shared" si="62"/>
        <v>N/A</v>
      </c>
      <c r="G816" s="4" t="str">
        <f t="shared" si="55"/>
        <v>irn.air.cad_.all.all.ao3.all.all</v>
      </c>
      <c r="H816" s="4" t="s">
        <v>199</v>
      </c>
      <c r="I816" s="4" t="s">
        <v>209</v>
      </c>
      <c r="J816" s="4" t="s">
        <v>18</v>
      </c>
      <c r="K816" s="4"/>
      <c r="L816" s="4"/>
      <c r="M816" s="4"/>
      <c r="N816" s="4"/>
      <c r="O816" s="4"/>
      <c r="P816" s="4" t="str">
        <f t="shared" si="56"/>
        <v/>
      </c>
      <c r="Q816" s="4"/>
      <c r="R816" s="4"/>
      <c r="S816" s="4"/>
      <c r="T816" s="4" t="s">
        <v>210</v>
      </c>
      <c r="U816" s="4" t="str">
        <f t="shared" si="61"/>
        <v>ao3</v>
      </c>
      <c r="V816" s="10"/>
    </row>
    <row r="817" spans="4:22" x14ac:dyDescent="0.45">
      <c r="D817" s="47" t="s">
        <v>1076</v>
      </c>
      <c r="E817" s="4" t="str">
        <f>LOWER(_Country_code)&amp;".air.cad.apm25"</f>
        <v>irn.air.cad.apm25</v>
      </c>
      <c r="F817" s="4" t="str">
        <f t="shared" si="62"/>
        <v>N/A</v>
      </c>
      <c r="G817" s="4" t="str">
        <f t="shared" si="55"/>
        <v>irn.air.cad_.all.all.apm25.all.all</v>
      </c>
      <c r="H817" s="4" t="s">
        <v>199</v>
      </c>
      <c r="I817" s="4" t="s">
        <v>209</v>
      </c>
      <c r="J817" s="4" t="s">
        <v>18</v>
      </c>
      <c r="K817" s="4"/>
      <c r="L817" s="4"/>
      <c r="M817" s="4"/>
      <c r="N817" s="4"/>
      <c r="O817" s="4"/>
      <c r="P817" s="4" t="str">
        <f t="shared" si="56"/>
        <v/>
      </c>
      <c r="Q817" s="4"/>
      <c r="R817" s="4"/>
      <c r="S817" s="4"/>
      <c r="T817" s="4" t="s">
        <v>211</v>
      </c>
      <c r="U817" s="4" t="str">
        <f t="shared" si="61"/>
        <v>apm25</v>
      </c>
      <c r="V817" s="10"/>
    </row>
    <row r="818" spans="4:22" x14ac:dyDescent="0.45">
      <c r="D818" s="47" t="s">
        <v>1077</v>
      </c>
      <c r="E818" s="4" t="str">
        <f>LOWER(_Country_code)&amp;".air.cad.hpm25"</f>
        <v>irn.air.cad.hpm25</v>
      </c>
      <c r="F818" s="4" t="str">
        <f t="shared" si="62"/>
        <v>N/A</v>
      </c>
      <c r="G818" s="4" t="str">
        <f t="shared" si="55"/>
        <v>irn.air.cad_.all.all.hpm25.all.all</v>
      </c>
      <c r="H818" s="4" t="s">
        <v>199</v>
      </c>
      <c r="I818" s="4" t="s">
        <v>209</v>
      </c>
      <c r="J818" s="4" t="s">
        <v>18</v>
      </c>
      <c r="K818" s="4"/>
      <c r="L818" s="4"/>
      <c r="M818" s="4"/>
      <c r="N818" s="4"/>
      <c r="O818" s="4"/>
      <c r="P818" s="4" t="str">
        <f t="shared" si="56"/>
        <v/>
      </c>
      <c r="Q818" s="4"/>
      <c r="R818" s="4"/>
      <c r="S818" s="4"/>
      <c r="T818" s="4" t="s">
        <v>212</v>
      </c>
      <c r="U818" s="4" t="str">
        <f t="shared" si="61"/>
        <v>hpm25</v>
      </c>
      <c r="V818" s="10"/>
    </row>
    <row r="819" spans="4:22" x14ac:dyDescent="0.45">
      <c r="D819" s="47" t="s">
        <v>1078</v>
      </c>
      <c r="E819" s="4" t="str">
        <f>LOWER(_Country_code)&amp;".air.cad.net"</f>
        <v>irn.air.cad.net</v>
      </c>
      <c r="F819" s="4" t="str">
        <f t="shared" si="62"/>
        <v>N/A</v>
      </c>
      <c r="G819" s="4" t="str">
        <f t="shared" si="55"/>
        <v>irn.air.cad_.all.all.net.all.all</v>
      </c>
      <c r="H819" s="4" t="s">
        <v>199</v>
      </c>
      <c r="I819" s="4" t="s">
        <v>209</v>
      </c>
      <c r="J819" s="4" t="s">
        <v>18</v>
      </c>
      <c r="K819" s="4"/>
      <c r="L819" s="4"/>
      <c r="M819" s="4"/>
      <c r="N819" s="4"/>
      <c r="O819" s="4"/>
      <c r="P819" s="4" t="str">
        <f t="shared" si="56"/>
        <v/>
      </c>
      <c r="Q819" s="4"/>
      <c r="R819" s="4"/>
      <c r="S819" s="4"/>
      <c r="T819" s="4" t="s">
        <v>213</v>
      </c>
      <c r="U819" s="4" t="str">
        <f t="shared" si="61"/>
        <v>net</v>
      </c>
      <c r="V819" s="10"/>
    </row>
    <row r="820" spans="4:22" x14ac:dyDescent="0.45">
      <c r="D820" s="47" t="s">
        <v>1079</v>
      </c>
      <c r="E820" s="4" t="str">
        <f>LOWER(_Country_code)&amp;".air.ada.2464"</f>
        <v>irn.air.ada.2464</v>
      </c>
      <c r="F820" s="4" t="str">
        <f t="shared" si="62"/>
        <v>N/A</v>
      </c>
      <c r="G820" s="4" t="str">
        <f t="shared" si="55"/>
        <v>irn.air.ada_.all.all.age2464.all.all</v>
      </c>
      <c r="H820" s="4" t="s">
        <v>199</v>
      </c>
      <c r="I820" s="4" t="s">
        <v>214</v>
      </c>
      <c r="J820" s="4" t="s">
        <v>18</v>
      </c>
      <c r="K820" s="4"/>
      <c r="L820" s="4"/>
      <c r="M820" s="4"/>
      <c r="N820" s="4"/>
      <c r="O820" s="4"/>
      <c r="P820" s="4" t="str">
        <f t="shared" si="56"/>
        <v/>
      </c>
      <c r="Q820" s="4"/>
      <c r="R820" s="4"/>
      <c r="S820" s="4"/>
      <c r="T820" s="4" t="s">
        <v>215</v>
      </c>
      <c r="U820" s="4" t="str">
        <f t="shared" si="61"/>
        <v>age2464</v>
      </c>
      <c r="V820" s="10"/>
    </row>
    <row r="821" spans="4:22" x14ac:dyDescent="0.45">
      <c r="D821" s="47" t="s">
        <v>1080</v>
      </c>
      <c r="E821" s="4" t="str">
        <f>LOWER(_Country_code)&amp;".air.ada.65"</f>
        <v>irn.air.ada.65</v>
      </c>
      <c r="F821" s="4" t="str">
        <f t="shared" si="62"/>
        <v>N/A</v>
      </c>
      <c r="G821" s="4" t="str">
        <f t="shared" si="55"/>
        <v>irn.air.ada_.all.all.age65plus.all.all</v>
      </c>
      <c r="H821" s="4" t="s">
        <v>199</v>
      </c>
      <c r="I821" s="4" t="s">
        <v>214</v>
      </c>
      <c r="J821" s="4" t="s">
        <v>18</v>
      </c>
      <c r="K821" s="4"/>
      <c r="L821" s="4"/>
      <c r="M821" s="4"/>
      <c r="N821" s="4"/>
      <c r="O821" s="4"/>
      <c r="P821" s="4" t="str">
        <f t="shared" si="56"/>
        <v/>
      </c>
      <c r="Q821" s="4"/>
      <c r="R821" s="4"/>
      <c r="S821" s="4"/>
      <c r="T821" s="4" t="s">
        <v>216</v>
      </c>
      <c r="U821" s="4" t="str">
        <f t="shared" si="61"/>
        <v>age65plus</v>
      </c>
      <c r="V821" s="10"/>
    </row>
    <row r="822" spans="4:22" x14ac:dyDescent="0.45">
      <c r="D822" s="47" t="s">
        <v>1081</v>
      </c>
      <c r="E822" s="4" t="str">
        <f>LOWER(_Country_code)&amp;".air.ada.u24"</f>
        <v>irn.air.ada.u24</v>
      </c>
      <c r="F822" s="4" t="str">
        <f t="shared" si="62"/>
        <v>N/A</v>
      </c>
      <c r="G822" s="4" t="str">
        <f t="shared" si="55"/>
        <v>irn.air.ada_.all.all.u24.all.all</v>
      </c>
      <c r="H822" s="4" t="s">
        <v>199</v>
      </c>
      <c r="I822" s="4" t="s">
        <v>214</v>
      </c>
      <c r="J822" s="4" t="s">
        <v>18</v>
      </c>
      <c r="K822" s="4"/>
      <c r="L822" s="4"/>
      <c r="M822" s="4"/>
      <c r="N822" s="4"/>
      <c r="O822" s="4"/>
      <c r="P822" s="4" t="str">
        <f t="shared" si="56"/>
        <v/>
      </c>
      <c r="Q822" s="4"/>
      <c r="R822" s="4"/>
      <c r="S822" s="4"/>
      <c r="T822" s="4" t="s">
        <v>217</v>
      </c>
      <c r="U822" s="4" t="str">
        <f t="shared" si="61"/>
        <v>u24</v>
      </c>
      <c r="V822" s="10"/>
    </row>
    <row r="823" spans="4:22" x14ac:dyDescent="0.45">
      <c r="D823" s="47" t="s">
        <v>1082</v>
      </c>
      <c r="E823" s="4" t="str">
        <f>LOWER(_Country_code)&amp;".air.av.yll"</f>
        <v>irn.air.av.yll</v>
      </c>
      <c r="F823" s="4" t="str">
        <f t="shared" si="62"/>
        <v>N/A</v>
      </c>
      <c r="G823" s="4" t="str">
        <f t="shared" si="55"/>
        <v>irn.air.yll_.all.all.all.all.all</v>
      </c>
      <c r="H823" s="4" t="s">
        <v>199</v>
      </c>
      <c r="I823" s="4" t="s">
        <v>218</v>
      </c>
      <c r="J823" s="4" t="s">
        <v>18</v>
      </c>
      <c r="K823" s="4"/>
      <c r="L823" s="4"/>
      <c r="M823" s="4"/>
      <c r="N823" s="4"/>
      <c r="O823" s="4"/>
      <c r="P823" s="4" t="str">
        <f t="shared" si="56"/>
        <v/>
      </c>
      <c r="Q823" s="4"/>
      <c r="R823" s="4"/>
      <c r="S823" s="4"/>
      <c r="T823" s="4"/>
      <c r="U823" s="4" t="str">
        <f t="shared" si="61"/>
        <v/>
      </c>
      <c r="V823" s="10"/>
    </row>
    <row r="824" spans="4:22" x14ac:dyDescent="0.45">
      <c r="D824" s="47" t="s">
        <v>1083</v>
      </c>
      <c r="E824" s="4" t="str">
        <f>LOWER(_Country_code)&amp;".air.av.yld"</f>
        <v>irn.air.av.yld</v>
      </c>
      <c r="F824" s="4" t="str">
        <f t="shared" si="62"/>
        <v>N/A</v>
      </c>
      <c r="G824" s="4" t="str">
        <f t="shared" si="55"/>
        <v>irn.air.yld_.all.all.all.all.all</v>
      </c>
      <c r="H824" s="4" t="s">
        <v>199</v>
      </c>
      <c r="I824" s="4" t="s">
        <v>219</v>
      </c>
      <c r="J824" s="4" t="s">
        <v>18</v>
      </c>
      <c r="K824" s="4"/>
      <c r="L824" s="4"/>
      <c r="M824" s="4"/>
      <c r="N824" s="4"/>
      <c r="O824" s="4"/>
      <c r="P824" s="4" t="str">
        <f t="shared" si="56"/>
        <v/>
      </c>
      <c r="Q824" s="4"/>
      <c r="R824" s="4"/>
      <c r="S824" s="4"/>
      <c r="T824" s="4"/>
      <c r="U824" s="4" t="str">
        <f t="shared" si="61"/>
        <v/>
      </c>
      <c r="V824" s="10"/>
    </row>
    <row r="825" spans="4:22" x14ac:dyDescent="0.45">
      <c r="D825" s="47" t="s">
        <v>1084</v>
      </c>
      <c r="E825" s="4" t="str">
        <f>LOWER(_Country_code)&amp;".air.mort"</f>
        <v>irn.air.mort</v>
      </c>
      <c r="F825" s="4" t="str">
        <f t="shared" si="62"/>
        <v>N/A</v>
      </c>
      <c r="G825" s="4" t="str">
        <f t="shared" si="55"/>
        <v>irn.air.mort_.all.all.all.all.all</v>
      </c>
      <c r="H825" s="4" t="s">
        <v>199</v>
      </c>
      <c r="I825" s="4" t="s">
        <v>220</v>
      </c>
      <c r="J825" s="4" t="s">
        <v>18</v>
      </c>
      <c r="K825" s="4"/>
      <c r="L825" s="4"/>
      <c r="M825" s="4"/>
      <c r="N825" s="4"/>
      <c r="O825" s="4"/>
      <c r="P825" s="4" t="str">
        <f t="shared" si="56"/>
        <v/>
      </c>
      <c r="Q825" s="4"/>
      <c r="R825" s="4"/>
      <c r="S825" s="4"/>
      <c r="T825" s="4"/>
      <c r="U825" s="4" t="str">
        <f t="shared" si="61"/>
        <v/>
      </c>
      <c r="V825" s="6"/>
    </row>
    <row r="826" spans="4:22" x14ac:dyDescent="0.45">
      <c r="D826" s="48" t="s">
        <v>1085</v>
      </c>
      <c r="E826" s="20" t="str">
        <f>LOWER(_Country_code)&amp;".air.ext.pp.coa"</f>
        <v>irn.air.ext.pp.coa</v>
      </c>
      <c r="F826" s="20" t="str">
        <f t="shared" si="62"/>
        <v>N/A</v>
      </c>
      <c r="G826" s="20" t="str">
        <f t="shared" si="55"/>
        <v>irn.air.ext_.all.coa.all.all.all</v>
      </c>
      <c r="H826" s="20" t="s">
        <v>199</v>
      </c>
      <c r="I826" s="20" t="s">
        <v>221</v>
      </c>
      <c r="J826" s="20" t="s">
        <v>18</v>
      </c>
      <c r="K826" s="20"/>
      <c r="L826" s="20"/>
      <c r="M826" s="20" t="s">
        <v>26</v>
      </c>
      <c r="N826" s="20"/>
      <c r="O826" s="20"/>
      <c r="P826" s="20" t="str">
        <f t="shared" si="56"/>
        <v>pow</v>
      </c>
      <c r="Q826" s="20" t="s">
        <v>60</v>
      </c>
      <c r="R826" s="20"/>
      <c r="S826" s="20"/>
      <c r="T826" s="20"/>
      <c r="U826" s="20" t="str">
        <f t="shared" si="61"/>
        <v/>
      </c>
      <c r="V826" s="21"/>
    </row>
    <row r="827" spans="4:22" x14ac:dyDescent="0.45">
      <c r="D827" s="49" t="s">
        <v>1086</v>
      </c>
      <c r="E827" s="22" t="str">
        <f>LOWER(_Country_code)&amp;".air.ext.pp.gas"</f>
        <v>irn.air.ext.pp.gas</v>
      </c>
      <c r="F827" s="22" t="str">
        <f t="shared" si="62"/>
        <v>N/A</v>
      </c>
      <c r="G827" s="22" t="str">
        <f t="shared" si="55"/>
        <v>irn.air.ext_.all.nga.all.all.all</v>
      </c>
      <c r="H827" s="22" t="s">
        <v>199</v>
      </c>
      <c r="I827" s="22" t="s">
        <v>221</v>
      </c>
      <c r="J827" s="22" t="s">
        <v>18</v>
      </c>
      <c r="K827" s="22"/>
      <c r="L827" s="22"/>
      <c r="M827" s="22" t="s">
        <v>26</v>
      </c>
      <c r="N827" s="22"/>
      <c r="O827" s="22"/>
      <c r="P827" s="22" t="str">
        <f t="shared" si="56"/>
        <v>pow</v>
      </c>
      <c r="Q827" s="22" t="s">
        <v>61</v>
      </c>
      <c r="R827" s="22"/>
      <c r="S827" s="22"/>
      <c r="T827" s="22"/>
      <c r="U827" s="22" t="str">
        <f t="shared" si="61"/>
        <v/>
      </c>
      <c r="V827" s="23"/>
    </row>
    <row r="828" spans="4:22" x14ac:dyDescent="0.45">
      <c r="D828" s="47" t="s">
        <v>1087</v>
      </c>
      <c r="E828" s="4" t="str">
        <f>LOWER(_Country_code)&amp;".air.ext.pp.oil"</f>
        <v>irn.air.ext.pp.oil</v>
      </c>
      <c r="F828" s="4" t="str">
        <f t="shared" si="62"/>
        <v>N/A</v>
      </c>
      <c r="G828" s="4" t="str">
        <f t="shared" si="55"/>
        <v>irn.air.ext_.all.oop.all.all.all</v>
      </c>
      <c r="H828" s="4" t="s">
        <v>199</v>
      </c>
      <c r="I828" s="4" t="s">
        <v>221</v>
      </c>
      <c r="J828" s="4" t="s">
        <v>18</v>
      </c>
      <c r="K828" s="4"/>
      <c r="L828" s="4"/>
      <c r="M828" s="4" t="s">
        <v>26</v>
      </c>
      <c r="N828" s="4"/>
      <c r="O828" s="4"/>
      <c r="P828" s="4" t="str">
        <f t="shared" si="56"/>
        <v>pow</v>
      </c>
      <c r="Q828" s="4" t="s">
        <v>113</v>
      </c>
      <c r="R828" s="4"/>
      <c r="S828" s="4"/>
      <c r="T828" s="4"/>
      <c r="U828" s="4" t="str">
        <f t="shared" si="61"/>
        <v/>
      </c>
      <c r="V828" s="6"/>
    </row>
    <row r="829" spans="4:22" x14ac:dyDescent="0.45">
      <c r="D829" s="47" t="s">
        <v>1088</v>
      </c>
      <c r="E829" s="4" t="str">
        <f>LOWER(_Country_code)&amp;".air.ext.ind.coa"</f>
        <v>irn.air.ext.ind.coa</v>
      </c>
      <c r="F829" s="4" t="str">
        <f t="shared" si="62"/>
        <v>N/A</v>
      </c>
      <c r="G829" s="4" t="str">
        <f t="shared" ref="G829:G917" si="63">IF(D829="","",LOWER(_Country_code)&amp;"."&amp;H829&amp;"."&amp;IF(I829="","all",I829)&amp;"_"&amp;J829&amp;"."&amp;IF(R829="","all",R829)&amp;"."&amp;IF(Q829="","all",Q829)&amp;"."&amp;IF(U829="","all",U829)&amp;"."&amp;IF(K829="","all",K829)&amp;"."&amp;IF(V829="","all",V829))</f>
        <v>irn.air.ext_.all.coa.all.all.all</v>
      </c>
      <c r="H829" s="4" t="s">
        <v>199</v>
      </c>
      <c r="I829" s="4" t="s">
        <v>221</v>
      </c>
      <c r="J829" s="4" t="s">
        <v>18</v>
      </c>
      <c r="K829" s="4"/>
      <c r="L829" s="4"/>
      <c r="M829" s="4" t="s">
        <v>29</v>
      </c>
      <c r="N829" s="4"/>
      <c r="O829" s="4"/>
      <c r="P829" s="4" t="str">
        <f t="shared" si="56"/>
        <v>ind</v>
      </c>
      <c r="Q829" s="4" t="s">
        <v>60</v>
      </c>
      <c r="R829" s="4"/>
      <c r="S829" s="4"/>
      <c r="T829" s="4"/>
      <c r="U829" s="4" t="str">
        <f t="shared" si="61"/>
        <v/>
      </c>
      <c r="V829" s="6"/>
    </row>
    <row r="830" spans="4:22" x14ac:dyDescent="0.45">
      <c r="D830" s="47" t="s">
        <v>1089</v>
      </c>
      <c r="E830" s="4" t="str">
        <f>LOWER(_Country_code)&amp;".air.ext.ind.gas"</f>
        <v>irn.air.ext.ind.gas</v>
      </c>
      <c r="F830" s="4" t="str">
        <f t="shared" si="62"/>
        <v>N/A</v>
      </c>
      <c r="G830" s="4" t="str">
        <f t="shared" si="63"/>
        <v>irn.air.ext_.all.nga.all.all.all</v>
      </c>
      <c r="H830" s="4" t="s">
        <v>199</v>
      </c>
      <c r="I830" s="4" t="s">
        <v>221</v>
      </c>
      <c r="J830" s="4" t="s">
        <v>18</v>
      </c>
      <c r="K830" s="4"/>
      <c r="L830" s="4"/>
      <c r="M830" s="4" t="s">
        <v>29</v>
      </c>
      <c r="N830" s="4"/>
      <c r="O830" s="4"/>
      <c r="P830" s="4" t="str">
        <f t="shared" si="56"/>
        <v>ind</v>
      </c>
      <c r="Q830" s="4" t="s">
        <v>61</v>
      </c>
      <c r="R830" s="4"/>
      <c r="S830" s="4"/>
      <c r="T830" s="4"/>
      <c r="U830" s="4" t="str">
        <f t="shared" si="61"/>
        <v/>
      </c>
      <c r="V830" s="6"/>
    </row>
    <row r="831" spans="4:22" x14ac:dyDescent="0.45">
      <c r="D831" s="50" t="s">
        <v>1090</v>
      </c>
      <c r="E831" s="24" t="str">
        <f>LOWER(_Country_code)&amp;".air.ext.ind.oil"</f>
        <v>irn.air.ext.ind.oil</v>
      </c>
      <c r="F831" s="24" t="str">
        <f t="shared" si="62"/>
        <v>N/A</v>
      </c>
      <c r="G831" s="24" t="str">
        <f t="shared" si="63"/>
        <v>irn.air.ext_.all.oop.all.all.all</v>
      </c>
      <c r="H831" s="24" t="s">
        <v>199</v>
      </c>
      <c r="I831" s="24" t="s">
        <v>221</v>
      </c>
      <c r="J831" s="24" t="s">
        <v>18</v>
      </c>
      <c r="K831" s="24"/>
      <c r="L831" s="24"/>
      <c r="M831" s="24" t="s">
        <v>29</v>
      </c>
      <c r="N831" s="24"/>
      <c r="O831" s="24"/>
      <c r="P831" s="24" t="str">
        <f t="shared" si="56"/>
        <v>ind</v>
      </c>
      <c r="Q831" s="24" t="s">
        <v>113</v>
      </c>
      <c r="R831" s="24"/>
      <c r="S831" s="24"/>
      <c r="T831" s="24"/>
      <c r="U831" s="24" t="str">
        <f t="shared" si="61"/>
        <v/>
      </c>
      <c r="V831" s="25"/>
    </row>
    <row r="832" spans="4:22" x14ac:dyDescent="0.45">
      <c r="D832" s="51" t="s">
        <v>1091</v>
      </c>
      <c r="E832" s="26" t="str">
        <f>LOWER(_Country_code)&amp;".air.ext.tra.gso"</f>
        <v>irn.air.ext.tra.gso</v>
      </c>
      <c r="F832" s="26" t="str">
        <f t="shared" si="62"/>
        <v>N/A</v>
      </c>
      <c r="G832" s="26" t="str">
        <f t="shared" si="63"/>
        <v>irn.air.ext_.all.gso.all.all.all</v>
      </c>
      <c r="H832" s="26" t="s">
        <v>199</v>
      </c>
      <c r="I832" s="26" t="s">
        <v>221</v>
      </c>
      <c r="J832" s="26" t="s">
        <v>18</v>
      </c>
      <c r="K832" s="26"/>
      <c r="L832" s="26"/>
      <c r="M832" s="26" t="s">
        <v>27</v>
      </c>
      <c r="N832" s="26"/>
      <c r="O832" s="26"/>
      <c r="P832" s="26" t="str">
        <f t="shared" si="56"/>
        <v>tra</v>
      </c>
      <c r="Q832" s="26" t="s">
        <v>63</v>
      </c>
      <c r="R832" s="26"/>
      <c r="S832" s="26"/>
      <c r="T832" s="26"/>
      <c r="U832" s="26" t="str">
        <f t="shared" si="61"/>
        <v/>
      </c>
      <c r="V832" s="27"/>
    </row>
    <row r="833" spans="4:22" x14ac:dyDescent="0.45">
      <c r="D833" s="49" t="s">
        <v>1092</v>
      </c>
      <c r="E833" s="22" t="str">
        <f>LOWER(_Country_code)&amp;".air.ext.tra.die"</f>
        <v>irn.air.ext.tra.die</v>
      </c>
      <c r="F833" s="22" t="str">
        <f t="shared" si="62"/>
        <v>N/A</v>
      </c>
      <c r="G833" s="22" t="str">
        <f t="shared" si="63"/>
        <v>irn.air.ext_.all.die.all.all.all</v>
      </c>
      <c r="H833" s="22" t="s">
        <v>199</v>
      </c>
      <c r="I833" s="22" t="s">
        <v>221</v>
      </c>
      <c r="J833" s="22" t="s">
        <v>18</v>
      </c>
      <c r="K833" s="22"/>
      <c r="L833" s="22"/>
      <c r="M833" s="22" t="s">
        <v>27</v>
      </c>
      <c r="N833" s="22"/>
      <c r="O833" s="22"/>
      <c r="P833" s="22" t="str">
        <f t="shared" si="56"/>
        <v>tra</v>
      </c>
      <c r="Q833" s="22" t="s">
        <v>64</v>
      </c>
      <c r="R833" s="22"/>
      <c r="S833" s="22"/>
      <c r="T833" s="22"/>
      <c r="U833" s="22" t="str">
        <f t="shared" si="61"/>
        <v/>
      </c>
      <c r="V833" s="23"/>
    </row>
    <row r="834" spans="4:22" x14ac:dyDescent="0.45">
      <c r="D834" s="47" t="s">
        <v>1093</v>
      </c>
      <c r="E834" s="4" t="str">
        <f>LOWER(_Country_code)&amp;".air.gdp.loss"</f>
        <v>irn.air.gdp.loss</v>
      </c>
      <c r="F834" s="4" t="str">
        <f t="shared" si="62"/>
        <v>N/A</v>
      </c>
      <c r="G834" s="4" t="str">
        <f t="shared" si="63"/>
        <v>irn.air.gdploss_.all.all.all.loss.all</v>
      </c>
      <c r="H834" s="4" t="s">
        <v>199</v>
      </c>
      <c r="I834" s="4" t="s">
        <v>222</v>
      </c>
      <c r="J834" s="4" t="s">
        <v>18</v>
      </c>
      <c r="K834" s="4" t="s">
        <v>223</v>
      </c>
      <c r="L834" s="4"/>
      <c r="M834" s="4"/>
      <c r="N834" s="4"/>
      <c r="O834" s="4"/>
      <c r="P834" s="4" t="str">
        <f t="shared" si="56"/>
        <v/>
      </c>
      <c r="Q834" s="4"/>
      <c r="R834" s="4"/>
      <c r="S834" s="4"/>
      <c r="T834" s="4"/>
      <c r="U834" s="4" t="str">
        <f t="shared" si="61"/>
        <v/>
      </c>
      <c r="V834" s="10"/>
    </row>
    <row r="835" spans="4:22" x14ac:dyDescent="0.45">
      <c r="D835" s="47" t="s">
        <v>1094</v>
      </c>
      <c r="E835" s="4" t="str">
        <f>LOWER(_Country_code)&amp;".air.gdp.loss.ch"</f>
        <v>irn.air.gdp.loss.ch</v>
      </c>
      <c r="F835" s="4" t="str">
        <f t="shared" si="62"/>
        <v>N/A</v>
      </c>
      <c r="G835" s="4" t="str">
        <f t="shared" si="63"/>
        <v>irn.air.gdploss_.all.all.ch.loss.all</v>
      </c>
      <c r="H835" s="4" t="s">
        <v>199</v>
      </c>
      <c r="I835" s="4" t="s">
        <v>222</v>
      </c>
      <c r="J835" s="4" t="s">
        <v>18</v>
      </c>
      <c r="K835" s="4" t="s">
        <v>223</v>
      </c>
      <c r="L835" s="4"/>
      <c r="M835" s="4"/>
      <c r="N835" s="4"/>
      <c r="O835" s="4"/>
      <c r="P835" s="4" t="str">
        <f t="shared" si="56"/>
        <v/>
      </c>
      <c r="Q835" s="4"/>
      <c r="R835" s="4"/>
      <c r="S835" s="4"/>
      <c r="T835" s="4" t="s">
        <v>224</v>
      </c>
      <c r="U835" s="4" t="str">
        <f t="shared" si="61"/>
        <v>ch</v>
      </c>
      <c r="V835" s="10"/>
    </row>
    <row r="836" spans="4:22" x14ac:dyDescent="0.45">
      <c r="D836" s="47" t="s">
        <v>1095</v>
      </c>
      <c r="E836" s="4" t="str">
        <f>[1]Mitigation!H14872</f>
        <v>irn.mit.airpol.cost.coa.ind.1</v>
      </c>
      <c r="F836" s="4" t="str">
        <f t="shared" si="62"/>
        <v>N/A</v>
      </c>
      <c r="G836" s="4" t="str">
        <f t="shared" si="63"/>
        <v>irn.mit.airpolcost_.all.coa.all.usdgj.all</v>
      </c>
      <c r="H836" s="4" t="s">
        <v>19</v>
      </c>
      <c r="I836" s="4" t="s">
        <v>225</v>
      </c>
      <c r="J836" s="4" t="s">
        <v>18</v>
      </c>
      <c r="K836" s="4" t="s">
        <v>102</v>
      </c>
      <c r="L836" s="4"/>
      <c r="M836" s="4" t="s">
        <v>29</v>
      </c>
      <c r="N836" s="4"/>
      <c r="O836" s="4"/>
      <c r="P836" s="4" t="str">
        <f t="shared" si="56"/>
        <v>ind</v>
      </c>
      <c r="Q836" s="4" t="s">
        <v>60</v>
      </c>
      <c r="R836" s="4"/>
      <c r="S836" s="4"/>
      <c r="T836" s="4"/>
      <c r="U836" s="4" t="str">
        <f t="shared" si="61"/>
        <v/>
      </c>
      <c r="V836" s="28"/>
    </row>
    <row r="837" spans="4:22" x14ac:dyDescent="0.45">
      <c r="D837" s="47" t="s">
        <v>1096</v>
      </c>
      <c r="E837" s="4" t="str">
        <f>[1]Mitigation!H14873</f>
        <v>irn.mit.airpol.cost.coa.res.1</v>
      </c>
      <c r="F837" s="4" t="str">
        <f t="shared" si="62"/>
        <v>N/A</v>
      </c>
      <c r="G837" s="4" t="str">
        <f t="shared" si="63"/>
        <v>irn.mit.airpolcost_.all.coa.all.usdgj.all</v>
      </c>
      <c r="H837" s="4" t="s">
        <v>19</v>
      </c>
      <c r="I837" s="4" t="s">
        <v>225</v>
      </c>
      <c r="J837" s="4" t="s">
        <v>18</v>
      </c>
      <c r="K837" s="4" t="s">
        <v>102</v>
      </c>
      <c r="L837" s="4"/>
      <c r="M837" s="4" t="s">
        <v>28</v>
      </c>
      <c r="N837" s="4"/>
      <c r="O837" s="4"/>
      <c r="P837" s="4" t="str">
        <f t="shared" si="56"/>
        <v>res</v>
      </c>
      <c r="Q837" s="4" t="s">
        <v>60</v>
      </c>
      <c r="R837" s="4"/>
      <c r="S837" s="4"/>
      <c r="T837" s="4"/>
      <c r="U837" s="4" t="str">
        <f t="shared" si="61"/>
        <v/>
      </c>
      <c r="V837" s="28"/>
    </row>
    <row r="838" spans="4:22" x14ac:dyDescent="0.45">
      <c r="D838" s="48" t="s">
        <v>1097</v>
      </c>
      <c r="E838" s="20" t="str">
        <f>[1]Mitigation!H14874</f>
        <v>irn.mit.airpol.cost.coa.pow.1</v>
      </c>
      <c r="F838" s="20" t="str">
        <f t="shared" si="62"/>
        <v>N/A</v>
      </c>
      <c r="G838" s="20" t="str">
        <f t="shared" si="63"/>
        <v>irn.mit.airpolcost_.all.nga.all.usdgj.all</v>
      </c>
      <c r="H838" s="20" t="s">
        <v>19</v>
      </c>
      <c r="I838" s="20" t="s">
        <v>225</v>
      </c>
      <c r="J838" s="20" t="s">
        <v>18</v>
      </c>
      <c r="K838" s="20" t="s">
        <v>102</v>
      </c>
      <c r="L838" s="20"/>
      <c r="M838" s="20" t="s">
        <v>26</v>
      </c>
      <c r="N838" s="20"/>
      <c r="O838" s="20"/>
      <c r="P838" s="20" t="str">
        <f t="shared" si="56"/>
        <v>pow</v>
      </c>
      <c r="Q838" s="20" t="s">
        <v>61</v>
      </c>
      <c r="R838" s="20"/>
      <c r="S838" s="20"/>
      <c r="T838" s="20"/>
      <c r="U838" s="20" t="str">
        <f t="shared" si="61"/>
        <v/>
      </c>
      <c r="V838" s="29"/>
    </row>
    <row r="839" spans="4:22" x14ac:dyDescent="0.45">
      <c r="D839" s="47" t="s">
        <v>1098</v>
      </c>
      <c r="E839" s="4" t="str">
        <f>[1]Mitigation!H14875</f>
        <v>irn.mit.airpol.cost.nga.ind.1</v>
      </c>
      <c r="F839" s="4" t="str">
        <f t="shared" si="62"/>
        <v>N/A</v>
      </c>
      <c r="G839" s="4" t="str">
        <f t="shared" si="63"/>
        <v>irn.mit.airpolcost_.all.nga.all.usdgj.all</v>
      </c>
      <c r="H839" s="4" t="s">
        <v>19</v>
      </c>
      <c r="I839" s="4" t="s">
        <v>225</v>
      </c>
      <c r="J839" s="4" t="s">
        <v>18</v>
      </c>
      <c r="K839" s="4" t="s">
        <v>102</v>
      </c>
      <c r="L839" s="4"/>
      <c r="M839" s="4" t="s">
        <v>29</v>
      </c>
      <c r="N839" s="4"/>
      <c r="O839" s="4"/>
      <c r="P839" s="4" t="str">
        <f t="shared" si="56"/>
        <v>ind</v>
      </c>
      <c r="Q839" s="4" t="s">
        <v>61</v>
      </c>
      <c r="R839" s="4"/>
      <c r="S839" s="4"/>
      <c r="T839" s="4"/>
      <c r="U839" s="4" t="str">
        <f t="shared" si="61"/>
        <v/>
      </c>
      <c r="V839" s="28"/>
    </row>
    <row r="840" spans="4:22" x14ac:dyDescent="0.45">
      <c r="D840" s="47" t="s">
        <v>1099</v>
      </c>
      <c r="E840" s="4" t="str">
        <f>[1]Mitigation!H14876</f>
        <v>irn.mit.airpol.cost.nga.res.1</v>
      </c>
      <c r="F840" s="4" t="str">
        <f t="shared" si="62"/>
        <v>N/A</v>
      </c>
      <c r="G840" s="4" t="str">
        <f t="shared" si="63"/>
        <v>irn.mit.airpolcost_.all.nga.all.usdgj.all</v>
      </c>
      <c r="H840" s="4" t="s">
        <v>19</v>
      </c>
      <c r="I840" s="4" t="s">
        <v>225</v>
      </c>
      <c r="J840" s="4" t="s">
        <v>18</v>
      </c>
      <c r="K840" s="4" t="s">
        <v>102</v>
      </c>
      <c r="L840" s="4"/>
      <c r="M840" s="4" t="s">
        <v>28</v>
      </c>
      <c r="N840" s="4"/>
      <c r="O840" s="4"/>
      <c r="P840" s="4" t="str">
        <f t="shared" si="56"/>
        <v>res</v>
      </c>
      <c r="Q840" s="4" t="s">
        <v>61</v>
      </c>
      <c r="R840" s="4"/>
      <c r="S840" s="4"/>
      <c r="T840" s="4"/>
      <c r="U840" s="4" t="str">
        <f t="shared" si="61"/>
        <v/>
      </c>
      <c r="V840" s="28"/>
    </row>
    <row r="841" spans="4:22" x14ac:dyDescent="0.45">
      <c r="D841" s="49" t="s">
        <v>1100</v>
      </c>
      <c r="E841" s="22" t="str">
        <f>[1]Mitigation!H14877</f>
        <v>irn.mit.airpol.cost.nga.pow.1</v>
      </c>
      <c r="F841" s="22" t="str">
        <f t="shared" si="62"/>
        <v>N/A</v>
      </c>
      <c r="G841" s="22" t="str">
        <f t="shared" si="63"/>
        <v>irn.mit.airpolcost_.all.nga.all.usdgj.all</v>
      </c>
      <c r="H841" s="22" t="s">
        <v>19</v>
      </c>
      <c r="I841" s="22" t="s">
        <v>225</v>
      </c>
      <c r="J841" s="22" t="s">
        <v>18</v>
      </c>
      <c r="K841" s="22" t="s">
        <v>102</v>
      </c>
      <c r="L841" s="22"/>
      <c r="M841" s="22" t="s">
        <v>26</v>
      </c>
      <c r="N841" s="22"/>
      <c r="O841" s="22"/>
      <c r="P841" s="22" t="str">
        <f t="shared" ref="P841:P929" si="64">L841&amp;IF(N841="",M841,N841)&amp;O841</f>
        <v>pow</v>
      </c>
      <c r="Q841" s="22" t="s">
        <v>61</v>
      </c>
      <c r="R841" s="22"/>
      <c r="S841" s="22"/>
      <c r="T841" s="22"/>
      <c r="U841" s="22" t="str">
        <f t="shared" si="61"/>
        <v/>
      </c>
      <c r="V841" s="30"/>
    </row>
    <row r="842" spans="4:22" x14ac:dyDescent="0.45">
      <c r="D842" s="51" t="s">
        <v>1101</v>
      </c>
      <c r="E842" s="26" t="str">
        <f>[1]Mitigation!H14878</f>
        <v>irn.mit.airpol.cost.gso.1</v>
      </c>
      <c r="F842" s="26" t="str">
        <f t="shared" si="62"/>
        <v>N/A</v>
      </c>
      <c r="G842" s="26" t="str">
        <f t="shared" si="63"/>
        <v>irn.mit.airpolcost_.all.gso.all.lit.all</v>
      </c>
      <c r="H842" s="26" t="s">
        <v>19</v>
      </c>
      <c r="I842" s="26" t="s">
        <v>225</v>
      </c>
      <c r="J842" s="26" t="s">
        <v>18</v>
      </c>
      <c r="K842" s="26" t="s">
        <v>226</v>
      </c>
      <c r="L842" s="26"/>
      <c r="M842" s="26"/>
      <c r="N842" s="26" t="s">
        <v>46</v>
      </c>
      <c r="O842" s="26"/>
      <c r="P842" s="26" t="str">
        <f t="shared" si="64"/>
        <v>all</v>
      </c>
      <c r="Q842" s="26" t="s">
        <v>63</v>
      </c>
      <c r="R842" s="26"/>
      <c r="S842" s="26"/>
      <c r="T842" s="26"/>
      <c r="U842" s="26" t="str">
        <f t="shared" si="61"/>
        <v/>
      </c>
      <c r="V842" s="31"/>
    </row>
    <row r="843" spans="4:22" x14ac:dyDescent="0.45">
      <c r="D843" s="47" t="s">
        <v>1102</v>
      </c>
      <c r="E843" s="4" t="str">
        <f>[1]Mitigation!H14879</f>
        <v>irn.mit.airpol.cost.die.1</v>
      </c>
      <c r="F843" s="4" t="str">
        <f t="shared" si="62"/>
        <v>N/A</v>
      </c>
      <c r="G843" s="4" t="str">
        <f t="shared" si="63"/>
        <v>irn.mit.airpolcost_.all.die.all.lit.all</v>
      </c>
      <c r="H843" s="4" t="s">
        <v>19</v>
      </c>
      <c r="I843" s="4" t="s">
        <v>225</v>
      </c>
      <c r="J843" s="4" t="s">
        <v>18</v>
      </c>
      <c r="K843" s="4" t="s">
        <v>226</v>
      </c>
      <c r="L843" s="4"/>
      <c r="M843" s="4"/>
      <c r="N843" s="4" t="s">
        <v>46</v>
      </c>
      <c r="O843" s="4"/>
      <c r="P843" s="4" t="str">
        <f t="shared" si="64"/>
        <v>all</v>
      </c>
      <c r="Q843" s="4" t="s">
        <v>64</v>
      </c>
      <c r="R843" s="4"/>
      <c r="S843" s="4"/>
      <c r="T843" s="4"/>
      <c r="U843" s="4" t="str">
        <f t="shared" si="61"/>
        <v/>
      </c>
      <c r="V843" s="28"/>
    </row>
    <row r="844" spans="4:22" x14ac:dyDescent="0.45">
      <c r="D844" s="47" t="s">
        <v>1103</v>
      </c>
      <c r="E844" s="4" t="str">
        <f>[1]Mitigation!H14880</f>
        <v>irn.mit.airpol.cost.lpg.1</v>
      </c>
      <c r="F844" s="4" t="str">
        <f t="shared" si="62"/>
        <v>N/A</v>
      </c>
      <c r="G844" s="4" t="str">
        <f t="shared" si="63"/>
        <v>irn.mit.airpolcost_.all.lpg.all.lit.all</v>
      </c>
      <c r="H844" s="4" t="s">
        <v>19</v>
      </c>
      <c r="I844" s="4" t="s">
        <v>225</v>
      </c>
      <c r="J844" s="4" t="s">
        <v>18</v>
      </c>
      <c r="K844" s="4" t="s">
        <v>226</v>
      </c>
      <c r="L844" s="4"/>
      <c r="M844" s="4"/>
      <c r="N844" s="4" t="s">
        <v>46</v>
      </c>
      <c r="O844" s="4"/>
      <c r="P844" s="4" t="str">
        <f t="shared" si="64"/>
        <v>all</v>
      </c>
      <c r="Q844" s="4" t="s">
        <v>65</v>
      </c>
      <c r="R844" s="4"/>
      <c r="S844" s="4"/>
      <c r="T844" s="4"/>
      <c r="U844" s="4" t="str">
        <f t="shared" si="61"/>
        <v/>
      </c>
      <c r="V844" s="28"/>
    </row>
    <row r="845" spans="4:22" x14ac:dyDescent="0.45">
      <c r="D845" s="47" t="s">
        <v>1104</v>
      </c>
      <c r="E845" s="4" t="str">
        <f>[1]Mitigation!H14881</f>
        <v>irn.mit.airpol.cost.ker.1</v>
      </c>
      <c r="F845" s="4" t="str">
        <f t="shared" si="62"/>
        <v>N/A</v>
      </c>
      <c r="G845" s="4" t="str">
        <f t="shared" si="63"/>
        <v>irn.mit.airpolcost_.all.ker.all.lit.all</v>
      </c>
      <c r="H845" s="4" t="s">
        <v>19</v>
      </c>
      <c r="I845" s="4" t="s">
        <v>225</v>
      </c>
      <c r="J845" s="4" t="s">
        <v>18</v>
      </c>
      <c r="K845" s="4" t="s">
        <v>226</v>
      </c>
      <c r="L845" s="4"/>
      <c r="M845" s="4"/>
      <c r="N845" s="4" t="s">
        <v>46</v>
      </c>
      <c r="O845" s="4"/>
      <c r="P845" s="4" t="str">
        <f t="shared" si="64"/>
        <v>all</v>
      </c>
      <c r="Q845" s="4" t="s">
        <v>66</v>
      </c>
      <c r="R845" s="4"/>
      <c r="S845" s="4"/>
      <c r="T845" s="4"/>
      <c r="U845" s="4" t="str">
        <f t="shared" si="61"/>
        <v/>
      </c>
      <c r="V845" s="28"/>
    </row>
    <row r="846" spans="4:22" x14ac:dyDescent="0.45">
      <c r="D846" s="47" t="s">
        <v>1105</v>
      </c>
      <c r="E846" s="4" t="str">
        <f>LOWER(_Country_code)&amp;".air.sav.the.gov"</f>
        <v>irn.air.sav.the.gov</v>
      </c>
      <c r="F846" s="4" t="str">
        <f t="shared" si="62"/>
        <v>N/A</v>
      </c>
      <c r="G846" s="4" t="str">
        <f t="shared" si="63"/>
        <v>irn.air.sav_.all.all.gov.usdm.all</v>
      </c>
      <c r="H846" s="4" t="s">
        <v>199</v>
      </c>
      <c r="I846" s="4" t="s">
        <v>227</v>
      </c>
      <c r="J846" s="4" t="s">
        <v>18</v>
      </c>
      <c r="K846" s="4" t="s">
        <v>228</v>
      </c>
      <c r="L846" s="4"/>
      <c r="M846" s="4"/>
      <c r="N846" s="4"/>
      <c r="O846" s="4"/>
      <c r="P846" s="4" t="str">
        <f t="shared" si="64"/>
        <v/>
      </c>
      <c r="Q846" s="4"/>
      <c r="R846" s="4"/>
      <c r="S846" s="4"/>
      <c r="T846" s="4" t="s">
        <v>229</v>
      </c>
      <c r="U846" s="4" t="str">
        <f t="shared" si="61"/>
        <v>gov</v>
      </c>
      <c r="V846" s="28"/>
    </row>
    <row r="847" spans="4:22" x14ac:dyDescent="0.45">
      <c r="D847" s="47" t="s">
        <v>1106</v>
      </c>
      <c r="E847" s="4" t="str">
        <f>LOWER(_Country_code)&amp;".air.sav.the.ppr"</f>
        <v>irn.air.sav.the.ppr</v>
      </c>
      <c r="F847" s="4" t="str">
        <f t="shared" si="62"/>
        <v>N/A</v>
      </c>
      <c r="G847" s="4" t="str">
        <f t="shared" si="63"/>
        <v>irn.air.sav_.all.all.ppr.usdm.all</v>
      </c>
      <c r="H847" s="4" t="s">
        <v>199</v>
      </c>
      <c r="I847" s="4" t="s">
        <v>227</v>
      </c>
      <c r="J847" s="4" t="s">
        <v>18</v>
      </c>
      <c r="K847" s="4" t="s">
        <v>228</v>
      </c>
      <c r="L847" s="4"/>
      <c r="M847" s="4"/>
      <c r="N847" s="4"/>
      <c r="O847" s="4"/>
      <c r="P847" s="4" t="str">
        <f t="shared" si="64"/>
        <v/>
      </c>
      <c r="Q847" s="4"/>
      <c r="R847" s="4"/>
      <c r="S847" s="4"/>
      <c r="T847" s="4" t="s">
        <v>230</v>
      </c>
      <c r="U847" s="4" t="str">
        <f t="shared" si="61"/>
        <v>ppr</v>
      </c>
      <c r="V847" s="28"/>
    </row>
    <row r="848" spans="4:22" x14ac:dyDescent="0.45">
      <c r="D848" s="47" t="s">
        <v>1107</v>
      </c>
      <c r="E848" s="4" t="str">
        <f>LOWER(_Country_code)&amp;".air.sav.the.opo"</f>
        <v>irn.air.sav.the.opo</v>
      </c>
      <c r="F848" s="4" t="str">
        <f t="shared" si="62"/>
        <v>N/A</v>
      </c>
      <c r="G848" s="4" t="str">
        <f t="shared" si="63"/>
        <v>irn.air.sav_.all.all.opo.usdm.all</v>
      </c>
      <c r="H848" s="4" t="s">
        <v>199</v>
      </c>
      <c r="I848" s="4" t="s">
        <v>227</v>
      </c>
      <c r="J848" s="4" t="s">
        <v>18</v>
      </c>
      <c r="K848" s="4" t="s">
        <v>228</v>
      </c>
      <c r="L848" s="4"/>
      <c r="M848" s="4"/>
      <c r="N848" s="4"/>
      <c r="O848" s="4"/>
      <c r="P848" s="4" t="str">
        <f t="shared" si="64"/>
        <v/>
      </c>
      <c r="Q848" s="4"/>
      <c r="R848" s="4"/>
      <c r="S848" s="4"/>
      <c r="T848" s="4" t="s">
        <v>231</v>
      </c>
      <c r="U848" s="4" t="str">
        <f t="shared" si="61"/>
        <v>opo</v>
      </c>
      <c r="V848" s="28"/>
    </row>
    <row r="849" spans="4:22" x14ac:dyDescent="0.45">
      <c r="D849" s="47" t="s">
        <v>1108</v>
      </c>
      <c r="E849" s="4" t="str">
        <f>LOWER(_Country_code)&amp;".air.sav.the.das"</f>
        <v>irn.air.sav.the.das</v>
      </c>
      <c r="F849" s="4" t="str">
        <f t="shared" si="62"/>
        <v>N/A</v>
      </c>
      <c r="G849" s="4" t="str">
        <f t="shared" si="63"/>
        <v>irn.air.sav_.all.all.das.usdm.all</v>
      </c>
      <c r="H849" s="4" t="s">
        <v>199</v>
      </c>
      <c r="I849" s="4" t="s">
        <v>227</v>
      </c>
      <c r="J849" s="4" t="s">
        <v>18</v>
      </c>
      <c r="K849" s="4" t="s">
        <v>228</v>
      </c>
      <c r="L849" s="4"/>
      <c r="M849" s="4"/>
      <c r="N849" s="4"/>
      <c r="O849" s="4"/>
      <c r="P849" s="4" t="str">
        <f t="shared" si="64"/>
        <v/>
      </c>
      <c r="Q849" s="4"/>
      <c r="R849" s="4"/>
      <c r="S849" s="4"/>
      <c r="T849" s="4" t="s">
        <v>232</v>
      </c>
      <c r="U849" s="4" t="str">
        <f t="shared" si="61"/>
        <v>das</v>
      </c>
      <c r="V849" s="28"/>
    </row>
    <row r="850" spans="4:22" x14ac:dyDescent="0.45">
      <c r="D850" s="47" t="s">
        <v>1109</v>
      </c>
      <c r="E850" s="4" t="str">
        <f t="shared" ref="E850:E858" si="65">LOWER(_Country_code)&amp;".dth.ktoe."&amp;N850&amp;"."&amp;Q850&amp;".1"</f>
        <v>irn.dth.ktoe.pow.coa.1</v>
      </c>
      <c r="F850" s="4" t="str">
        <f t="shared" si="62"/>
        <v>N/A</v>
      </c>
      <c r="G850" s="4" t="str">
        <f t="shared" si="63"/>
        <v>irn.air.dthktoe_.all.coa.all.deathsktoe.1</v>
      </c>
      <c r="H850" s="4" t="s">
        <v>199</v>
      </c>
      <c r="I850" s="4" t="s">
        <v>233</v>
      </c>
      <c r="J850" s="4"/>
      <c r="K850" s="4" t="s">
        <v>234</v>
      </c>
      <c r="L850" s="4"/>
      <c r="M850" s="4"/>
      <c r="N850" s="4" t="s">
        <v>26</v>
      </c>
      <c r="O850" s="4"/>
      <c r="P850" s="4"/>
      <c r="Q850" s="4" t="s">
        <v>60</v>
      </c>
      <c r="R850" s="4"/>
      <c r="S850" s="4"/>
      <c r="T850" s="4"/>
      <c r="U850" s="4"/>
      <c r="V850" s="28">
        <v>1</v>
      </c>
    </row>
    <row r="851" spans="4:22" x14ac:dyDescent="0.45">
      <c r="D851" s="47" t="s">
        <v>1110</v>
      </c>
      <c r="E851" s="4" t="str">
        <f t="shared" si="65"/>
        <v>irn.dth.ktoe.pow.nga.1</v>
      </c>
      <c r="F851" s="4" t="str">
        <f t="shared" si="62"/>
        <v>N/A</v>
      </c>
      <c r="G851" s="4" t="str">
        <f t="shared" si="63"/>
        <v>irn.air.dthktoe_.all.nga.all.deathsktoe.1</v>
      </c>
      <c r="H851" s="4" t="s">
        <v>199</v>
      </c>
      <c r="I851" s="4" t="s">
        <v>233</v>
      </c>
      <c r="J851" s="4"/>
      <c r="K851" s="4" t="s">
        <v>234</v>
      </c>
      <c r="L851" s="4"/>
      <c r="M851" s="4"/>
      <c r="N851" s="4" t="s">
        <v>26</v>
      </c>
      <c r="O851" s="4"/>
      <c r="P851" s="4"/>
      <c r="Q851" s="4" t="s">
        <v>61</v>
      </c>
      <c r="R851" s="4"/>
      <c r="S851" s="4"/>
      <c r="T851" s="4"/>
      <c r="U851" s="4"/>
      <c r="V851" s="28">
        <v>1</v>
      </c>
    </row>
    <row r="852" spans="4:22" x14ac:dyDescent="0.45">
      <c r="D852" s="47" t="s">
        <v>1111</v>
      </c>
      <c r="E852" s="4" t="str">
        <f t="shared" si="65"/>
        <v>irn.dth.ktoe.pow.oop.1</v>
      </c>
      <c r="F852" s="4" t="str">
        <f t="shared" si="62"/>
        <v>N/A</v>
      </c>
      <c r="G852" s="4" t="str">
        <f t="shared" si="63"/>
        <v>irn.air.dthktoe_.all.oop.all.deathsktoe.1</v>
      </c>
      <c r="H852" s="4" t="s">
        <v>199</v>
      </c>
      <c r="I852" s="4" t="s">
        <v>233</v>
      </c>
      <c r="J852" s="4"/>
      <c r="K852" s="4" t="s">
        <v>234</v>
      </c>
      <c r="L852" s="4"/>
      <c r="M852" s="4"/>
      <c r="N852" s="4" t="s">
        <v>26</v>
      </c>
      <c r="O852" s="4"/>
      <c r="P852" s="4"/>
      <c r="Q852" s="4" t="s">
        <v>113</v>
      </c>
      <c r="R852" s="4"/>
      <c r="S852" s="4"/>
      <c r="T852" s="4"/>
      <c r="U852" s="4"/>
      <c r="V852" s="28">
        <v>1</v>
      </c>
    </row>
    <row r="853" spans="4:22" x14ac:dyDescent="0.45">
      <c r="D853" s="47" t="s">
        <v>1112</v>
      </c>
      <c r="E853" s="4" t="str">
        <f t="shared" si="65"/>
        <v>irn.dth.ktoe.tra.gso.1</v>
      </c>
      <c r="F853" s="4" t="str">
        <f t="shared" si="62"/>
        <v>N/A</v>
      </c>
      <c r="G853" s="4" t="str">
        <f t="shared" si="63"/>
        <v>irn.air.dthktoe_.all.gso.all.deathsktoe.1</v>
      </c>
      <c r="H853" s="4" t="s">
        <v>199</v>
      </c>
      <c r="I853" s="4" t="s">
        <v>233</v>
      </c>
      <c r="J853" s="4"/>
      <c r="K853" s="4" t="s">
        <v>234</v>
      </c>
      <c r="L853" s="4"/>
      <c r="M853" s="4"/>
      <c r="N853" s="4" t="s">
        <v>27</v>
      </c>
      <c r="O853" s="4"/>
      <c r="P853" s="4"/>
      <c r="Q853" s="4" t="s">
        <v>63</v>
      </c>
      <c r="R853" s="4"/>
      <c r="S853" s="4"/>
      <c r="T853" s="4"/>
      <c r="U853" s="4"/>
      <c r="V853" s="28">
        <v>1</v>
      </c>
    </row>
    <row r="854" spans="4:22" x14ac:dyDescent="0.45">
      <c r="D854" s="47" t="s">
        <v>1113</v>
      </c>
      <c r="E854" s="4" t="str">
        <f t="shared" si="65"/>
        <v>irn.dth.ktoe.tra.die.1</v>
      </c>
      <c r="F854" s="4" t="str">
        <f t="shared" si="62"/>
        <v>N/A</v>
      </c>
      <c r="G854" s="4" t="str">
        <f t="shared" si="63"/>
        <v>irn.air.dthktoe_.all.die.all.deathsktoe.1</v>
      </c>
      <c r="H854" s="4" t="s">
        <v>199</v>
      </c>
      <c r="I854" s="4" t="s">
        <v>233</v>
      </c>
      <c r="J854" s="4"/>
      <c r="K854" s="4" t="s">
        <v>234</v>
      </c>
      <c r="L854" s="4"/>
      <c r="M854" s="4"/>
      <c r="N854" s="4" t="s">
        <v>27</v>
      </c>
      <c r="O854" s="4"/>
      <c r="P854" s="4"/>
      <c r="Q854" s="4" t="s">
        <v>64</v>
      </c>
      <c r="R854" s="4"/>
      <c r="S854" s="4"/>
      <c r="T854" s="4"/>
      <c r="U854" s="4"/>
      <c r="V854" s="28">
        <v>1</v>
      </c>
    </row>
    <row r="855" spans="4:22" x14ac:dyDescent="0.45">
      <c r="D855" s="47" t="s">
        <v>1114</v>
      </c>
      <c r="E855" s="4" t="str">
        <f t="shared" si="65"/>
        <v>irn.dth.ktoe.ind.coa.1</v>
      </c>
      <c r="F855" s="4" t="str">
        <f t="shared" si="62"/>
        <v>N/A</v>
      </c>
      <c r="G855" s="4" t="str">
        <f t="shared" si="63"/>
        <v>irn.air.dthktoe_.all.coa.all.deathsktoe.1</v>
      </c>
      <c r="H855" s="4" t="s">
        <v>199</v>
      </c>
      <c r="I855" s="4" t="s">
        <v>233</v>
      </c>
      <c r="J855" s="4"/>
      <c r="K855" s="4" t="s">
        <v>234</v>
      </c>
      <c r="L855" s="4"/>
      <c r="M855" s="4"/>
      <c r="N855" s="4" t="s">
        <v>29</v>
      </c>
      <c r="O855" s="4"/>
      <c r="P855" s="4"/>
      <c r="Q855" s="4" t="s">
        <v>60</v>
      </c>
      <c r="R855" s="4"/>
      <c r="S855" s="4"/>
      <c r="T855" s="4"/>
      <c r="U855" s="4"/>
      <c r="V855" s="28">
        <v>1</v>
      </c>
    </row>
    <row r="856" spans="4:22" x14ac:dyDescent="0.45">
      <c r="D856" s="47" t="s">
        <v>1115</v>
      </c>
      <c r="E856" s="4" t="str">
        <f t="shared" si="65"/>
        <v>irn.dth.ktoe.ind.oop.1</v>
      </c>
      <c r="F856" s="4" t="str">
        <f t="shared" si="62"/>
        <v>N/A</v>
      </c>
      <c r="G856" s="4" t="str">
        <f t="shared" si="63"/>
        <v>irn.air.dthktoe_.all.oop.all.deathsktoe.1</v>
      </c>
      <c r="H856" s="4" t="s">
        <v>199</v>
      </c>
      <c r="I856" s="4" t="s">
        <v>233</v>
      </c>
      <c r="J856" s="4"/>
      <c r="K856" s="4" t="s">
        <v>234</v>
      </c>
      <c r="L856" s="4"/>
      <c r="M856" s="4"/>
      <c r="N856" s="4" t="s">
        <v>29</v>
      </c>
      <c r="O856" s="4"/>
      <c r="P856" s="4"/>
      <c r="Q856" s="4" t="s">
        <v>113</v>
      </c>
      <c r="R856" s="4"/>
      <c r="S856" s="4"/>
      <c r="T856" s="4"/>
      <c r="U856" s="4"/>
      <c r="V856" s="28">
        <v>1</v>
      </c>
    </row>
    <row r="857" spans="4:22" x14ac:dyDescent="0.45">
      <c r="D857" s="47" t="s">
        <v>1116</v>
      </c>
      <c r="E857" s="4" t="str">
        <f t="shared" si="65"/>
        <v>irn.dth.ktoe.ind.nga.1</v>
      </c>
      <c r="F857" s="4" t="str">
        <f t="shared" si="62"/>
        <v>N/A</v>
      </c>
      <c r="G857" s="4" t="str">
        <f t="shared" si="63"/>
        <v>irn.air.dthktoe_.all.nga.all.deathsktoe.1</v>
      </c>
      <c r="H857" s="4" t="s">
        <v>199</v>
      </c>
      <c r="I857" s="4" t="s">
        <v>233</v>
      </c>
      <c r="J857" s="4"/>
      <c r="K857" s="4" t="s">
        <v>234</v>
      </c>
      <c r="L857" s="4"/>
      <c r="M857" s="4"/>
      <c r="N857" s="4" t="s">
        <v>29</v>
      </c>
      <c r="O857" s="4"/>
      <c r="P857" s="4"/>
      <c r="Q857" s="4" t="s">
        <v>61</v>
      </c>
      <c r="R857" s="4"/>
      <c r="S857" s="4"/>
      <c r="T857" s="4"/>
      <c r="U857" s="4"/>
      <c r="V857" s="28">
        <v>1</v>
      </c>
    </row>
    <row r="858" spans="4:22" x14ac:dyDescent="0.45">
      <c r="D858" s="47" t="s">
        <v>1117</v>
      </c>
      <c r="E858" s="4" t="str">
        <f t="shared" si="65"/>
        <v>irn.dth.ktoe.res.nga.1</v>
      </c>
      <c r="F858" s="4" t="str">
        <f t="shared" ref="F858:F874" si="66">IF(MTAct,E858&amp;"_"&amp;MSTScenarioID,"N/A")</f>
        <v>N/A</v>
      </c>
      <c r="G858" s="4" t="str">
        <f t="shared" si="63"/>
        <v>irn.air.dthktoe_.all.nga.all.deathsktoe.1</v>
      </c>
      <c r="H858" s="4" t="s">
        <v>199</v>
      </c>
      <c r="I858" s="4" t="s">
        <v>233</v>
      </c>
      <c r="J858" s="4"/>
      <c r="K858" s="4" t="s">
        <v>234</v>
      </c>
      <c r="L858" s="4"/>
      <c r="M858" s="4"/>
      <c r="N858" s="4" t="s">
        <v>28</v>
      </c>
      <c r="O858" s="4"/>
      <c r="P858" s="4"/>
      <c r="Q858" s="4" t="s">
        <v>61</v>
      </c>
      <c r="R858" s="4"/>
      <c r="S858" s="4"/>
      <c r="T858" s="4"/>
      <c r="U858" s="4"/>
      <c r="V858" s="28">
        <v>1</v>
      </c>
    </row>
    <row r="859" spans="4:22" x14ac:dyDescent="0.45">
      <c r="D859" s="47" t="s">
        <v>1118</v>
      </c>
      <c r="E859" s="4" t="str">
        <f>'[1]Air pollution'!H4137</f>
        <v>irn.air.conc.pm2.cpp.1</v>
      </c>
      <c r="F859" s="4" t="str">
        <f t="shared" si="66"/>
        <v>N/A</v>
      </c>
      <c r="G859" s="4" t="str">
        <f t="shared" si="63"/>
        <v>irn.air.conc_pm_.all.coa.all.ugm3.1</v>
      </c>
      <c r="H859" s="4" t="s">
        <v>199</v>
      </c>
      <c r="I859" s="4" t="s">
        <v>235</v>
      </c>
      <c r="J859" s="4"/>
      <c r="K859" s="4" t="s">
        <v>236</v>
      </c>
      <c r="L859" s="4"/>
      <c r="M859" s="4"/>
      <c r="N859" s="4"/>
      <c r="O859" s="4"/>
      <c r="P859" s="4"/>
      <c r="Q859" s="4" t="s">
        <v>60</v>
      </c>
      <c r="R859" s="4"/>
      <c r="S859" s="4"/>
      <c r="T859" s="4"/>
      <c r="U859" s="4"/>
      <c r="V859" s="28">
        <v>1</v>
      </c>
    </row>
    <row r="860" spans="4:22" x14ac:dyDescent="0.45">
      <c r="D860" s="47" t="s">
        <v>1119</v>
      </c>
      <c r="E860" s="4" t="str">
        <f>'[1]Air pollution'!H4138</f>
        <v>irn.air.conc.pm2.gpp.1</v>
      </c>
      <c r="F860" s="4" t="str">
        <f t="shared" si="66"/>
        <v>N/A</v>
      </c>
      <c r="G860" s="4" t="str">
        <f t="shared" si="63"/>
        <v>irn.air.conc_pm_.all.nga.all.ugm3.1</v>
      </c>
      <c r="H860" s="4" t="s">
        <v>199</v>
      </c>
      <c r="I860" s="4" t="s">
        <v>235</v>
      </c>
      <c r="J860" s="4"/>
      <c r="K860" s="4" t="s">
        <v>236</v>
      </c>
      <c r="L860" s="4"/>
      <c r="M860" s="4"/>
      <c r="N860" s="4"/>
      <c r="O860" s="4"/>
      <c r="P860" s="4"/>
      <c r="Q860" s="4" t="s">
        <v>61</v>
      </c>
      <c r="R860" s="4"/>
      <c r="S860" s="4"/>
      <c r="T860" s="4"/>
      <c r="U860" s="4"/>
      <c r="V860" s="28">
        <v>1</v>
      </c>
    </row>
    <row r="861" spans="4:22" x14ac:dyDescent="0.45">
      <c r="D861" s="47" t="s">
        <v>1120</v>
      </c>
      <c r="E861" s="4" t="str">
        <f>'[1]Air pollution'!H4139</f>
        <v>irn.air.conc.pm2.opp.1</v>
      </c>
      <c r="F861" s="4" t="str">
        <f t="shared" si="66"/>
        <v>N/A</v>
      </c>
      <c r="G861" s="4" t="str">
        <f t="shared" si="63"/>
        <v>irn.air.conc_pm_.all.all.all.ugm3.1</v>
      </c>
      <c r="H861" s="4" t="s">
        <v>199</v>
      </c>
      <c r="I861" s="4" t="s">
        <v>235</v>
      </c>
      <c r="J861" s="4"/>
      <c r="K861" s="4" t="s">
        <v>236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28">
        <v>1</v>
      </c>
    </row>
    <row r="862" spans="4:22" x14ac:dyDescent="0.45">
      <c r="D862" s="47" t="s">
        <v>1121</v>
      </c>
      <c r="E862" s="4" t="str">
        <f>'[1]Air pollution'!H4140</f>
        <v>irn.air.conc.pm2.rod.1</v>
      </c>
      <c r="F862" s="4" t="str">
        <f t="shared" si="66"/>
        <v>N/A</v>
      </c>
      <c r="G862" s="4" t="str">
        <f t="shared" si="63"/>
        <v>irn.air.conc_pm_.all.all.all.ugm3.1</v>
      </c>
      <c r="H862" s="4" t="s">
        <v>199</v>
      </c>
      <c r="I862" s="4" t="s">
        <v>235</v>
      </c>
      <c r="J862" s="4"/>
      <c r="K862" s="4" t="s">
        <v>236</v>
      </c>
      <c r="L862" s="4"/>
      <c r="M862" s="4"/>
      <c r="N862" s="4"/>
      <c r="O862" s="4"/>
      <c r="P862" s="4"/>
      <c r="Q862" s="4" t="s">
        <v>46</v>
      </c>
      <c r="R862" s="4"/>
      <c r="S862" s="4"/>
      <c r="T862" s="4"/>
      <c r="U862" s="4"/>
      <c r="V862" s="28">
        <v>1</v>
      </c>
    </row>
    <row r="863" spans="4:22" x14ac:dyDescent="0.45">
      <c r="D863" s="47" t="s">
        <v>1122</v>
      </c>
      <c r="E863" s="4" t="str">
        <f>'[1]Air pollution'!H4141</f>
        <v>irn.air.conc.pm2.gro.1</v>
      </c>
      <c r="F863" s="4" t="str">
        <f t="shared" si="66"/>
        <v>N/A</v>
      </c>
      <c r="G863" s="4" t="str">
        <f t="shared" si="63"/>
        <v>irn.air.conc_pm_.all.all.all.ugm3.1</v>
      </c>
      <c r="H863" s="4" t="s">
        <v>199</v>
      </c>
      <c r="I863" s="4" t="s">
        <v>235</v>
      </c>
      <c r="J863" s="4"/>
      <c r="K863" s="4" t="s">
        <v>236</v>
      </c>
      <c r="L863" s="4"/>
      <c r="M863" s="4"/>
      <c r="N863" s="4"/>
      <c r="O863" s="4"/>
      <c r="P863" s="4"/>
      <c r="Q863" s="4" t="s">
        <v>46</v>
      </c>
      <c r="R863" s="4"/>
      <c r="S863" s="4"/>
      <c r="T863" s="4"/>
      <c r="U863" s="4"/>
      <c r="V863" s="28">
        <v>1</v>
      </c>
    </row>
    <row r="864" spans="4:22" x14ac:dyDescent="0.45">
      <c r="D864" s="47" t="s">
        <v>1123</v>
      </c>
      <c r="E864" s="4" t="str">
        <f>'[1]Air pollution'!H4142</f>
        <v>irn.air.conc.pm2.oth.1</v>
      </c>
      <c r="F864" s="4" t="str">
        <f t="shared" si="66"/>
        <v>N/A</v>
      </c>
      <c r="G864" s="4" t="str">
        <f t="shared" si="63"/>
        <v>irn.air.conc_pm_.all.all.all.ugm3.1</v>
      </c>
      <c r="H864" s="4" t="s">
        <v>199</v>
      </c>
      <c r="I864" s="4" t="s">
        <v>235</v>
      </c>
      <c r="J864" s="4"/>
      <c r="K864" s="4" t="s">
        <v>236</v>
      </c>
      <c r="L864" s="4"/>
      <c r="M864" s="4"/>
      <c r="N864" s="4"/>
      <c r="O864" s="4"/>
      <c r="P864" s="4"/>
      <c r="Q864" s="4" t="s">
        <v>46</v>
      </c>
      <c r="R864" s="4"/>
      <c r="S864" s="4"/>
      <c r="T864" s="4"/>
      <c r="U864" s="4"/>
      <c r="V864" s="28">
        <v>1</v>
      </c>
    </row>
    <row r="865" spans="4:22" x14ac:dyDescent="0.45">
      <c r="D865" s="47" t="s">
        <v>1124</v>
      </c>
      <c r="E865" s="4" t="str">
        <f>'[1]Air pollution'!H4143</f>
        <v>irn.air.conc.pm2.foo.1</v>
      </c>
      <c r="F865" s="4" t="str">
        <f t="shared" si="66"/>
        <v>N/A</v>
      </c>
      <c r="G865" s="4" t="str">
        <f t="shared" si="63"/>
        <v>irn.air.conc_pm_.all.all.all.ugm3.1</v>
      </c>
      <c r="H865" s="4" t="s">
        <v>199</v>
      </c>
      <c r="I865" s="4" t="s">
        <v>235</v>
      </c>
      <c r="J865" s="4"/>
      <c r="K865" s="4" t="s">
        <v>236</v>
      </c>
      <c r="L865" s="4"/>
      <c r="M865" s="4"/>
      <c r="N865" s="4"/>
      <c r="O865" s="4"/>
      <c r="P865" s="4"/>
      <c r="Q865" s="4" t="s">
        <v>46</v>
      </c>
      <c r="R865" s="4"/>
      <c r="S865" s="4"/>
      <c r="T865" s="4"/>
      <c r="U865" s="4"/>
      <c r="V865" s="28">
        <v>1</v>
      </c>
    </row>
    <row r="866" spans="4:22" x14ac:dyDescent="0.45">
      <c r="D866" s="47" t="s">
        <v>1125</v>
      </c>
      <c r="E866" s="4" t="str">
        <f>'[1]Air pollution'!H4145</f>
        <v>irn.air.conc.pm2.tot.1</v>
      </c>
      <c r="F866" s="4" t="str">
        <f t="shared" si="66"/>
        <v>N/A</v>
      </c>
      <c r="G866" s="4" t="str">
        <f t="shared" si="63"/>
        <v>irn.air.conc_pm_.all.all.all.ugm3.1</v>
      </c>
      <c r="H866" s="4" t="s">
        <v>199</v>
      </c>
      <c r="I866" s="4" t="s">
        <v>235</v>
      </c>
      <c r="J866" s="4"/>
      <c r="K866" s="4" t="s">
        <v>236</v>
      </c>
      <c r="L866" s="4"/>
      <c r="M866" s="4"/>
      <c r="N866" s="4"/>
      <c r="O866" s="4"/>
      <c r="P866" s="4"/>
      <c r="Q866" s="4" t="s">
        <v>46</v>
      </c>
      <c r="R866" s="4"/>
      <c r="S866" s="4"/>
      <c r="T866" s="4"/>
      <c r="U866" s="4"/>
      <c r="V866" s="28">
        <v>1</v>
      </c>
    </row>
    <row r="867" spans="4:22" x14ac:dyDescent="0.45">
      <c r="D867" s="47" t="s">
        <v>1126</v>
      </c>
      <c r="E867" s="4" t="str">
        <f>'[1]Air pollution'!H4148</f>
        <v>irn.air.conc.pm2.cpp.2</v>
      </c>
      <c r="F867" s="4" t="str">
        <f t="shared" si="66"/>
        <v>N/A</v>
      </c>
      <c r="G867" s="4" t="str">
        <f t="shared" si="63"/>
        <v>irn.air.conc_pm_.all.coa.all.ugm3.2</v>
      </c>
      <c r="H867" s="4" t="s">
        <v>199</v>
      </c>
      <c r="I867" s="4" t="s">
        <v>235</v>
      </c>
      <c r="J867" s="4"/>
      <c r="K867" s="4" t="s">
        <v>236</v>
      </c>
      <c r="L867" s="4"/>
      <c r="M867" s="4"/>
      <c r="N867" s="4"/>
      <c r="O867" s="4"/>
      <c r="P867" s="4"/>
      <c r="Q867" s="4" t="s">
        <v>60</v>
      </c>
      <c r="R867" s="4"/>
      <c r="S867" s="4"/>
      <c r="T867" s="4"/>
      <c r="U867" s="4"/>
      <c r="V867" s="28">
        <f t="shared" ref="V867:V874" si="67">ScenarioNum</f>
        <v>2</v>
      </c>
    </row>
    <row r="868" spans="4:22" x14ac:dyDescent="0.45">
      <c r="D868" s="47" t="s">
        <v>1127</v>
      </c>
      <c r="E868" s="4" t="str">
        <f>'[1]Air pollution'!H4149</f>
        <v>irn.air.conc.pm2.gpp.2</v>
      </c>
      <c r="F868" s="4" t="str">
        <f t="shared" si="66"/>
        <v>N/A</v>
      </c>
      <c r="G868" s="4" t="str">
        <f t="shared" si="63"/>
        <v>irn.air.conc_pm_.all.nga.all.ugm3.2</v>
      </c>
      <c r="H868" s="4" t="s">
        <v>199</v>
      </c>
      <c r="I868" s="4" t="s">
        <v>235</v>
      </c>
      <c r="J868" s="4"/>
      <c r="K868" s="4" t="s">
        <v>236</v>
      </c>
      <c r="L868" s="4"/>
      <c r="M868" s="4"/>
      <c r="N868" s="4"/>
      <c r="O868" s="4"/>
      <c r="P868" s="4"/>
      <c r="Q868" s="4" t="s">
        <v>61</v>
      </c>
      <c r="R868" s="4"/>
      <c r="S868" s="4"/>
      <c r="T868" s="4"/>
      <c r="U868" s="4"/>
      <c r="V868" s="28">
        <f t="shared" si="67"/>
        <v>2</v>
      </c>
    </row>
    <row r="869" spans="4:22" x14ac:dyDescent="0.45">
      <c r="D869" s="47" t="s">
        <v>1128</v>
      </c>
      <c r="E869" s="4" t="str">
        <f>'[1]Air pollution'!H4150</f>
        <v>irn.air.conc.pm2.opp.2</v>
      </c>
      <c r="F869" s="4" t="str">
        <f t="shared" si="66"/>
        <v>N/A</v>
      </c>
      <c r="G869" s="4" t="str">
        <f t="shared" si="63"/>
        <v>irn.air.conc_pm_.all.all.all.ugm3.2</v>
      </c>
      <c r="H869" s="4" t="s">
        <v>199</v>
      </c>
      <c r="I869" s="4" t="s">
        <v>235</v>
      </c>
      <c r="J869" s="4"/>
      <c r="K869" s="4" t="s">
        <v>236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28">
        <f t="shared" si="67"/>
        <v>2</v>
      </c>
    </row>
    <row r="870" spans="4:22" x14ac:dyDescent="0.45">
      <c r="D870" s="47" t="s">
        <v>1129</v>
      </c>
      <c r="E870" s="4" t="str">
        <f>'[1]Air pollution'!H4151</f>
        <v>irn.air.conc.pm2.rod.2</v>
      </c>
      <c r="F870" s="4" t="str">
        <f t="shared" si="66"/>
        <v>N/A</v>
      </c>
      <c r="G870" s="4" t="str">
        <f t="shared" si="63"/>
        <v>irn.air.conc_pm_.all.all.all.ugm3.2</v>
      </c>
      <c r="H870" s="4" t="s">
        <v>199</v>
      </c>
      <c r="I870" s="4" t="s">
        <v>235</v>
      </c>
      <c r="J870" s="4"/>
      <c r="K870" s="4" t="s">
        <v>236</v>
      </c>
      <c r="L870" s="4"/>
      <c r="M870" s="4"/>
      <c r="N870" s="4"/>
      <c r="O870" s="4"/>
      <c r="P870" s="4"/>
      <c r="Q870" s="4" t="s">
        <v>46</v>
      </c>
      <c r="R870" s="4"/>
      <c r="S870" s="4"/>
      <c r="T870" s="4"/>
      <c r="U870" s="4"/>
      <c r="V870" s="28">
        <f t="shared" si="67"/>
        <v>2</v>
      </c>
    </row>
    <row r="871" spans="4:22" x14ac:dyDescent="0.45">
      <c r="D871" s="47" t="s">
        <v>1130</v>
      </c>
      <c r="E871" s="4" t="str">
        <f>'[1]Air pollution'!H4152</f>
        <v>irn.air.conc.pm2.gro.2</v>
      </c>
      <c r="F871" s="4" t="str">
        <f t="shared" si="66"/>
        <v>N/A</v>
      </c>
      <c r="G871" s="4" t="str">
        <f t="shared" si="63"/>
        <v>irn.air.conc_pm_.all.all.all.ugm3.2</v>
      </c>
      <c r="H871" s="4" t="s">
        <v>199</v>
      </c>
      <c r="I871" s="4" t="s">
        <v>235</v>
      </c>
      <c r="J871" s="4"/>
      <c r="K871" s="4" t="s">
        <v>236</v>
      </c>
      <c r="L871" s="4"/>
      <c r="M871" s="4"/>
      <c r="N871" s="4"/>
      <c r="O871" s="4"/>
      <c r="P871" s="4"/>
      <c r="Q871" s="4" t="s">
        <v>46</v>
      </c>
      <c r="R871" s="4"/>
      <c r="S871" s="4"/>
      <c r="T871" s="4"/>
      <c r="U871" s="4"/>
      <c r="V871" s="28">
        <f t="shared" si="67"/>
        <v>2</v>
      </c>
    </row>
    <row r="872" spans="4:22" x14ac:dyDescent="0.45">
      <c r="D872" s="47" t="s">
        <v>1131</v>
      </c>
      <c r="E872" s="4" t="str">
        <f>'[1]Air pollution'!H4153</f>
        <v>irn.air.conc.pm2.oth.2</v>
      </c>
      <c r="F872" s="4" t="str">
        <f t="shared" si="66"/>
        <v>N/A</v>
      </c>
      <c r="G872" s="4" t="str">
        <f t="shared" si="63"/>
        <v>irn.air.conc_pm_.all.all.all.ugm3.2</v>
      </c>
      <c r="H872" s="4" t="s">
        <v>199</v>
      </c>
      <c r="I872" s="4" t="s">
        <v>235</v>
      </c>
      <c r="J872" s="4"/>
      <c r="K872" s="4" t="s">
        <v>236</v>
      </c>
      <c r="L872" s="4"/>
      <c r="M872" s="4"/>
      <c r="N872" s="4"/>
      <c r="O872" s="4"/>
      <c r="P872" s="4"/>
      <c r="Q872" s="4" t="s">
        <v>46</v>
      </c>
      <c r="R872" s="4"/>
      <c r="S872" s="4"/>
      <c r="T872" s="4"/>
      <c r="U872" s="4"/>
      <c r="V872" s="28">
        <f t="shared" si="67"/>
        <v>2</v>
      </c>
    </row>
    <row r="873" spans="4:22" x14ac:dyDescent="0.45">
      <c r="D873" s="47" t="s">
        <v>1132</v>
      </c>
      <c r="E873" s="4" t="str">
        <f>'[1]Air pollution'!H4154</f>
        <v>irn.air.conc.pm2.foo.2</v>
      </c>
      <c r="F873" s="4" t="str">
        <f t="shared" si="66"/>
        <v>N/A</v>
      </c>
      <c r="G873" s="4" t="str">
        <f t="shared" si="63"/>
        <v>irn.air.conc_pm_.all.all.all.ugm3.2</v>
      </c>
      <c r="H873" s="4" t="s">
        <v>199</v>
      </c>
      <c r="I873" s="4" t="s">
        <v>235</v>
      </c>
      <c r="J873" s="4"/>
      <c r="K873" s="4" t="s">
        <v>236</v>
      </c>
      <c r="L873" s="4"/>
      <c r="M873" s="4"/>
      <c r="N873" s="4"/>
      <c r="O873" s="4"/>
      <c r="P873" s="4"/>
      <c r="Q873" s="4" t="s">
        <v>46</v>
      </c>
      <c r="R873" s="4"/>
      <c r="S873" s="4"/>
      <c r="T873" s="4"/>
      <c r="U873" s="4"/>
      <c r="V873" s="28">
        <f t="shared" si="67"/>
        <v>2</v>
      </c>
    </row>
    <row r="874" spans="4:22" x14ac:dyDescent="0.45">
      <c r="D874" s="47" t="s">
        <v>1133</v>
      </c>
      <c r="E874" s="4" t="str">
        <f>'[1]Air pollution'!H4156</f>
        <v>irn.air.conc.pm2.tot.2</v>
      </c>
      <c r="F874" s="4" t="str">
        <f t="shared" si="66"/>
        <v>N/A</v>
      </c>
      <c r="G874" s="4" t="str">
        <f t="shared" si="63"/>
        <v>irn.air.conc_pm_.all.all.all.ugm3.2</v>
      </c>
      <c r="H874" s="4" t="s">
        <v>199</v>
      </c>
      <c r="I874" s="4" t="s">
        <v>235</v>
      </c>
      <c r="J874" s="4"/>
      <c r="K874" s="4" t="s">
        <v>236</v>
      </c>
      <c r="L874" s="4"/>
      <c r="M874" s="4"/>
      <c r="N874" s="4"/>
      <c r="O874" s="4"/>
      <c r="P874" s="4"/>
      <c r="Q874" s="4" t="s">
        <v>46</v>
      </c>
      <c r="R874" s="4"/>
      <c r="S874" s="4"/>
      <c r="T874" s="4"/>
      <c r="U874" s="4"/>
      <c r="V874" s="28">
        <f t="shared" si="67"/>
        <v>2</v>
      </c>
    </row>
    <row r="875" spans="4:22" x14ac:dyDescent="0.45">
      <c r="D875" s="2"/>
      <c r="E875" s="2"/>
      <c r="F875" s="2"/>
      <c r="G875" s="2" t="str">
        <f t="shared" si="63"/>
        <v/>
      </c>
      <c r="H875" s="2" t="s">
        <v>18</v>
      </c>
      <c r="I875" s="2"/>
      <c r="J875" s="2" t="s">
        <v>18</v>
      </c>
      <c r="K875" s="2"/>
      <c r="L875" s="2"/>
      <c r="M875" s="2"/>
      <c r="N875" s="2"/>
      <c r="O875" s="2"/>
      <c r="P875" s="2" t="str">
        <f t="shared" si="64"/>
        <v/>
      </c>
      <c r="Q875" s="2"/>
      <c r="R875" s="2"/>
      <c r="S875" s="2"/>
      <c r="T875" s="2"/>
      <c r="U875" s="2" t="str">
        <f t="shared" ref="U875:U962" si="68">R875&amp;T875&amp;S875</f>
        <v/>
      </c>
      <c r="V875" s="3"/>
    </row>
    <row r="876" spans="4:22" x14ac:dyDescent="0.45">
      <c r="D876" s="47" t="s">
        <v>1134</v>
      </c>
      <c r="E876" s="4" t="str">
        <f>[1]Mitigation!H14836</f>
        <v>irn.mit.cc.code.coa.1</v>
      </c>
      <c r="F876" s="4" t="str">
        <f t="shared" ref="F876:F881" si="69">IF(MTAct,E876&amp;"_"&amp;MSTScenarioID,"N/A")</f>
        <v>N/A</v>
      </c>
      <c r="G876" s="4" t="str">
        <f t="shared" si="63"/>
        <v>irn.mit.cccosts_.a.coa.a.usdgj.1</v>
      </c>
      <c r="H876" s="4" t="s">
        <v>19</v>
      </c>
      <c r="I876" s="4" t="s">
        <v>237</v>
      </c>
      <c r="J876" s="4" t="s">
        <v>18</v>
      </c>
      <c r="K876" s="4" t="s">
        <v>102</v>
      </c>
      <c r="L876" s="4"/>
      <c r="M876" s="4"/>
      <c r="N876" s="4" t="s">
        <v>46</v>
      </c>
      <c r="O876" s="4"/>
      <c r="P876" s="4" t="str">
        <f t="shared" si="64"/>
        <v>all</v>
      </c>
      <c r="Q876" s="4" t="s">
        <v>60</v>
      </c>
      <c r="R876" s="4" t="s">
        <v>194</v>
      </c>
      <c r="S876" s="4"/>
      <c r="T876" s="4"/>
      <c r="U876" s="4" t="str">
        <f t="shared" si="68"/>
        <v>a</v>
      </c>
      <c r="V876" s="28">
        <v>1</v>
      </c>
    </row>
    <row r="877" spans="4:22" x14ac:dyDescent="0.45">
      <c r="D877" s="47" t="s">
        <v>1135</v>
      </c>
      <c r="E877" s="4" t="str">
        <f>[1]Mitigation!H14837</f>
        <v>irn.mit.cc.code.nga.1</v>
      </c>
      <c r="F877" s="4" t="str">
        <f t="shared" si="69"/>
        <v>N/A</v>
      </c>
      <c r="G877" s="4" t="str">
        <f t="shared" si="63"/>
        <v>irn.mit.cccosts_.a.nga.a.usdgj.1</v>
      </c>
      <c r="H877" s="4" t="s">
        <v>19</v>
      </c>
      <c r="I877" s="4" t="s">
        <v>237</v>
      </c>
      <c r="J877" s="4" t="s">
        <v>18</v>
      </c>
      <c r="K877" s="4" t="s">
        <v>102</v>
      </c>
      <c r="L877" s="4"/>
      <c r="M877" s="4"/>
      <c r="N877" s="4" t="s">
        <v>46</v>
      </c>
      <c r="O877" s="4"/>
      <c r="P877" s="4" t="str">
        <f t="shared" si="64"/>
        <v>all</v>
      </c>
      <c r="Q877" s="4" t="s">
        <v>61</v>
      </c>
      <c r="R877" s="4" t="s">
        <v>194</v>
      </c>
      <c r="S877" s="4"/>
      <c r="T877" s="4"/>
      <c r="U877" s="4" t="str">
        <f t="shared" si="68"/>
        <v>a</v>
      </c>
      <c r="V877" s="28">
        <v>1</v>
      </c>
    </row>
    <row r="878" spans="4:22" x14ac:dyDescent="0.45">
      <c r="D878" s="47" t="s">
        <v>1136</v>
      </c>
      <c r="E878" s="4" t="str">
        <f>[1]Mitigation!H14839</f>
        <v>irn.mit.cc.code.gso.1</v>
      </c>
      <c r="F878" s="4" t="str">
        <f t="shared" si="69"/>
        <v>N/A</v>
      </c>
      <c r="G878" s="4" t="str">
        <f t="shared" si="63"/>
        <v>irn.mit.cccosts_.a.gso.a.usdgj.1</v>
      </c>
      <c r="H878" s="4" t="s">
        <v>19</v>
      </c>
      <c r="I878" s="4" t="s">
        <v>237</v>
      </c>
      <c r="J878" s="4" t="s">
        <v>18</v>
      </c>
      <c r="K878" s="4" t="s">
        <v>102</v>
      </c>
      <c r="L878" s="4"/>
      <c r="M878" s="4"/>
      <c r="N878" s="4" t="s">
        <v>46</v>
      </c>
      <c r="O878" s="4"/>
      <c r="P878" s="4" t="str">
        <f t="shared" si="64"/>
        <v>all</v>
      </c>
      <c r="Q878" s="4" t="s">
        <v>63</v>
      </c>
      <c r="R878" s="4" t="s">
        <v>194</v>
      </c>
      <c r="S878" s="4"/>
      <c r="T878" s="4"/>
      <c r="U878" s="4" t="str">
        <f t="shared" si="68"/>
        <v>a</v>
      </c>
      <c r="V878" s="28">
        <v>1</v>
      </c>
    </row>
    <row r="879" spans="4:22" x14ac:dyDescent="0.45">
      <c r="D879" s="47" t="s">
        <v>1137</v>
      </c>
      <c r="E879" s="4" t="str">
        <f>[1]Mitigation!H14840</f>
        <v>irn.mit.cc.code.die.1</v>
      </c>
      <c r="F879" s="4" t="str">
        <f t="shared" si="69"/>
        <v>N/A</v>
      </c>
      <c r="G879" s="4" t="str">
        <f t="shared" si="63"/>
        <v>irn.mit.cccosts_.a.die.a.usdgj.1</v>
      </c>
      <c r="H879" s="4" t="s">
        <v>19</v>
      </c>
      <c r="I879" s="4" t="s">
        <v>237</v>
      </c>
      <c r="J879" s="4" t="s">
        <v>18</v>
      </c>
      <c r="K879" s="4" t="s">
        <v>102</v>
      </c>
      <c r="L879" s="4"/>
      <c r="M879" s="4"/>
      <c r="N879" s="4" t="s">
        <v>46</v>
      </c>
      <c r="O879" s="4"/>
      <c r="P879" s="4" t="str">
        <f t="shared" si="64"/>
        <v>all</v>
      </c>
      <c r="Q879" s="4" t="s">
        <v>64</v>
      </c>
      <c r="R879" s="4" t="s">
        <v>194</v>
      </c>
      <c r="S879" s="4"/>
      <c r="T879" s="4"/>
      <c r="U879" s="4" t="str">
        <f t="shared" si="68"/>
        <v>a</v>
      </c>
      <c r="V879" s="28">
        <v>1</v>
      </c>
    </row>
    <row r="880" spans="4:22" x14ac:dyDescent="0.45">
      <c r="D880" s="47" t="s">
        <v>1138</v>
      </c>
      <c r="E880" s="4" t="str">
        <f>[1]Mitigation!H14841</f>
        <v>irn.mit.cc.code.lpg.1</v>
      </c>
      <c r="F880" s="4" t="str">
        <f t="shared" si="69"/>
        <v>N/A</v>
      </c>
      <c r="G880" s="4" t="str">
        <f t="shared" si="63"/>
        <v>irn.mit.cccosts_.a.lpg.a.usdgj.1</v>
      </c>
      <c r="H880" s="4" t="s">
        <v>19</v>
      </c>
      <c r="I880" s="4" t="s">
        <v>237</v>
      </c>
      <c r="J880" s="4" t="s">
        <v>18</v>
      </c>
      <c r="K880" s="4" t="s">
        <v>102</v>
      </c>
      <c r="L880" s="4"/>
      <c r="M880" s="4"/>
      <c r="N880" s="4" t="s">
        <v>46</v>
      </c>
      <c r="O880" s="4"/>
      <c r="P880" s="4" t="str">
        <f t="shared" si="64"/>
        <v>all</v>
      </c>
      <c r="Q880" s="4" t="s">
        <v>65</v>
      </c>
      <c r="R880" s="4" t="s">
        <v>194</v>
      </c>
      <c r="S880" s="4"/>
      <c r="T880" s="4"/>
      <c r="U880" s="4" t="str">
        <f t="shared" si="68"/>
        <v>a</v>
      </c>
      <c r="V880" s="28">
        <v>1</v>
      </c>
    </row>
    <row r="881" spans="4:22" x14ac:dyDescent="0.45">
      <c r="D881" s="47" t="s">
        <v>1139</v>
      </c>
      <c r="E881" s="4" t="str">
        <f>[1]Mitigation!H14842</f>
        <v>irn.mit.cc.code.ker.1</v>
      </c>
      <c r="F881" s="4" t="str">
        <f t="shared" si="69"/>
        <v>N/A</v>
      </c>
      <c r="G881" s="4" t="str">
        <f t="shared" si="63"/>
        <v>irn.mit.cccosts_.a.ker.a.usdgj.1</v>
      </c>
      <c r="H881" s="4" t="s">
        <v>19</v>
      </c>
      <c r="I881" s="4" t="s">
        <v>237</v>
      </c>
      <c r="J881" s="4" t="s">
        <v>18</v>
      </c>
      <c r="K881" s="4" t="s">
        <v>102</v>
      </c>
      <c r="L881" s="4"/>
      <c r="M881" s="4"/>
      <c r="N881" s="4" t="s">
        <v>46</v>
      </c>
      <c r="O881" s="4"/>
      <c r="P881" s="4" t="str">
        <f t="shared" si="64"/>
        <v>all</v>
      </c>
      <c r="Q881" s="4" t="s">
        <v>66</v>
      </c>
      <c r="R881" s="4" t="s">
        <v>194</v>
      </c>
      <c r="S881" s="4"/>
      <c r="T881" s="4"/>
      <c r="U881" s="4" t="str">
        <f t="shared" si="68"/>
        <v>a</v>
      </c>
      <c r="V881" s="28">
        <v>1</v>
      </c>
    </row>
    <row r="882" spans="4:22" x14ac:dyDescent="0.45">
      <c r="D882" s="2"/>
      <c r="E882" s="2"/>
      <c r="F882" s="2"/>
      <c r="G882" s="2" t="str">
        <f t="shared" si="63"/>
        <v/>
      </c>
      <c r="H882" s="2" t="s">
        <v>18</v>
      </c>
      <c r="I882" s="2"/>
      <c r="J882" s="2" t="s">
        <v>18</v>
      </c>
      <c r="K882" s="2"/>
      <c r="L882" s="2"/>
      <c r="M882" s="2"/>
      <c r="N882" s="2"/>
      <c r="O882" s="2"/>
      <c r="P882" s="2" t="str">
        <f t="shared" si="64"/>
        <v/>
      </c>
      <c r="Q882" s="2"/>
      <c r="R882" s="2"/>
      <c r="S882" s="2"/>
      <c r="T882" s="2"/>
      <c r="U882" s="2" t="str">
        <f t="shared" si="68"/>
        <v/>
      </c>
      <c r="V882" s="3"/>
    </row>
    <row r="883" spans="4:22" x14ac:dyDescent="0.45">
      <c r="D883" s="18" t="s">
        <v>1140</v>
      </c>
      <c r="E883" s="4" t="str">
        <f>LOWER(_Country_code)&amp;".tran.vmt.1"</f>
        <v>irn.tran.vmt.1</v>
      </c>
      <c r="F883" s="4" t="str">
        <f t="shared" ref="F883:F895" si="70">IF(MTAct,E883&amp;"_"&amp;MSTScenarioID,"N/A")</f>
        <v>N/A</v>
      </c>
      <c r="G883" s="4" t="str">
        <f t="shared" si="63"/>
        <v>irn.tran.vmt_.all.all.all.all.1</v>
      </c>
      <c r="H883" s="4" t="s">
        <v>238</v>
      </c>
      <c r="I883" s="4" t="s">
        <v>239</v>
      </c>
      <c r="J883" s="4" t="s">
        <v>18</v>
      </c>
      <c r="K883" s="4"/>
      <c r="L883" s="4"/>
      <c r="M883" s="4"/>
      <c r="N883" s="4"/>
      <c r="O883" s="4"/>
      <c r="P883" s="4" t="str">
        <f t="shared" si="64"/>
        <v/>
      </c>
      <c r="Q883" s="4"/>
      <c r="R883" s="4"/>
      <c r="S883" s="4"/>
      <c r="T883" s="4"/>
      <c r="U883" s="4" t="str">
        <f t="shared" si="68"/>
        <v/>
      </c>
      <c r="V883" s="10">
        <v>1</v>
      </c>
    </row>
    <row r="884" spans="4:22" x14ac:dyDescent="0.45">
      <c r="D884" s="18" t="s">
        <v>1141</v>
      </c>
      <c r="E884" s="4" t="str">
        <f>LOWER(_Country_code)&amp;".tran.vmt."&amp;ScenarioNum</f>
        <v>irn.tran.vmt.2</v>
      </c>
      <c r="F884" s="4" t="str">
        <f t="shared" si="70"/>
        <v>N/A</v>
      </c>
      <c r="G884" s="4" t="str">
        <f t="shared" si="63"/>
        <v>irn.tran.vmt_.all.all.all.all.1</v>
      </c>
      <c r="H884" s="4" t="s">
        <v>238</v>
      </c>
      <c r="I884" s="4" t="s">
        <v>239</v>
      </c>
      <c r="J884" s="4" t="s">
        <v>18</v>
      </c>
      <c r="K884" s="4"/>
      <c r="L884" s="4"/>
      <c r="M884" s="4"/>
      <c r="N884" s="4"/>
      <c r="O884" s="4"/>
      <c r="P884" s="4" t="str">
        <f t="shared" si="64"/>
        <v/>
      </c>
      <c r="Q884" s="4"/>
      <c r="R884" s="4"/>
      <c r="S884" s="4"/>
      <c r="T884" s="4"/>
      <c r="U884" s="4" t="str">
        <f t="shared" si="68"/>
        <v/>
      </c>
      <c r="V884" s="10">
        <v>1</v>
      </c>
    </row>
    <row r="885" spans="4:22" x14ac:dyDescent="0.45">
      <c r="D885" s="18" t="s">
        <v>1142</v>
      </c>
      <c r="E885" s="4" t="str">
        <f>LOWER(_Country_code)&amp;".tran.deaths.1"</f>
        <v>irn.tran.deaths.1</v>
      </c>
      <c r="F885" s="4" t="str">
        <f t="shared" si="70"/>
        <v>N/A</v>
      </c>
      <c r="G885" s="4" t="str">
        <f t="shared" si="63"/>
        <v>irn.tran.vmt_.all.all.all.all.2</v>
      </c>
      <c r="H885" s="4" t="s">
        <v>238</v>
      </c>
      <c r="I885" s="4" t="s">
        <v>239</v>
      </c>
      <c r="J885" s="4" t="s">
        <v>18</v>
      </c>
      <c r="K885" s="4"/>
      <c r="L885" s="4"/>
      <c r="M885" s="4"/>
      <c r="N885" s="4"/>
      <c r="O885" s="4"/>
      <c r="P885" s="4" t="str">
        <f t="shared" si="64"/>
        <v/>
      </c>
      <c r="Q885" s="4"/>
      <c r="R885" s="4"/>
      <c r="S885" s="4"/>
      <c r="T885" s="4"/>
      <c r="U885" s="4" t="str">
        <f t="shared" si="68"/>
        <v/>
      </c>
      <c r="V885" s="10">
        <v>2</v>
      </c>
    </row>
    <row r="886" spans="4:22" x14ac:dyDescent="0.45">
      <c r="D886" s="18" t="s">
        <v>1143</v>
      </c>
      <c r="E886" s="4" t="str">
        <f>LOWER(_Country_code)&amp;".tran.deaths."&amp;ScenarioNum</f>
        <v>irn.tran.deaths.2</v>
      </c>
      <c r="F886" s="4" t="str">
        <f t="shared" si="70"/>
        <v>N/A</v>
      </c>
      <c r="G886" s="4" t="str">
        <f t="shared" si="63"/>
        <v>irn.tran.deaths_.all.all.all.all.1</v>
      </c>
      <c r="H886" s="4" t="s">
        <v>238</v>
      </c>
      <c r="I886" s="4" t="s">
        <v>240</v>
      </c>
      <c r="J886" s="4" t="s">
        <v>18</v>
      </c>
      <c r="K886" s="4"/>
      <c r="L886" s="4"/>
      <c r="M886" s="4"/>
      <c r="N886" s="4"/>
      <c r="O886" s="4"/>
      <c r="P886" s="4" t="str">
        <f t="shared" si="64"/>
        <v/>
      </c>
      <c r="Q886" s="4"/>
      <c r="R886" s="4"/>
      <c r="S886" s="4"/>
      <c r="T886" s="4"/>
      <c r="U886" s="4" t="str">
        <f t="shared" si="68"/>
        <v/>
      </c>
      <c r="V886" s="10">
        <v>1</v>
      </c>
    </row>
    <row r="887" spans="4:22" x14ac:dyDescent="0.45">
      <c r="D887" s="18" t="s">
        <v>1144</v>
      </c>
      <c r="E887" s="4" t="str">
        <f>LOWER(_Country_code)&amp;".tran.acc.avd.cum."&amp;ScenarioNum</f>
        <v>irn.tran.acc.avd.cum.2</v>
      </c>
      <c r="F887" s="4" t="str">
        <f t="shared" si="70"/>
        <v>N/A</v>
      </c>
      <c r="G887" s="4" t="str">
        <f t="shared" si="63"/>
        <v>irn.tran.deaths_.all.all.all.all.2</v>
      </c>
      <c r="H887" s="4" t="s">
        <v>238</v>
      </c>
      <c r="I887" s="4" t="s">
        <v>240</v>
      </c>
      <c r="J887" s="4" t="s">
        <v>18</v>
      </c>
      <c r="K887" s="4"/>
      <c r="L887" s="4"/>
      <c r="M887" s="4"/>
      <c r="N887" s="4"/>
      <c r="O887" s="4"/>
      <c r="P887" s="4" t="str">
        <f t="shared" si="64"/>
        <v/>
      </c>
      <c r="Q887" s="4"/>
      <c r="R887" s="4"/>
      <c r="S887" s="4"/>
      <c r="T887" s="4"/>
      <c r="U887" s="4" t="str">
        <f t="shared" si="68"/>
        <v/>
      </c>
      <c r="V887" s="10">
        <v>2</v>
      </c>
    </row>
    <row r="888" spans="4:22" x14ac:dyDescent="0.45">
      <c r="D888" s="18" t="s">
        <v>1145</v>
      </c>
      <c r="E888" s="4" t="str">
        <f>[1]Transport!F440</f>
        <v>irn.tran.congestionP.1</v>
      </c>
      <c r="F888" s="4" t="str">
        <f t="shared" si="70"/>
        <v>N/A</v>
      </c>
      <c r="G888" s="4" t="str">
        <f t="shared" si="63"/>
        <v>irn.tran.congestionP_.all.all.all.all.1</v>
      </c>
      <c r="H888" s="4" t="s">
        <v>238</v>
      </c>
      <c r="I888" s="4" t="s">
        <v>241</v>
      </c>
      <c r="J888" s="4" t="s">
        <v>18</v>
      </c>
      <c r="K888" s="4"/>
      <c r="L888" s="4"/>
      <c r="M888" s="4"/>
      <c r="N888" s="4"/>
      <c r="O888" s="4"/>
      <c r="P888" s="4" t="str">
        <f t="shared" si="64"/>
        <v/>
      </c>
      <c r="Q888" s="4"/>
      <c r="R888" s="4"/>
      <c r="S888" s="4"/>
      <c r="T888" s="4"/>
      <c r="U888" s="4" t="str">
        <f t="shared" si="68"/>
        <v/>
      </c>
      <c r="V888" s="10">
        <v>1</v>
      </c>
    </row>
    <row r="889" spans="4:22" x14ac:dyDescent="0.45">
      <c r="D889" s="18" t="s">
        <v>1146</v>
      </c>
      <c r="E889" s="4" t="str">
        <f>LOWER(_Country_code)&amp;".tran.congestionP."&amp;ScenarioNum</f>
        <v>irn.tran.congestionP.2</v>
      </c>
      <c r="F889" s="4" t="str">
        <f t="shared" si="70"/>
        <v>N/A</v>
      </c>
      <c r="G889" s="4" t="str">
        <f t="shared" si="63"/>
        <v>irn.tran.congestionP_.all.all.all.all.2</v>
      </c>
      <c r="H889" s="4" t="s">
        <v>238</v>
      </c>
      <c r="I889" s="4" t="s">
        <v>241</v>
      </c>
      <c r="J889" s="4" t="s">
        <v>18</v>
      </c>
      <c r="K889" s="4"/>
      <c r="L889" s="4"/>
      <c r="M889" s="4"/>
      <c r="N889" s="4"/>
      <c r="O889" s="4"/>
      <c r="P889" s="4" t="str">
        <f t="shared" si="64"/>
        <v/>
      </c>
      <c r="Q889" s="4"/>
      <c r="R889" s="4"/>
      <c r="S889" s="4"/>
      <c r="T889" s="4"/>
      <c r="U889" s="4" t="str">
        <f t="shared" si="68"/>
        <v/>
      </c>
      <c r="V889" s="10">
        <v>2</v>
      </c>
    </row>
    <row r="890" spans="4:22" x14ac:dyDescent="0.45">
      <c r="D890" s="18" t="s">
        <v>1147</v>
      </c>
      <c r="E890" s="4" t="str">
        <f>[1]Mitigation!H14890</f>
        <v>irn.tran.acc.cost.gso.1</v>
      </c>
      <c r="F890" s="4" t="str">
        <f t="shared" si="70"/>
        <v>N/A</v>
      </c>
      <c r="G890" s="4" t="str">
        <f t="shared" si="63"/>
        <v>irn.tran.acccost_.all.gso.all.all.1</v>
      </c>
      <c r="H890" s="4" t="s">
        <v>238</v>
      </c>
      <c r="I890" s="4" t="s">
        <v>242</v>
      </c>
      <c r="J890" s="4" t="s">
        <v>18</v>
      </c>
      <c r="K890" s="4"/>
      <c r="L890" s="4"/>
      <c r="M890" s="4"/>
      <c r="N890" s="4"/>
      <c r="O890" s="4"/>
      <c r="P890" s="4" t="str">
        <f t="shared" si="64"/>
        <v/>
      </c>
      <c r="Q890" s="4" t="s">
        <v>63</v>
      </c>
      <c r="R890" s="4"/>
      <c r="S890" s="4"/>
      <c r="T890" s="4"/>
      <c r="U890" s="4" t="str">
        <f t="shared" si="68"/>
        <v/>
      </c>
      <c r="V890" s="28">
        <v>1</v>
      </c>
    </row>
    <row r="891" spans="4:22" x14ac:dyDescent="0.45">
      <c r="D891" s="18" t="s">
        <v>1148</v>
      </c>
      <c r="E891" s="4" t="str">
        <f>[1]Mitigation!H14891</f>
        <v>irn.tran.acc.cost.die.1</v>
      </c>
      <c r="F891" s="4" t="str">
        <f t="shared" si="70"/>
        <v>N/A</v>
      </c>
      <c r="G891" s="4" t="str">
        <f t="shared" si="63"/>
        <v>irn.tran.acccost_.all.die.all.all.1</v>
      </c>
      <c r="H891" s="4" t="s">
        <v>238</v>
      </c>
      <c r="I891" s="4" t="s">
        <v>242</v>
      </c>
      <c r="J891" s="4" t="s">
        <v>18</v>
      </c>
      <c r="K891" s="4"/>
      <c r="L891" s="4"/>
      <c r="M891" s="4"/>
      <c r="N891" s="4"/>
      <c r="O891" s="4"/>
      <c r="P891" s="4" t="str">
        <f t="shared" si="64"/>
        <v/>
      </c>
      <c r="Q891" s="4" t="s">
        <v>64</v>
      </c>
      <c r="R891" s="4"/>
      <c r="S891" s="4"/>
      <c r="T891" s="4"/>
      <c r="U891" s="4" t="str">
        <f t="shared" si="68"/>
        <v/>
      </c>
      <c r="V891" s="28">
        <v>1</v>
      </c>
    </row>
    <row r="892" spans="4:22" x14ac:dyDescent="0.45">
      <c r="D892" s="18" t="s">
        <v>1149</v>
      </c>
      <c r="E892" s="4" t="str">
        <f>[1]Mitigation!H14892</f>
        <v>irn.tran.con.cost.gso.1</v>
      </c>
      <c r="F892" s="4" t="str">
        <f t="shared" si="70"/>
        <v>N/A</v>
      </c>
      <c r="G892" s="4" t="str">
        <f t="shared" si="63"/>
        <v>irn.tran.concost_.all.gso.all.all.1</v>
      </c>
      <c r="H892" s="4" t="s">
        <v>238</v>
      </c>
      <c r="I892" s="4" t="s">
        <v>243</v>
      </c>
      <c r="J892" s="4" t="s">
        <v>18</v>
      </c>
      <c r="K892" s="4"/>
      <c r="L892" s="4"/>
      <c r="M892" s="4"/>
      <c r="N892" s="4"/>
      <c r="O892" s="4"/>
      <c r="P892" s="4" t="str">
        <f t="shared" si="64"/>
        <v/>
      </c>
      <c r="Q892" s="4" t="s">
        <v>63</v>
      </c>
      <c r="R892" s="4"/>
      <c r="S892" s="4"/>
      <c r="T892" s="4"/>
      <c r="U892" s="4" t="str">
        <f t="shared" si="68"/>
        <v/>
      </c>
      <c r="V892" s="28">
        <v>1</v>
      </c>
    </row>
    <row r="893" spans="4:22" x14ac:dyDescent="0.45">
      <c r="D893" s="18" t="s">
        <v>1150</v>
      </c>
      <c r="E893" s="4" t="str">
        <f>[1]Mitigation!H14893</f>
        <v>irn.tran.con.cost.die.1</v>
      </c>
      <c r="F893" s="4" t="str">
        <f t="shared" si="70"/>
        <v>N/A</v>
      </c>
      <c r="G893" s="4" t="str">
        <f t="shared" si="63"/>
        <v>irn.tran.concost_.all.die.all.all.1</v>
      </c>
      <c r="H893" s="4" t="s">
        <v>238</v>
      </c>
      <c r="I893" s="4" t="s">
        <v>243</v>
      </c>
      <c r="J893" s="4" t="s">
        <v>18</v>
      </c>
      <c r="K893" s="4"/>
      <c r="L893" s="4"/>
      <c r="M893" s="4"/>
      <c r="N893" s="4"/>
      <c r="O893" s="4"/>
      <c r="P893" s="4" t="str">
        <f t="shared" si="64"/>
        <v/>
      </c>
      <c r="Q893" s="4" t="s">
        <v>64</v>
      </c>
      <c r="R893" s="4"/>
      <c r="S893" s="4"/>
      <c r="T893" s="4"/>
      <c r="U893" s="4" t="str">
        <f t="shared" si="68"/>
        <v/>
      </c>
      <c r="V893" s="28">
        <v>1</v>
      </c>
    </row>
    <row r="894" spans="4:22" x14ac:dyDescent="0.45">
      <c r="D894" s="18" t="s">
        <v>1151</v>
      </c>
      <c r="E894" s="4" t="str">
        <f>[1]Mitigation!H14894</f>
        <v>irn.tran.rdm.cost.gso.1</v>
      </c>
      <c r="F894" s="4" t="str">
        <f t="shared" si="70"/>
        <v>N/A</v>
      </c>
      <c r="G894" s="4" t="str">
        <f t="shared" si="63"/>
        <v>irn.tran.rdmcost_.all.dso.all.all.1</v>
      </c>
      <c r="H894" s="4" t="s">
        <v>238</v>
      </c>
      <c r="I894" s="4" t="s">
        <v>244</v>
      </c>
      <c r="J894" s="4" t="s">
        <v>18</v>
      </c>
      <c r="K894" s="4"/>
      <c r="L894" s="4"/>
      <c r="M894" s="4"/>
      <c r="N894" s="4"/>
      <c r="O894" s="4"/>
      <c r="P894" s="4" t="str">
        <f t="shared" si="64"/>
        <v/>
      </c>
      <c r="Q894" s="4" t="s">
        <v>245</v>
      </c>
      <c r="R894" s="4"/>
      <c r="S894" s="4"/>
      <c r="T894" s="4"/>
      <c r="U894" s="4" t="str">
        <f t="shared" si="68"/>
        <v/>
      </c>
      <c r="V894" s="28">
        <v>1</v>
      </c>
    </row>
    <row r="895" spans="4:22" x14ac:dyDescent="0.45">
      <c r="D895" s="18" t="s">
        <v>1152</v>
      </c>
      <c r="E895" s="4" t="str">
        <f>[1]Mitigation!H14895</f>
        <v>irn.tran.rdm.cost.die.1</v>
      </c>
      <c r="F895" s="4" t="str">
        <f t="shared" si="70"/>
        <v>N/A</v>
      </c>
      <c r="G895" s="4" t="str">
        <f t="shared" si="63"/>
        <v>irn.tran.rdmcost_.all.die.all.all.1</v>
      </c>
      <c r="H895" s="4" t="s">
        <v>238</v>
      </c>
      <c r="I895" s="4" t="s">
        <v>244</v>
      </c>
      <c r="J895" s="4" t="s">
        <v>18</v>
      </c>
      <c r="K895" s="4"/>
      <c r="L895" s="4"/>
      <c r="M895" s="4"/>
      <c r="N895" s="4"/>
      <c r="O895" s="4"/>
      <c r="P895" s="4" t="str">
        <f t="shared" si="64"/>
        <v/>
      </c>
      <c r="Q895" s="4" t="s">
        <v>64</v>
      </c>
      <c r="R895" s="4"/>
      <c r="S895" s="4"/>
      <c r="T895" s="4"/>
      <c r="U895" s="4" t="str">
        <f t="shared" si="68"/>
        <v/>
      </c>
      <c r="V895" s="28">
        <v>1</v>
      </c>
    </row>
    <row r="896" spans="4:22" x14ac:dyDescent="0.45">
      <c r="D896" s="2"/>
      <c r="E896" s="32"/>
      <c r="F896" s="32"/>
      <c r="G896" s="32" t="str">
        <f t="shared" si="63"/>
        <v/>
      </c>
      <c r="H896" s="32" t="s">
        <v>18</v>
      </c>
      <c r="I896" s="32"/>
      <c r="J896" s="32" t="s">
        <v>18</v>
      </c>
      <c r="K896" s="32"/>
      <c r="L896" s="32"/>
      <c r="M896" s="32"/>
      <c r="N896" s="32"/>
      <c r="O896" s="32"/>
      <c r="P896" s="32" t="str">
        <f t="shared" si="64"/>
        <v/>
      </c>
      <c r="Q896" s="32"/>
      <c r="R896" s="32"/>
      <c r="S896" s="32"/>
      <c r="T896" s="32"/>
      <c r="U896" s="32" t="str">
        <f t="shared" si="68"/>
        <v/>
      </c>
      <c r="V896" s="33"/>
    </row>
    <row r="897" spans="4:22" x14ac:dyDescent="0.45">
      <c r="D897" s="18" t="str">
        <f>[1]Mitigation!D14850&amp;" ("&amp;[1]Mitigation!E14849&amp;")"</f>
        <v>Averted climate damages (national) (real US$ 2021 bn)</v>
      </c>
      <c r="E897" s="4" t="str">
        <f>[1]Mitigation!H14850</f>
        <v>irn.mit.wel.cli.usd</v>
      </c>
      <c r="F897" s="4" t="str">
        <f t="shared" ref="F897:F907" si="71">IF(MTAct,E897&amp;"_"&amp;MSTScenarioID,"N/A")</f>
        <v>N/A</v>
      </c>
      <c r="G897" s="4" t="str">
        <f t="shared" si="63"/>
        <v>irn.mit.wel_.a.all.acli.usd.all</v>
      </c>
      <c r="H897" s="4" t="s">
        <v>19</v>
      </c>
      <c r="I897" s="4" t="s">
        <v>246</v>
      </c>
      <c r="J897" s="4" t="s">
        <v>18</v>
      </c>
      <c r="K897" s="4" t="s">
        <v>195</v>
      </c>
      <c r="L897" s="4"/>
      <c r="M897" s="4"/>
      <c r="N897" s="4"/>
      <c r="O897" s="4"/>
      <c r="P897" s="4" t="str">
        <f t="shared" si="64"/>
        <v/>
      </c>
      <c r="Q897" s="4"/>
      <c r="R897" s="4" t="s">
        <v>194</v>
      </c>
      <c r="S897" s="4"/>
      <c r="T897" s="4" t="s">
        <v>247</v>
      </c>
      <c r="U897" s="4" t="str">
        <f t="shared" si="68"/>
        <v>acli</v>
      </c>
      <c r="V897" s="6"/>
    </row>
    <row r="898" spans="4:22" x14ac:dyDescent="0.45">
      <c r="D898" s="18" t="str">
        <f>[1]Mitigation!D14851&amp;" ("&amp;[1]Mitigation!E14850&amp;")"</f>
        <v>Averted air pollution mortality/morbidity (real US$ 2021 bn)</v>
      </c>
      <c r="E898" s="4" t="str">
        <f>[1]Mitigation!H14851</f>
        <v>irn.mit.wel.air.usd</v>
      </c>
      <c r="F898" s="4" t="str">
        <f t="shared" si="71"/>
        <v>N/A</v>
      </c>
      <c r="G898" s="4" t="str">
        <f t="shared" si="63"/>
        <v>irn.mit.wel_.a.all.aair.usd.all</v>
      </c>
      <c r="H898" s="4" t="s">
        <v>19</v>
      </c>
      <c r="I898" s="4" t="s">
        <v>246</v>
      </c>
      <c r="J898" s="4" t="s">
        <v>18</v>
      </c>
      <c r="K898" s="4" t="s">
        <v>195</v>
      </c>
      <c r="L898" s="4"/>
      <c r="M898" s="4"/>
      <c r="N898" s="4"/>
      <c r="O898" s="4"/>
      <c r="P898" s="4" t="str">
        <f t="shared" si="64"/>
        <v/>
      </c>
      <c r="Q898" s="4"/>
      <c r="R898" s="4" t="s">
        <v>194</v>
      </c>
      <c r="S898" s="4"/>
      <c r="T898" s="4" t="s">
        <v>199</v>
      </c>
      <c r="U898" s="4" t="str">
        <f t="shared" si="68"/>
        <v>aair</v>
      </c>
      <c r="V898" s="6"/>
    </row>
    <row r="899" spans="4:22" x14ac:dyDescent="0.45">
      <c r="D899" s="18" t="str">
        <f>[1]Mitigation!D14852&amp;" ("&amp;[1]Mitigation!E14851&amp;")"</f>
        <v>Averted road accidents (real US$ 2021 bn)</v>
      </c>
      <c r="E899" s="4" t="str">
        <f>[1]Mitigation!H14852</f>
        <v>irn.mit.wel.rod.aci.usd</v>
      </c>
      <c r="F899" s="4" t="str">
        <f t="shared" si="71"/>
        <v>N/A</v>
      </c>
      <c r="G899" s="4" t="str">
        <f t="shared" si="63"/>
        <v>irn.mit.wel_.a.all.arodaci.usd.all</v>
      </c>
      <c r="H899" s="4" t="s">
        <v>19</v>
      </c>
      <c r="I899" s="4" t="s">
        <v>246</v>
      </c>
      <c r="J899" s="4" t="s">
        <v>18</v>
      </c>
      <c r="K899" s="4" t="s">
        <v>195</v>
      </c>
      <c r="L899" s="4"/>
      <c r="M899" s="4"/>
      <c r="N899" s="4"/>
      <c r="O899" s="4"/>
      <c r="P899" s="4" t="str">
        <f t="shared" si="64"/>
        <v/>
      </c>
      <c r="Q899" s="4"/>
      <c r="R899" s="4" t="s">
        <v>194</v>
      </c>
      <c r="S899" s="4"/>
      <c r="T899" s="4" t="s">
        <v>248</v>
      </c>
      <c r="U899" s="4" t="str">
        <f t="shared" si="68"/>
        <v>arodaci</v>
      </c>
      <c r="V899" s="6"/>
    </row>
    <row r="900" spans="4:22" x14ac:dyDescent="0.45">
      <c r="D900" s="18" t="str">
        <f>[1]Mitigation!D14853&amp;" ("&amp;[1]Mitigation!E14852&amp;")"</f>
        <v>Reduced congestion (real US$ 2021 bn)</v>
      </c>
      <c r="E900" s="4" t="str">
        <f>[1]Mitigation!H14853</f>
        <v>irn.mit.wel.rod.con.usd</v>
      </c>
      <c r="F900" s="4" t="str">
        <f t="shared" si="71"/>
        <v>N/A</v>
      </c>
      <c r="G900" s="4" t="str">
        <f t="shared" si="63"/>
        <v>irn.mit.wel_.a.all.arodcon.usd.all</v>
      </c>
      <c r="H900" s="4" t="s">
        <v>19</v>
      </c>
      <c r="I900" s="4" t="s">
        <v>246</v>
      </c>
      <c r="J900" s="4" t="s">
        <v>18</v>
      </c>
      <c r="K900" s="4" t="s">
        <v>195</v>
      </c>
      <c r="L900" s="4"/>
      <c r="M900" s="4"/>
      <c r="N900" s="4"/>
      <c r="O900" s="4"/>
      <c r="P900" s="4" t="str">
        <f t="shared" si="64"/>
        <v/>
      </c>
      <c r="Q900" s="4"/>
      <c r="R900" s="4" t="s">
        <v>194</v>
      </c>
      <c r="S900" s="4"/>
      <c r="T900" s="4" t="s">
        <v>249</v>
      </c>
      <c r="U900" s="4" t="str">
        <f t="shared" si="68"/>
        <v>arodcon</v>
      </c>
      <c r="V900" s="6"/>
    </row>
    <row r="901" spans="4:22" x14ac:dyDescent="0.45">
      <c r="D901" s="18" t="str">
        <f>[1]Mitigation!D14855&amp;" ("&amp;[1]Mitigation!E14853&amp;")"</f>
        <v>Efficiency costs (real US$ 2021 bn)</v>
      </c>
      <c r="E901" s="4" t="str">
        <f>[1]Mitigation!H14855</f>
        <v>irn.mit.wel.eco.dwl.usd</v>
      </c>
      <c r="F901" s="4" t="str">
        <f t="shared" si="71"/>
        <v>N/A</v>
      </c>
      <c r="G901" s="4" t="str">
        <f t="shared" si="63"/>
        <v>irn.mit.wel_.a.all.aecodwl.usd.all</v>
      </c>
      <c r="H901" s="4" t="s">
        <v>19</v>
      </c>
      <c r="I901" s="4" t="s">
        <v>246</v>
      </c>
      <c r="J901" s="4" t="s">
        <v>18</v>
      </c>
      <c r="K901" s="4" t="s">
        <v>195</v>
      </c>
      <c r="L901" s="4"/>
      <c r="M901" s="4"/>
      <c r="N901" s="4" t="s">
        <v>37</v>
      </c>
      <c r="O901" s="4"/>
      <c r="P901" s="4" t="str">
        <f t="shared" si="64"/>
        <v>tot</v>
      </c>
      <c r="Q901" s="4"/>
      <c r="R901" s="4" t="s">
        <v>194</v>
      </c>
      <c r="S901" s="4"/>
      <c r="T901" s="4" t="s">
        <v>250</v>
      </c>
      <c r="U901" s="4" t="str">
        <f t="shared" si="68"/>
        <v>aecodwl</v>
      </c>
      <c r="V901" s="6"/>
    </row>
    <row r="902" spans="4:22" x14ac:dyDescent="0.45">
      <c r="D902" s="18" t="str">
        <f>[1]Mitigation!D14856&amp;" ("&amp;[1]Mitigation!E14855&amp;")"</f>
        <v>Total national welfare benefits (real US$ 2021 bn)</v>
      </c>
      <c r="E902" s="4" t="str">
        <f>[1]Mitigation!H14856</f>
        <v>irn.mit.wel.tot.tot</v>
      </c>
      <c r="F902" s="4" t="str">
        <f t="shared" si="71"/>
        <v>N/A</v>
      </c>
      <c r="G902" s="4" t="str">
        <f t="shared" si="63"/>
        <v>irn.mit.wel_.a.all.atot.pc.all</v>
      </c>
      <c r="H902" s="4" t="s">
        <v>19</v>
      </c>
      <c r="I902" s="4" t="s">
        <v>246</v>
      </c>
      <c r="J902" s="4" t="s">
        <v>18</v>
      </c>
      <c r="K902" s="4" t="s">
        <v>21</v>
      </c>
      <c r="L902" s="4"/>
      <c r="M902" s="4"/>
      <c r="N902" s="4"/>
      <c r="O902" s="4"/>
      <c r="P902" s="4" t="str">
        <f t="shared" si="64"/>
        <v/>
      </c>
      <c r="Q902" s="4"/>
      <c r="R902" s="4" t="s">
        <v>194</v>
      </c>
      <c r="S902" s="4"/>
      <c r="T902" s="4" t="s">
        <v>37</v>
      </c>
      <c r="U902" s="4" t="str">
        <f t="shared" si="68"/>
        <v>atot</v>
      </c>
      <c r="V902" s="6"/>
    </row>
    <row r="903" spans="4:22" x14ac:dyDescent="0.45">
      <c r="D903" s="18" t="str">
        <f>[1]Mitigation!D14857&amp;" ("&amp;[1]Mitigation!E14856&amp;")"</f>
        <v>Climate benefits (real US$ 2021 bn)</v>
      </c>
      <c r="E903" s="4" t="str">
        <f>[1]Mitigation!H14857</f>
        <v>irn.mit.wel.cli.pct</v>
      </c>
      <c r="F903" s="4" t="str">
        <f t="shared" si="71"/>
        <v>N/A</v>
      </c>
      <c r="G903" s="4" t="str">
        <f t="shared" si="63"/>
        <v>irn.mit.wel_.a.all.arodaci.pc.all</v>
      </c>
      <c r="H903" s="4" t="s">
        <v>19</v>
      </c>
      <c r="I903" s="4" t="s">
        <v>246</v>
      </c>
      <c r="J903" s="4" t="s">
        <v>18</v>
      </c>
      <c r="K903" s="4" t="s">
        <v>21</v>
      </c>
      <c r="L903" s="4"/>
      <c r="M903" s="4"/>
      <c r="N903" s="4"/>
      <c r="O903" s="4"/>
      <c r="P903" s="4" t="str">
        <f t="shared" si="64"/>
        <v/>
      </c>
      <c r="Q903" s="4"/>
      <c r="R903" s="4" t="s">
        <v>194</v>
      </c>
      <c r="S903" s="4"/>
      <c r="T903" s="4" t="s">
        <v>248</v>
      </c>
      <c r="U903" s="4" t="str">
        <f t="shared" si="68"/>
        <v>arodaci</v>
      </c>
      <c r="V903" s="6"/>
    </row>
    <row r="904" spans="4:22" x14ac:dyDescent="0.45">
      <c r="D904" s="18" t="str">
        <f>[1]Mitigation!D14858&amp;" ("&amp;[1]Mitigation!E14857&amp;")"</f>
        <v>Air pollution co-benefits (% GDP)</v>
      </c>
      <c r="E904" s="4" t="str">
        <f>[1]Mitigation!H14858</f>
        <v>irn.mit.wel.air.pct</v>
      </c>
      <c r="F904" s="4" t="str">
        <f t="shared" si="71"/>
        <v>N/A</v>
      </c>
      <c r="G904" s="4" t="str">
        <f t="shared" si="63"/>
        <v>irn.mit.wel_.a.all.aroddam.pc.all</v>
      </c>
      <c r="H904" s="4" t="s">
        <v>19</v>
      </c>
      <c r="I904" s="4" t="s">
        <v>246</v>
      </c>
      <c r="J904" s="4" t="s">
        <v>18</v>
      </c>
      <c r="K904" s="4" t="s">
        <v>21</v>
      </c>
      <c r="L904" s="4"/>
      <c r="M904" s="4"/>
      <c r="N904" s="4"/>
      <c r="O904" s="4"/>
      <c r="P904" s="4" t="str">
        <f t="shared" si="64"/>
        <v/>
      </c>
      <c r="Q904" s="4"/>
      <c r="R904" s="4" t="s">
        <v>194</v>
      </c>
      <c r="S904" s="4"/>
      <c r="T904" s="4" t="s">
        <v>251</v>
      </c>
      <c r="U904" s="4" t="str">
        <f t="shared" si="68"/>
        <v>aroddam</v>
      </c>
      <c r="V904" s="6"/>
    </row>
    <row r="905" spans="4:22" x14ac:dyDescent="0.45">
      <c r="D905" s="18" t="str">
        <f>[1]Mitigation!D14859&amp;" ("&amp;[1]Mitigation!E14858&amp;")"</f>
        <v>Transport co-benefits (% GDP)</v>
      </c>
      <c r="E905" s="4" t="str">
        <f>[1]Mitigation!H14859</f>
        <v>irn.mit.wel.rod.pct</v>
      </c>
      <c r="F905" s="4" t="str">
        <f t="shared" si="71"/>
        <v>N/A</v>
      </c>
      <c r="G905" s="4" t="str">
        <f t="shared" si="63"/>
        <v>irn.mit.wel_.a.all.arodcon.pc.all</v>
      </c>
      <c r="H905" s="4" t="s">
        <v>19</v>
      </c>
      <c r="I905" s="4" t="s">
        <v>246</v>
      </c>
      <c r="J905" s="4" t="s">
        <v>18</v>
      </c>
      <c r="K905" s="4" t="s">
        <v>21</v>
      </c>
      <c r="L905" s="4"/>
      <c r="M905" s="4"/>
      <c r="N905" s="4"/>
      <c r="O905" s="4"/>
      <c r="P905" s="4" t="str">
        <f t="shared" si="64"/>
        <v/>
      </c>
      <c r="Q905" s="4"/>
      <c r="R905" s="4" t="s">
        <v>194</v>
      </c>
      <c r="S905" s="4"/>
      <c r="T905" s="4" t="s">
        <v>249</v>
      </c>
      <c r="U905" s="4" t="str">
        <f t="shared" si="68"/>
        <v>arodcon</v>
      </c>
      <c r="V905" s="6"/>
    </row>
    <row r="906" spans="4:22" x14ac:dyDescent="0.45">
      <c r="D906" s="18" t="str">
        <f>[1]Mitigation!D14860&amp;" ("&amp;[1]Mitigation!E14859&amp;")"</f>
        <v>Efficiency costs (% GDP)</v>
      </c>
      <c r="E906" s="4" t="str">
        <f>[1]Mitigation!H14860</f>
        <v>irn.mit.wel.eco.dwl.pct</v>
      </c>
      <c r="F906" s="4" t="str">
        <f t="shared" si="71"/>
        <v>N/A</v>
      </c>
      <c r="G906" s="4" t="str">
        <f t="shared" si="63"/>
        <v>irn.mit.wel_.a.all.aecodwl.pc.all</v>
      </c>
      <c r="H906" s="4" t="s">
        <v>19</v>
      </c>
      <c r="I906" s="4" t="s">
        <v>246</v>
      </c>
      <c r="J906" s="4" t="s">
        <v>18</v>
      </c>
      <c r="K906" s="4" t="s">
        <v>21</v>
      </c>
      <c r="L906" s="4"/>
      <c r="M906" s="4"/>
      <c r="N906" s="4"/>
      <c r="O906" s="4"/>
      <c r="P906" s="4" t="str">
        <f t="shared" si="64"/>
        <v/>
      </c>
      <c r="Q906" s="4"/>
      <c r="R906" s="4" t="s">
        <v>194</v>
      </c>
      <c r="S906" s="4"/>
      <c r="T906" s="4" t="s">
        <v>250</v>
      </c>
      <c r="U906" s="4" t="str">
        <f t="shared" si="68"/>
        <v>aecodwl</v>
      </c>
      <c r="V906" s="6"/>
    </row>
    <row r="907" spans="4:22" x14ac:dyDescent="0.45">
      <c r="D907" s="18" t="str">
        <f>[1]Mitigation!D14861&amp;" ("&amp;[1]Mitigation!E14860&amp;")"</f>
        <v>Total national welfare benefits (% GDP)</v>
      </c>
      <c r="E907" s="4" t="str">
        <f>[1]Mitigation!H14861</f>
        <v>irn.mit.wel.tot.pct</v>
      </c>
      <c r="F907" s="4" t="str">
        <f t="shared" si="71"/>
        <v>N/A</v>
      </c>
      <c r="G907" s="4" t="str">
        <f t="shared" si="63"/>
        <v>irn.mit.wel_.a.all.atot.pc.all</v>
      </c>
      <c r="H907" s="4" t="s">
        <v>19</v>
      </c>
      <c r="I907" s="4" t="s">
        <v>246</v>
      </c>
      <c r="J907" s="4" t="s">
        <v>18</v>
      </c>
      <c r="K907" s="4" t="s">
        <v>21</v>
      </c>
      <c r="L907" s="4"/>
      <c r="M907" s="4"/>
      <c r="N907" s="4" t="s">
        <v>37</v>
      </c>
      <c r="O907" s="4"/>
      <c r="P907" s="4" t="str">
        <f t="shared" si="64"/>
        <v>tot</v>
      </c>
      <c r="Q907" s="4"/>
      <c r="R907" s="4" t="s">
        <v>194</v>
      </c>
      <c r="S907" s="4"/>
      <c r="T907" s="4" t="s">
        <v>37</v>
      </c>
      <c r="U907" s="4" t="str">
        <f t="shared" si="68"/>
        <v>atot</v>
      </c>
      <c r="V907" s="6"/>
    </row>
    <row r="908" spans="4:22" x14ac:dyDescent="0.45">
      <c r="D908" s="2"/>
      <c r="E908" s="32"/>
      <c r="F908" s="32" t="s">
        <v>252</v>
      </c>
      <c r="G908" s="32" t="str">
        <f t="shared" si="63"/>
        <v/>
      </c>
      <c r="H908" s="32" t="s">
        <v>18</v>
      </c>
      <c r="I908" s="32"/>
      <c r="J908" s="32" t="s">
        <v>18</v>
      </c>
      <c r="K908" s="32"/>
      <c r="L908" s="32"/>
      <c r="M908" s="32"/>
      <c r="N908" s="32"/>
      <c r="O908" s="32"/>
      <c r="P908" s="32" t="str">
        <f t="shared" si="64"/>
        <v/>
      </c>
      <c r="Q908" s="32"/>
      <c r="R908" s="32"/>
      <c r="S908" s="32"/>
      <c r="T908" s="32"/>
      <c r="U908" s="32" t="str">
        <f t="shared" si="68"/>
        <v/>
      </c>
      <c r="V908" s="33"/>
    </row>
    <row r="909" spans="4:22" x14ac:dyDescent="0.45">
      <c r="D909" s="18" t="s">
        <v>1153</v>
      </c>
      <c r="E909" s="4" t="str">
        <f>LOWER(_Country_code)&amp;".distn.tef.tot.dec.rur"</f>
        <v>irn.distn.tef.tot.dec.rur</v>
      </c>
      <c r="F909" s="4" t="str">
        <f t="shared" ref="F909:F1000" si="72">IF(MTAct,E909&amp;"_"&amp;MSTScenarioID,"N/A")</f>
        <v>N/A</v>
      </c>
      <c r="G909" s="4" t="str">
        <f t="shared" si="63"/>
        <v>irn.distn.tef_.all.all.rur.dec.all</v>
      </c>
      <c r="H909" s="4" t="s">
        <v>253</v>
      </c>
      <c r="I909" s="4" t="s">
        <v>254</v>
      </c>
      <c r="J909" s="4" t="s">
        <v>18</v>
      </c>
      <c r="K909" s="4" t="str">
        <f>"dec"</f>
        <v>dec</v>
      </c>
      <c r="L909" s="4"/>
      <c r="M909" s="4"/>
      <c r="N909" s="4" t="s">
        <v>37</v>
      </c>
      <c r="O909" s="4"/>
      <c r="P909" s="4" t="str">
        <f t="shared" si="64"/>
        <v>tot</v>
      </c>
      <c r="Q909" s="4"/>
      <c r="R909" s="4"/>
      <c r="S909" s="4"/>
      <c r="T909" s="4" t="s">
        <v>203</v>
      </c>
      <c r="U909" s="4" t="str">
        <f t="shared" si="68"/>
        <v>rur</v>
      </c>
      <c r="V909" s="6"/>
    </row>
    <row r="910" spans="4:22" x14ac:dyDescent="0.45">
      <c r="D910" s="18" t="s">
        <v>1154</v>
      </c>
      <c r="E910" s="4" t="str">
        <f>LOWER(_Country_code)&amp;".distn.tef.tot.dec.urb"</f>
        <v>irn.distn.tef.tot.dec.urb</v>
      </c>
      <c r="F910" s="4" t="str">
        <f t="shared" si="72"/>
        <v>N/A</v>
      </c>
      <c r="G910" s="4" t="str">
        <f t="shared" si="63"/>
        <v>irn.distn.tef_.all.all.urb.dec.all</v>
      </c>
      <c r="H910" s="4" t="s">
        <v>253</v>
      </c>
      <c r="I910" s="4" t="s">
        <v>254</v>
      </c>
      <c r="J910" s="4" t="s">
        <v>18</v>
      </c>
      <c r="K910" s="4" t="str">
        <f t="shared" ref="K910:K998" si="73">"dec"</f>
        <v>dec</v>
      </c>
      <c r="L910" s="4"/>
      <c r="M910" s="4"/>
      <c r="N910" s="4" t="s">
        <v>37</v>
      </c>
      <c r="O910" s="4"/>
      <c r="P910" s="4" t="str">
        <f t="shared" si="64"/>
        <v>tot</v>
      </c>
      <c r="Q910" s="4"/>
      <c r="R910" s="4"/>
      <c r="S910" s="4"/>
      <c r="T910" s="4" t="s">
        <v>201</v>
      </c>
      <c r="U910" s="4" t="str">
        <f t="shared" si="68"/>
        <v>urb</v>
      </c>
      <c r="V910" s="6"/>
    </row>
    <row r="911" spans="4:22" x14ac:dyDescent="0.45">
      <c r="D911" s="18" t="s">
        <v>1155</v>
      </c>
      <c r="E911" s="4" t="str">
        <f>LOWER(_Country_code)&amp;".distn.def.tot.dec.ove"</f>
        <v>irn.distn.def.tot.dec.ove</v>
      </c>
      <c r="F911" s="4" t="str">
        <f t="shared" si="72"/>
        <v>N/A</v>
      </c>
      <c r="G911" s="4" t="str">
        <f t="shared" si="63"/>
        <v>irn.distn.def_.all.all.ove.dec.all</v>
      </c>
      <c r="H911" s="4" t="s">
        <v>253</v>
      </c>
      <c r="I911" s="4" t="s">
        <v>255</v>
      </c>
      <c r="J911" s="4" t="s">
        <v>18</v>
      </c>
      <c r="K911" s="4" t="str">
        <f t="shared" si="73"/>
        <v>dec</v>
      </c>
      <c r="L911" s="4"/>
      <c r="M911" s="4"/>
      <c r="N911" s="4" t="s">
        <v>37</v>
      </c>
      <c r="O911" s="4"/>
      <c r="P911" s="4" t="str">
        <f t="shared" si="64"/>
        <v>tot</v>
      </c>
      <c r="Q911" s="4"/>
      <c r="R911" s="4"/>
      <c r="S911" s="4"/>
      <c r="T911" s="4" t="s">
        <v>256</v>
      </c>
      <c r="U911" s="4" t="str">
        <f t="shared" si="68"/>
        <v>ove</v>
      </c>
      <c r="V911" s="6"/>
    </row>
    <row r="912" spans="4:22" x14ac:dyDescent="0.45">
      <c r="D912" s="18" t="s">
        <v>1156</v>
      </c>
      <c r="E912" s="4" t="str">
        <f>LOWER(_Country_code)&amp;".distn.def.coa.dec.ove"</f>
        <v>irn.distn.def.coa.dec.ove</v>
      </c>
      <c r="F912" s="4" t="str">
        <f t="shared" si="72"/>
        <v>N/A</v>
      </c>
      <c r="G912" s="4" t="str">
        <f t="shared" si="63"/>
        <v>irn.distn.def_.all.all.ove.dec.all</v>
      </c>
      <c r="H912" s="4" t="s">
        <v>253</v>
      </c>
      <c r="I912" s="4" t="s">
        <v>255</v>
      </c>
      <c r="J912" s="4" t="s">
        <v>18</v>
      </c>
      <c r="K912" s="4" t="str">
        <f t="shared" si="73"/>
        <v>dec</v>
      </c>
      <c r="L912" s="4"/>
      <c r="M912" s="4"/>
      <c r="N912" s="4" t="s">
        <v>60</v>
      </c>
      <c r="O912" s="4"/>
      <c r="P912" s="4" t="str">
        <f t="shared" si="64"/>
        <v>coa</v>
      </c>
      <c r="Q912" s="4"/>
      <c r="R912" s="4"/>
      <c r="S912" s="4"/>
      <c r="T912" s="4" t="s">
        <v>256</v>
      </c>
      <c r="U912" s="4" t="str">
        <f t="shared" si="68"/>
        <v>ove</v>
      </c>
      <c r="V912" s="6"/>
    </row>
    <row r="913" spans="4:22" x14ac:dyDescent="0.45">
      <c r="D913" s="18" t="s">
        <v>1157</v>
      </c>
      <c r="E913" s="4" t="str">
        <f>LOWER(_Country_code)&amp;".distn.def.ely.dec.ove"</f>
        <v>irn.distn.def.ely.dec.ove</v>
      </c>
      <c r="F913" s="4" t="str">
        <f t="shared" si="72"/>
        <v>N/A</v>
      </c>
      <c r="G913" s="4" t="str">
        <f t="shared" si="63"/>
        <v>irn.distn.def_.all.all.ove.dec.all</v>
      </c>
      <c r="H913" s="4" t="s">
        <v>253</v>
      </c>
      <c r="I913" s="4" t="s">
        <v>255</v>
      </c>
      <c r="J913" s="4" t="s">
        <v>18</v>
      </c>
      <c r="K913" s="4" t="str">
        <f t="shared" si="73"/>
        <v>dec</v>
      </c>
      <c r="L913" s="4"/>
      <c r="M913" s="4"/>
      <c r="N913" s="4" t="s">
        <v>257</v>
      </c>
      <c r="O913" s="4"/>
      <c r="P913" s="4" t="str">
        <f t="shared" si="64"/>
        <v>ely</v>
      </c>
      <c r="Q913" s="4"/>
      <c r="R913" s="4"/>
      <c r="S913" s="4"/>
      <c r="T913" s="4" t="s">
        <v>256</v>
      </c>
      <c r="U913" s="4" t="str">
        <f t="shared" si="68"/>
        <v>ove</v>
      </c>
      <c r="V913" s="6"/>
    </row>
    <row r="914" spans="4:22" x14ac:dyDescent="0.45">
      <c r="D914" s="18" t="s">
        <v>1158</v>
      </c>
      <c r="E914" s="4" t="str">
        <f>LOWER(_Country_code)&amp;".distn.def.nga.dec.ove"</f>
        <v>irn.distn.def.nga.dec.ove</v>
      </c>
      <c r="F914" s="4" t="str">
        <f t="shared" si="72"/>
        <v>N/A</v>
      </c>
      <c r="G914" s="4" t="str">
        <f t="shared" si="63"/>
        <v>irn.distn.def_.all.all.ove.dec.all</v>
      </c>
      <c r="H914" s="4" t="s">
        <v>253</v>
      </c>
      <c r="I914" s="4" t="s">
        <v>255</v>
      </c>
      <c r="J914" s="4" t="s">
        <v>18</v>
      </c>
      <c r="K914" s="4" t="str">
        <f t="shared" si="73"/>
        <v>dec</v>
      </c>
      <c r="L914" s="4"/>
      <c r="M914" s="4"/>
      <c r="N914" s="4" t="s">
        <v>61</v>
      </c>
      <c r="O914" s="4"/>
      <c r="P914" s="4" t="str">
        <f t="shared" si="64"/>
        <v>nga</v>
      </c>
      <c r="Q914" s="4"/>
      <c r="R914" s="4"/>
      <c r="S914" s="4"/>
      <c r="T914" s="4" t="s">
        <v>256</v>
      </c>
      <c r="U914" s="4" t="str">
        <f t="shared" si="68"/>
        <v>ove</v>
      </c>
      <c r="V914" s="6"/>
    </row>
    <row r="915" spans="4:22" x14ac:dyDescent="0.45">
      <c r="D915" s="18" t="s">
        <v>1159</v>
      </c>
      <c r="E915" s="4" t="str">
        <f>LOWER(_Country_code)&amp;".distn.def.oil.dec.ove"</f>
        <v>irn.distn.def.oil.dec.ove</v>
      </c>
      <c r="F915" s="4" t="str">
        <f t="shared" si="72"/>
        <v>N/A</v>
      </c>
      <c r="G915" s="4" t="str">
        <f t="shared" si="63"/>
        <v>irn.distn.def_.all.all.ove.dec.all</v>
      </c>
      <c r="H915" s="4" t="s">
        <v>253</v>
      </c>
      <c r="I915" s="4" t="s">
        <v>255</v>
      </c>
      <c r="J915" s="4" t="s">
        <v>18</v>
      </c>
      <c r="K915" s="4" t="str">
        <f t="shared" si="73"/>
        <v>dec</v>
      </c>
      <c r="L915" s="4"/>
      <c r="M915" s="4"/>
      <c r="N915" s="4" t="s">
        <v>62</v>
      </c>
      <c r="O915" s="4"/>
      <c r="P915" s="4" t="str">
        <f t="shared" si="64"/>
        <v>oil</v>
      </c>
      <c r="Q915" s="4"/>
      <c r="R915" s="4"/>
      <c r="S915" s="4"/>
      <c r="T915" s="4" t="s">
        <v>256</v>
      </c>
      <c r="U915" s="4" t="str">
        <f t="shared" si="68"/>
        <v>ove</v>
      </c>
      <c r="V915" s="6"/>
    </row>
    <row r="916" spans="4:22" x14ac:dyDescent="0.45">
      <c r="D916" s="18" t="s">
        <v>1160</v>
      </c>
      <c r="E916" s="4" t="str">
        <f>LOWER(_Country_code)&amp;".distn.def.gso.dec.ove"</f>
        <v>irn.distn.def.gso.dec.ove</v>
      </c>
      <c r="F916" s="4" t="str">
        <f t="shared" si="72"/>
        <v>N/A</v>
      </c>
      <c r="G916" s="4" t="str">
        <f t="shared" si="63"/>
        <v>irn.distn.def_.all.all.ove.dec.all</v>
      </c>
      <c r="H916" s="4" t="s">
        <v>253</v>
      </c>
      <c r="I916" s="4" t="s">
        <v>255</v>
      </c>
      <c r="J916" s="4" t="s">
        <v>18</v>
      </c>
      <c r="K916" s="4" t="str">
        <f t="shared" si="73"/>
        <v>dec</v>
      </c>
      <c r="L916" s="4"/>
      <c r="M916" s="4"/>
      <c r="N916" s="4" t="s">
        <v>63</v>
      </c>
      <c r="O916" s="4"/>
      <c r="P916" s="4" t="str">
        <f t="shared" si="64"/>
        <v>gso</v>
      </c>
      <c r="Q916" s="4"/>
      <c r="R916" s="4"/>
      <c r="S916" s="4"/>
      <c r="T916" s="4" t="s">
        <v>256</v>
      </c>
      <c r="U916" s="4" t="str">
        <f t="shared" si="68"/>
        <v>ove</v>
      </c>
      <c r="V916" s="6"/>
    </row>
    <row r="917" spans="4:22" x14ac:dyDescent="0.45">
      <c r="D917" s="18" t="s">
        <v>1161</v>
      </c>
      <c r="E917" s="4" t="str">
        <f>LOWER(_Country_code)&amp;".distn.def.die.dec.ove"</f>
        <v>irn.distn.def.die.dec.ove</v>
      </c>
      <c r="F917" s="4" t="str">
        <f t="shared" si="72"/>
        <v>N/A</v>
      </c>
      <c r="G917" s="4" t="str">
        <f t="shared" si="63"/>
        <v>irn.distn.def_.all.all.ove.dec.all</v>
      </c>
      <c r="H917" s="4" t="s">
        <v>253</v>
      </c>
      <c r="I917" s="4" t="s">
        <v>255</v>
      </c>
      <c r="J917" s="4" t="s">
        <v>18</v>
      </c>
      <c r="K917" s="4" t="str">
        <f t="shared" si="73"/>
        <v>dec</v>
      </c>
      <c r="L917" s="4"/>
      <c r="M917" s="4"/>
      <c r="N917" s="4" t="s">
        <v>64</v>
      </c>
      <c r="O917" s="4"/>
      <c r="P917" s="4" t="str">
        <f t="shared" si="64"/>
        <v>die</v>
      </c>
      <c r="Q917" s="4"/>
      <c r="R917" s="4"/>
      <c r="S917" s="4"/>
      <c r="T917" s="4" t="s">
        <v>256</v>
      </c>
      <c r="U917" s="4" t="str">
        <f t="shared" si="68"/>
        <v>ove</v>
      </c>
      <c r="V917" s="6"/>
    </row>
    <row r="918" spans="4:22" x14ac:dyDescent="0.45">
      <c r="D918" s="18" t="s">
        <v>1162</v>
      </c>
      <c r="E918" s="4" t="str">
        <f>LOWER(_Country_code)&amp;".distn.def.ker.dec.ove"</f>
        <v>irn.distn.def.ker.dec.ove</v>
      </c>
      <c r="F918" s="4" t="str">
        <f t="shared" si="72"/>
        <v>N/A</v>
      </c>
      <c r="G918" s="4" t="str">
        <f t="shared" ref="G918:G981" si="74">IF(D918="","",LOWER(_Country_code)&amp;"."&amp;H918&amp;"."&amp;IF(I918="","all",I918)&amp;"_"&amp;J918&amp;"."&amp;IF(R918="","all",R918)&amp;"."&amp;IF(Q918="","all",Q918)&amp;"."&amp;IF(U918="","all",U918)&amp;"."&amp;IF(K918="","all",K918)&amp;"."&amp;IF(V918="","all",V918))</f>
        <v>irn.distn.def_.all.all.ove.dec.all</v>
      </c>
      <c r="H918" s="4" t="s">
        <v>253</v>
      </c>
      <c r="I918" s="4" t="s">
        <v>255</v>
      </c>
      <c r="J918" s="4" t="s">
        <v>18</v>
      </c>
      <c r="K918" s="4" t="str">
        <f t="shared" si="73"/>
        <v>dec</v>
      </c>
      <c r="L918" s="4"/>
      <c r="M918" s="4"/>
      <c r="N918" s="4" t="s">
        <v>66</v>
      </c>
      <c r="O918" s="4"/>
      <c r="P918" s="4" t="str">
        <f t="shared" si="64"/>
        <v>ker</v>
      </c>
      <c r="Q918" s="4"/>
      <c r="R918" s="4"/>
      <c r="S918" s="4"/>
      <c r="T918" s="4" t="s">
        <v>256</v>
      </c>
      <c r="U918" s="4" t="str">
        <f t="shared" si="68"/>
        <v>ove</v>
      </c>
      <c r="V918" s="6"/>
    </row>
    <row r="919" spans="4:22" x14ac:dyDescent="0.45">
      <c r="D919" s="18" t="s">
        <v>1163</v>
      </c>
      <c r="E919" s="4" t="str">
        <f>LOWER(_Country_code)&amp;".distn.def.lpg.dec.ove"</f>
        <v>irn.distn.def.lpg.dec.ove</v>
      </c>
      <c r="F919" s="4" t="str">
        <f t="shared" si="72"/>
        <v>N/A</v>
      </c>
      <c r="G919" s="4" t="str">
        <f t="shared" si="74"/>
        <v>irn.distn.def_.all.all.ove.dec.all</v>
      </c>
      <c r="H919" s="4" t="s">
        <v>253</v>
      </c>
      <c r="I919" s="4" t="s">
        <v>255</v>
      </c>
      <c r="J919" s="4" t="s">
        <v>18</v>
      </c>
      <c r="K919" s="4" t="str">
        <f t="shared" si="73"/>
        <v>dec</v>
      </c>
      <c r="L919" s="4"/>
      <c r="M919" s="4"/>
      <c r="N919" s="4" t="s">
        <v>65</v>
      </c>
      <c r="O919" s="4"/>
      <c r="P919" s="4" t="str">
        <f t="shared" si="64"/>
        <v>lpg</v>
      </c>
      <c r="Q919" s="4"/>
      <c r="R919" s="4"/>
      <c r="S919" s="4"/>
      <c r="T919" s="4" t="s">
        <v>256</v>
      </c>
      <c r="U919" s="4" t="str">
        <f t="shared" si="68"/>
        <v>ove</v>
      </c>
      <c r="V919" s="6"/>
    </row>
    <row r="920" spans="4:22" x14ac:dyDescent="0.45">
      <c r="D920" s="18" t="s">
        <v>1164</v>
      </c>
      <c r="E920" s="4" t="str">
        <f>LOWER(_Country_code)&amp;".distn.ief.tot.dec.ove"</f>
        <v>irn.distn.ief.tot.dec.ove</v>
      </c>
      <c r="F920" s="4" t="str">
        <f t="shared" si="72"/>
        <v>N/A</v>
      </c>
      <c r="G920" s="4" t="str">
        <f t="shared" si="74"/>
        <v>irn.distn.ief_.all.all.ove.dec.all</v>
      </c>
      <c r="H920" s="4" t="s">
        <v>253</v>
      </c>
      <c r="I920" s="4" t="s">
        <v>258</v>
      </c>
      <c r="J920" s="4" t="s">
        <v>18</v>
      </c>
      <c r="K920" s="4" t="str">
        <f t="shared" si="73"/>
        <v>dec</v>
      </c>
      <c r="L920" s="4"/>
      <c r="M920" s="4"/>
      <c r="N920" s="4" t="s">
        <v>37</v>
      </c>
      <c r="O920" s="4"/>
      <c r="P920" s="4" t="str">
        <f t="shared" si="64"/>
        <v>tot</v>
      </c>
      <c r="Q920" s="4"/>
      <c r="R920" s="4"/>
      <c r="S920" s="4"/>
      <c r="T920" s="4" t="s">
        <v>256</v>
      </c>
      <c r="U920" s="4" t="str">
        <f t="shared" si="68"/>
        <v>ove</v>
      </c>
      <c r="V920" s="6"/>
    </row>
    <row r="921" spans="4:22" x14ac:dyDescent="0.45">
      <c r="D921" s="18" t="s">
        <v>1165</v>
      </c>
      <c r="E921" s="4" t="str">
        <f>LOWER(_Country_code)&amp;".distn.ief.app.dec.ove"</f>
        <v>irn.distn.ief.app.dec.ove</v>
      </c>
      <c r="F921" s="4" t="str">
        <f t="shared" si="72"/>
        <v>N/A</v>
      </c>
      <c r="G921" s="4" t="str">
        <f t="shared" si="74"/>
        <v>irn.distn.ief_.all.all.ove.dec.all</v>
      </c>
      <c r="H921" s="4" t="s">
        <v>253</v>
      </c>
      <c r="I921" s="4" t="s">
        <v>258</v>
      </c>
      <c r="J921" s="4" t="s">
        <v>18</v>
      </c>
      <c r="K921" s="4" t="str">
        <f t="shared" si="73"/>
        <v>dec</v>
      </c>
      <c r="L921" s="4"/>
      <c r="M921" s="4"/>
      <c r="N921" s="4" t="s">
        <v>259</v>
      </c>
      <c r="O921" s="4"/>
      <c r="P921" s="4" t="str">
        <f t="shared" si="64"/>
        <v>app</v>
      </c>
      <c r="Q921" s="4"/>
      <c r="R921" s="4"/>
      <c r="S921" s="4"/>
      <c r="T921" s="4" t="s">
        <v>256</v>
      </c>
      <c r="U921" s="4" t="str">
        <f t="shared" si="68"/>
        <v>ove</v>
      </c>
      <c r="V921" s="6"/>
    </row>
    <row r="922" spans="4:22" x14ac:dyDescent="0.45">
      <c r="D922" s="18" t="s">
        <v>1166</v>
      </c>
      <c r="E922" s="4" t="str">
        <f>LOWER(_Country_code)&amp;".distn.ief.che.dec.ove"</f>
        <v>irn.distn.ief.che.dec.ove</v>
      </c>
      <c r="F922" s="4" t="str">
        <f t="shared" si="72"/>
        <v>N/A</v>
      </c>
      <c r="G922" s="4" t="str">
        <f t="shared" si="74"/>
        <v>irn.distn.ief_.all.all.ove.dec.all</v>
      </c>
      <c r="H922" s="4" t="s">
        <v>253</v>
      </c>
      <c r="I922" s="4" t="s">
        <v>258</v>
      </c>
      <c r="J922" s="4" t="s">
        <v>18</v>
      </c>
      <c r="K922" s="4" t="str">
        <f t="shared" si="73"/>
        <v>dec</v>
      </c>
      <c r="L922" s="4"/>
      <c r="M922" s="4"/>
      <c r="N922" s="4" t="s">
        <v>260</v>
      </c>
      <c r="O922" s="4"/>
      <c r="P922" s="4" t="str">
        <f t="shared" si="64"/>
        <v>che</v>
      </c>
      <c r="Q922" s="4"/>
      <c r="R922" s="4"/>
      <c r="S922" s="4"/>
      <c r="T922" s="4" t="s">
        <v>256</v>
      </c>
      <c r="U922" s="4" t="str">
        <f t="shared" si="68"/>
        <v>ove</v>
      </c>
      <c r="V922" s="6"/>
    </row>
    <row r="923" spans="4:22" x14ac:dyDescent="0.45">
      <c r="D923" s="18" t="s">
        <v>1167</v>
      </c>
      <c r="E923" s="4" t="str">
        <f>LOWER(_Country_code)&amp;".distn.ief.clo.dec.ove"</f>
        <v>irn.distn.ief.clo.dec.ove</v>
      </c>
      <c r="F923" s="4" t="str">
        <f t="shared" si="72"/>
        <v>N/A</v>
      </c>
      <c r="G923" s="4" t="str">
        <f t="shared" si="74"/>
        <v>irn.distn.ief_.all.all.ove.dec.all</v>
      </c>
      <c r="H923" s="4" t="s">
        <v>253</v>
      </c>
      <c r="I923" s="4" t="s">
        <v>258</v>
      </c>
      <c r="J923" s="4" t="s">
        <v>18</v>
      </c>
      <c r="K923" s="4" t="str">
        <f t="shared" si="73"/>
        <v>dec</v>
      </c>
      <c r="L923" s="4"/>
      <c r="M923" s="4"/>
      <c r="N923" s="4" t="s">
        <v>261</v>
      </c>
      <c r="O923" s="4"/>
      <c r="P923" s="4" t="str">
        <f t="shared" si="64"/>
        <v>clo</v>
      </c>
      <c r="Q923" s="4"/>
      <c r="R923" s="4"/>
      <c r="S923" s="4"/>
      <c r="T923" s="4" t="s">
        <v>256</v>
      </c>
      <c r="U923" s="4" t="str">
        <f t="shared" si="68"/>
        <v>ove</v>
      </c>
      <c r="V923" s="6"/>
    </row>
    <row r="924" spans="4:22" x14ac:dyDescent="0.45">
      <c r="D924" s="18" t="s">
        <v>1168</v>
      </c>
      <c r="E924" s="4" t="str">
        <f>LOWER(_Country_code)&amp;".distn.ief.com.dec.ove"</f>
        <v>irn.distn.ief.com.dec.ove</v>
      </c>
      <c r="F924" s="4" t="str">
        <f t="shared" si="72"/>
        <v>N/A</v>
      </c>
      <c r="G924" s="4" t="str">
        <f t="shared" si="74"/>
        <v>irn.distn.ief_.all.all.ove.dec.all</v>
      </c>
      <c r="H924" s="4" t="s">
        <v>253</v>
      </c>
      <c r="I924" s="4" t="s">
        <v>258</v>
      </c>
      <c r="J924" s="4" t="s">
        <v>18</v>
      </c>
      <c r="K924" s="4" t="str">
        <f t="shared" si="73"/>
        <v>dec</v>
      </c>
      <c r="L924" s="4"/>
      <c r="M924" s="4"/>
      <c r="N924" s="4" t="s">
        <v>262</v>
      </c>
      <c r="O924" s="4"/>
      <c r="P924" s="4" t="str">
        <f t="shared" si="64"/>
        <v>com</v>
      </c>
      <c r="Q924" s="4"/>
      <c r="R924" s="4"/>
      <c r="S924" s="4"/>
      <c r="T924" s="4" t="s">
        <v>256</v>
      </c>
      <c r="U924" s="4" t="str">
        <f t="shared" si="68"/>
        <v>ove</v>
      </c>
      <c r="V924" s="6"/>
    </row>
    <row r="925" spans="4:22" x14ac:dyDescent="0.45">
      <c r="D925" s="18" t="s">
        <v>1169</v>
      </c>
      <c r="E925" s="4" t="str">
        <f>LOWER(_Country_code)&amp;".distn.ief.edu.dec.ove"</f>
        <v>irn.distn.ief.edu.dec.ove</v>
      </c>
      <c r="F925" s="4" t="str">
        <f t="shared" si="72"/>
        <v>N/A</v>
      </c>
      <c r="G925" s="4" t="str">
        <f t="shared" si="74"/>
        <v>irn.distn.ief_.all.all.ove.dec.all</v>
      </c>
      <c r="H925" s="4" t="s">
        <v>253</v>
      </c>
      <c r="I925" s="4" t="s">
        <v>258</v>
      </c>
      <c r="J925" s="4" t="s">
        <v>18</v>
      </c>
      <c r="K925" s="4" t="str">
        <f t="shared" si="73"/>
        <v>dec</v>
      </c>
      <c r="L925" s="4"/>
      <c r="M925" s="4"/>
      <c r="N925" s="4" t="s">
        <v>263</v>
      </c>
      <c r="O925" s="4"/>
      <c r="P925" s="4" t="str">
        <f t="shared" si="64"/>
        <v>edu</v>
      </c>
      <c r="Q925" s="4"/>
      <c r="R925" s="4"/>
      <c r="S925" s="4"/>
      <c r="T925" s="4" t="s">
        <v>256</v>
      </c>
      <c r="U925" s="4" t="str">
        <f t="shared" si="68"/>
        <v>ove</v>
      </c>
      <c r="V925" s="6"/>
    </row>
    <row r="926" spans="4:22" x14ac:dyDescent="0.45">
      <c r="D926" s="18" t="s">
        <v>1170</v>
      </c>
      <c r="E926" s="4" t="str">
        <f>LOWER(_Country_code)&amp;".distn.ief.food.dec.ove"</f>
        <v>irn.distn.ief.food.dec.ove</v>
      </c>
      <c r="F926" s="4" t="str">
        <f t="shared" si="72"/>
        <v>N/A</v>
      </c>
      <c r="G926" s="4" t="str">
        <f t="shared" si="74"/>
        <v>irn.distn.ief_.all.all.ove.dec.all</v>
      </c>
      <c r="H926" s="4" t="s">
        <v>253</v>
      </c>
      <c r="I926" s="4" t="s">
        <v>258</v>
      </c>
      <c r="J926" s="4" t="s">
        <v>18</v>
      </c>
      <c r="K926" s="4" t="str">
        <f t="shared" si="73"/>
        <v>dec</v>
      </c>
      <c r="L926" s="4"/>
      <c r="M926" s="4"/>
      <c r="N926" s="4" t="s">
        <v>264</v>
      </c>
      <c r="O926" s="4"/>
      <c r="P926" s="4" t="str">
        <f t="shared" si="64"/>
        <v>food</v>
      </c>
      <c r="Q926" s="4"/>
      <c r="R926" s="4"/>
      <c r="S926" s="4"/>
      <c r="T926" s="4" t="s">
        <v>256</v>
      </c>
      <c r="U926" s="4" t="str">
        <f t="shared" si="68"/>
        <v>ove</v>
      </c>
      <c r="V926" s="6"/>
    </row>
    <row r="927" spans="4:22" x14ac:dyDescent="0.45">
      <c r="D927" s="18" t="s">
        <v>1171</v>
      </c>
      <c r="E927" s="4" t="str">
        <f>LOWER(_Country_code)&amp;".distn.ief.hea.dec.ove"</f>
        <v>irn.distn.ief.hea.dec.ove</v>
      </c>
      <c r="F927" s="4" t="str">
        <f t="shared" si="72"/>
        <v>N/A</v>
      </c>
      <c r="G927" s="4" t="str">
        <f t="shared" si="74"/>
        <v>irn.distn.ief_.all.all.ove.dec.all</v>
      </c>
      <c r="H927" s="4" t="s">
        <v>253</v>
      </c>
      <c r="I927" s="4" t="s">
        <v>258</v>
      </c>
      <c r="J927" s="4" t="s">
        <v>18</v>
      </c>
      <c r="K927" s="4" t="str">
        <f t="shared" si="73"/>
        <v>dec</v>
      </c>
      <c r="L927" s="4"/>
      <c r="M927" s="4"/>
      <c r="N927" s="4" t="s">
        <v>265</v>
      </c>
      <c r="O927" s="4"/>
      <c r="P927" s="4" t="str">
        <f t="shared" si="64"/>
        <v>hea</v>
      </c>
      <c r="Q927" s="4"/>
      <c r="R927" s="4"/>
      <c r="S927" s="4"/>
      <c r="T927" s="4" t="s">
        <v>256</v>
      </c>
      <c r="U927" s="4" t="str">
        <f t="shared" si="68"/>
        <v>ove</v>
      </c>
      <c r="V927" s="6"/>
    </row>
    <row r="928" spans="4:22" x14ac:dyDescent="0.45">
      <c r="D928" s="18" t="s">
        <v>1172</v>
      </c>
      <c r="E928" s="4" t="str">
        <f>LOWER(_Country_code)&amp;".distn.ief.hou.dec.ove"</f>
        <v>irn.distn.ief.hou.dec.ove</v>
      </c>
      <c r="F928" s="4" t="str">
        <f t="shared" si="72"/>
        <v>N/A</v>
      </c>
      <c r="G928" s="4" t="str">
        <f t="shared" si="74"/>
        <v>irn.distn.ief_.all.all.ove.dec.all</v>
      </c>
      <c r="H928" s="4" t="s">
        <v>253</v>
      </c>
      <c r="I928" s="4" t="s">
        <v>258</v>
      </c>
      <c r="J928" s="4" t="s">
        <v>18</v>
      </c>
      <c r="K928" s="4" t="str">
        <f t="shared" si="73"/>
        <v>dec</v>
      </c>
      <c r="L928" s="4"/>
      <c r="M928" s="4"/>
      <c r="N928" s="4" t="s">
        <v>266</v>
      </c>
      <c r="O928" s="4"/>
      <c r="P928" s="4" t="str">
        <f t="shared" si="64"/>
        <v>hou</v>
      </c>
      <c r="Q928" s="4"/>
      <c r="R928" s="4"/>
      <c r="S928" s="4"/>
      <c r="T928" s="4" t="s">
        <v>256</v>
      </c>
      <c r="U928" s="4" t="str">
        <f t="shared" si="68"/>
        <v>ove</v>
      </c>
      <c r="V928" s="6"/>
    </row>
    <row r="929" spans="4:22" x14ac:dyDescent="0.45">
      <c r="D929" s="18" t="s">
        <v>1173</v>
      </c>
      <c r="E929" s="4" t="str">
        <f>LOWER(_Country_code)&amp;".distn.ief.oth.dec.ove"</f>
        <v>irn.distn.ief.oth.dec.ove</v>
      </c>
      <c r="F929" s="4" t="str">
        <f t="shared" si="72"/>
        <v>N/A</v>
      </c>
      <c r="G929" s="4" t="str">
        <f t="shared" si="74"/>
        <v>irn.distn.ief_.all.all.ove.dec.all</v>
      </c>
      <c r="H929" s="4" t="s">
        <v>253</v>
      </c>
      <c r="I929" s="4" t="s">
        <v>258</v>
      </c>
      <c r="J929" s="4" t="s">
        <v>18</v>
      </c>
      <c r="K929" s="4" t="str">
        <f t="shared" si="73"/>
        <v>dec</v>
      </c>
      <c r="L929" s="4"/>
      <c r="M929" s="4"/>
      <c r="N929" s="4" t="s">
        <v>30</v>
      </c>
      <c r="O929" s="4"/>
      <c r="P929" s="4" t="str">
        <f t="shared" si="64"/>
        <v>oth</v>
      </c>
      <c r="Q929" s="4"/>
      <c r="R929" s="4"/>
      <c r="S929" s="4"/>
      <c r="T929" s="4" t="s">
        <v>256</v>
      </c>
      <c r="U929" s="4" t="str">
        <f t="shared" si="68"/>
        <v>ove</v>
      </c>
      <c r="V929" s="6"/>
    </row>
    <row r="930" spans="4:22" x14ac:dyDescent="0.45">
      <c r="D930" s="18" t="s">
        <v>1174</v>
      </c>
      <c r="E930" s="4" t="str">
        <f>LOWER(_Country_code)&amp;".distn.ief.pap.dec.ove"</f>
        <v>irn.distn.ief.pap.dec.ove</v>
      </c>
      <c r="F930" s="4" t="str">
        <f t="shared" si="72"/>
        <v>N/A</v>
      </c>
      <c r="G930" s="4" t="str">
        <f t="shared" si="74"/>
        <v>irn.distn.ief_.all.all.ove.dec.all</v>
      </c>
      <c r="H930" s="4" t="s">
        <v>253</v>
      </c>
      <c r="I930" s="4" t="s">
        <v>258</v>
      </c>
      <c r="J930" s="4" t="s">
        <v>18</v>
      </c>
      <c r="K930" s="4" t="str">
        <f t="shared" si="73"/>
        <v>dec</v>
      </c>
      <c r="L930" s="4"/>
      <c r="M930" s="4"/>
      <c r="N930" s="4" t="s">
        <v>267</v>
      </c>
      <c r="O930" s="4"/>
      <c r="P930" s="4" t="str">
        <f t="shared" ref="P930:P993" si="75">L930&amp;IF(N930="",M930,N930)&amp;O930</f>
        <v>pap</v>
      </c>
      <c r="Q930" s="4"/>
      <c r="R930" s="4"/>
      <c r="S930" s="4"/>
      <c r="T930" s="4" t="s">
        <v>256</v>
      </c>
      <c r="U930" s="4" t="str">
        <f t="shared" si="68"/>
        <v>ove</v>
      </c>
      <c r="V930" s="6"/>
    </row>
    <row r="931" spans="4:22" x14ac:dyDescent="0.45">
      <c r="D931" s="18" t="s">
        <v>1175</v>
      </c>
      <c r="E931" s="4" t="str">
        <f>LOWER(_Country_code)&amp;".distn.ief.pha.dec.ove"</f>
        <v>irn.distn.ief.pha.dec.ove</v>
      </c>
      <c r="F931" s="4" t="str">
        <f t="shared" si="72"/>
        <v>N/A</v>
      </c>
      <c r="G931" s="4" t="str">
        <f t="shared" si="74"/>
        <v>irn.distn.ief_.all.all.ove.dec.all</v>
      </c>
      <c r="H931" s="4" t="s">
        <v>253</v>
      </c>
      <c r="I931" s="4" t="s">
        <v>258</v>
      </c>
      <c r="J931" s="4" t="s">
        <v>18</v>
      </c>
      <c r="K931" s="4" t="str">
        <f t="shared" si="73"/>
        <v>dec</v>
      </c>
      <c r="L931" s="4"/>
      <c r="M931" s="4"/>
      <c r="N931" s="4" t="s">
        <v>268</v>
      </c>
      <c r="O931" s="4"/>
      <c r="P931" s="4" t="str">
        <f t="shared" si="75"/>
        <v>pha</v>
      </c>
      <c r="Q931" s="4"/>
      <c r="R931" s="4"/>
      <c r="S931" s="4"/>
      <c r="T931" s="4" t="s">
        <v>256</v>
      </c>
      <c r="U931" s="4" t="str">
        <f t="shared" si="68"/>
        <v>ove</v>
      </c>
      <c r="V931" s="6"/>
    </row>
    <row r="932" spans="4:22" x14ac:dyDescent="0.45">
      <c r="D932" s="18" t="s">
        <v>1176</v>
      </c>
      <c r="E932" s="4" t="str">
        <f>LOWER(_Country_code)&amp;".distn.ief.ret.dec.ove"</f>
        <v>irn.distn.ief.ret.dec.ove</v>
      </c>
      <c r="F932" s="4" t="str">
        <f t="shared" si="72"/>
        <v>N/A</v>
      </c>
      <c r="G932" s="4" t="str">
        <f t="shared" si="74"/>
        <v>irn.distn.ief_.all.all.ove.dec.all</v>
      </c>
      <c r="H932" s="4" t="s">
        <v>253</v>
      </c>
      <c r="I932" s="4" t="s">
        <v>258</v>
      </c>
      <c r="J932" s="4" t="s">
        <v>18</v>
      </c>
      <c r="K932" s="4" t="str">
        <f t="shared" si="73"/>
        <v>dec</v>
      </c>
      <c r="L932" s="4"/>
      <c r="M932" s="4"/>
      <c r="N932" s="4" t="s">
        <v>269</v>
      </c>
      <c r="O932" s="4"/>
      <c r="P932" s="4" t="str">
        <f t="shared" si="75"/>
        <v>ret</v>
      </c>
      <c r="Q932" s="4"/>
      <c r="R932" s="4"/>
      <c r="S932" s="4"/>
      <c r="T932" s="4" t="s">
        <v>256</v>
      </c>
      <c r="U932" s="4" t="str">
        <f t="shared" si="68"/>
        <v>ove</v>
      </c>
      <c r="V932" s="6"/>
    </row>
    <row r="933" spans="4:22" x14ac:dyDescent="0.45">
      <c r="D933" s="18" t="s">
        <v>1177</v>
      </c>
      <c r="E933" s="4" t="str">
        <f>LOWER(_Country_code)&amp;".distn.ief.teq.dec.ove"</f>
        <v>irn.distn.ief.teq.dec.ove</v>
      </c>
      <c r="F933" s="4" t="str">
        <f t="shared" si="72"/>
        <v>N/A</v>
      </c>
      <c r="G933" s="4" t="str">
        <f t="shared" si="74"/>
        <v>irn.distn.ief_.all.all.ove.dec.all</v>
      </c>
      <c r="H933" s="4" t="s">
        <v>253</v>
      </c>
      <c r="I933" s="4" t="s">
        <v>258</v>
      </c>
      <c r="J933" s="4" t="s">
        <v>18</v>
      </c>
      <c r="K933" s="4" t="str">
        <f t="shared" si="73"/>
        <v>dec</v>
      </c>
      <c r="L933" s="4"/>
      <c r="M933" s="4"/>
      <c r="N933" s="4" t="s">
        <v>270</v>
      </c>
      <c r="O933" s="4"/>
      <c r="P933" s="4" t="str">
        <f t="shared" si="75"/>
        <v>teq</v>
      </c>
      <c r="Q933" s="4"/>
      <c r="R933" s="4"/>
      <c r="S933" s="4"/>
      <c r="T933" s="4" t="s">
        <v>256</v>
      </c>
      <c r="U933" s="4" t="str">
        <f t="shared" si="68"/>
        <v>ove</v>
      </c>
      <c r="V933" s="6"/>
    </row>
    <row r="934" spans="4:22" x14ac:dyDescent="0.45">
      <c r="D934" s="18" t="s">
        <v>1178</v>
      </c>
      <c r="E934" s="4" t="str">
        <f>LOWER(_Country_code)&amp;".distn.ief.tpu.dec.ove"</f>
        <v>irn.distn.ief.tpu.dec.ove</v>
      </c>
      <c r="F934" s="4" t="str">
        <f t="shared" si="72"/>
        <v>N/A</v>
      </c>
      <c r="G934" s="4" t="str">
        <f t="shared" si="74"/>
        <v>irn.distn.ief_.all.all.ove.dec.all</v>
      </c>
      <c r="H934" s="4" t="s">
        <v>253</v>
      </c>
      <c r="I934" s="4" t="s">
        <v>258</v>
      </c>
      <c r="J934" s="4" t="s">
        <v>18</v>
      </c>
      <c r="K934" s="4" t="str">
        <f t="shared" si="73"/>
        <v>dec</v>
      </c>
      <c r="L934" s="4"/>
      <c r="M934" s="4"/>
      <c r="N934" s="4" t="s">
        <v>271</v>
      </c>
      <c r="O934" s="4"/>
      <c r="P934" s="4" t="str">
        <f t="shared" si="75"/>
        <v>tpu</v>
      </c>
      <c r="Q934" s="4"/>
      <c r="R934" s="4"/>
      <c r="S934" s="4"/>
      <c r="T934" s="4" t="s">
        <v>256</v>
      </c>
      <c r="U934" s="4" t="str">
        <f t="shared" si="68"/>
        <v>ove</v>
      </c>
      <c r="V934" s="6"/>
    </row>
    <row r="935" spans="4:22" x14ac:dyDescent="0.45">
      <c r="D935" s="18" t="s">
        <v>1179</v>
      </c>
      <c r="E935" s="4" t="str">
        <f>LOWER(_Country_code)&amp;".distn.bsh.coa.dec.ove"</f>
        <v>irn.distn.bsh.coa.dec.ove</v>
      </c>
      <c r="F935" s="4" t="str">
        <f t="shared" si="72"/>
        <v>N/A</v>
      </c>
      <c r="G935" s="4" t="str">
        <f t="shared" si="74"/>
        <v>irn.distn.bsh_.all.all.ove.dec.all</v>
      </c>
      <c r="H935" s="4" t="s">
        <v>253</v>
      </c>
      <c r="I935" s="4" t="s">
        <v>272</v>
      </c>
      <c r="J935" s="4" t="s">
        <v>18</v>
      </c>
      <c r="K935" s="4" t="str">
        <f t="shared" si="73"/>
        <v>dec</v>
      </c>
      <c r="L935" s="4"/>
      <c r="M935" s="4"/>
      <c r="N935" s="4" t="s">
        <v>60</v>
      </c>
      <c r="O935" s="4"/>
      <c r="P935" s="4" t="str">
        <f t="shared" si="75"/>
        <v>coa</v>
      </c>
      <c r="Q935" s="4"/>
      <c r="R935" s="4"/>
      <c r="S935" s="4"/>
      <c r="T935" s="4" t="s">
        <v>256</v>
      </c>
      <c r="U935" s="4" t="str">
        <f t="shared" si="68"/>
        <v>ove</v>
      </c>
      <c r="V935" s="6"/>
    </row>
    <row r="936" spans="4:22" x14ac:dyDescent="0.45">
      <c r="D936" s="18" t="s">
        <v>1180</v>
      </c>
      <c r="E936" s="4" t="str">
        <f>LOWER(_Country_code)&amp;".distn.bsh.ely.dec.ove"</f>
        <v>irn.distn.bsh.ely.dec.ove</v>
      </c>
      <c r="F936" s="4" t="str">
        <f t="shared" si="72"/>
        <v>N/A</v>
      </c>
      <c r="G936" s="4" t="str">
        <f t="shared" si="74"/>
        <v>irn.distn.bsh_.all.all.ove.dec.all</v>
      </c>
      <c r="H936" s="4" t="s">
        <v>253</v>
      </c>
      <c r="I936" s="4" t="s">
        <v>272</v>
      </c>
      <c r="J936" s="4" t="s">
        <v>18</v>
      </c>
      <c r="K936" s="4" t="str">
        <f t="shared" si="73"/>
        <v>dec</v>
      </c>
      <c r="L936" s="4"/>
      <c r="M936" s="4"/>
      <c r="N936" s="4" t="s">
        <v>257</v>
      </c>
      <c r="O936" s="4"/>
      <c r="P936" s="4" t="str">
        <f t="shared" si="75"/>
        <v>ely</v>
      </c>
      <c r="Q936" s="4"/>
      <c r="R936" s="4"/>
      <c r="S936" s="4"/>
      <c r="T936" s="4" t="s">
        <v>256</v>
      </c>
      <c r="U936" s="4" t="str">
        <f t="shared" si="68"/>
        <v>ove</v>
      </c>
      <c r="V936" s="6"/>
    </row>
    <row r="937" spans="4:22" x14ac:dyDescent="0.45">
      <c r="D937" s="18" t="s">
        <v>1181</v>
      </c>
      <c r="E937" s="4" t="str">
        <f>LOWER(_Country_code)&amp;".distn.bsh.nga.dec.ove"</f>
        <v>irn.distn.bsh.nga.dec.ove</v>
      </c>
      <c r="F937" s="4" t="str">
        <f t="shared" si="72"/>
        <v>N/A</v>
      </c>
      <c r="G937" s="4" t="str">
        <f t="shared" si="74"/>
        <v>irn.distn.bsh_.all.all.ove.dec.all</v>
      </c>
      <c r="H937" s="4" t="s">
        <v>253</v>
      </c>
      <c r="I937" s="4" t="s">
        <v>272</v>
      </c>
      <c r="J937" s="4" t="s">
        <v>18</v>
      </c>
      <c r="K937" s="4" t="str">
        <f t="shared" si="73"/>
        <v>dec</v>
      </c>
      <c r="L937" s="4"/>
      <c r="M937" s="4"/>
      <c r="N937" s="4" t="s">
        <v>61</v>
      </c>
      <c r="O937" s="4"/>
      <c r="P937" s="4" t="str">
        <f t="shared" si="75"/>
        <v>nga</v>
      </c>
      <c r="Q937" s="4"/>
      <c r="R937" s="4"/>
      <c r="S937" s="4"/>
      <c r="T937" s="4" t="s">
        <v>256</v>
      </c>
      <c r="U937" s="4" t="str">
        <f t="shared" si="68"/>
        <v>ove</v>
      </c>
      <c r="V937" s="6"/>
    </row>
    <row r="938" spans="4:22" x14ac:dyDescent="0.45">
      <c r="D938" s="18" t="s">
        <v>1182</v>
      </c>
      <c r="E938" s="4" t="str">
        <f>LOWER(_Country_code)&amp;".distn.bsh.oil.dec.ove"</f>
        <v>irn.distn.bsh.oil.dec.ove</v>
      </c>
      <c r="F938" s="4" t="str">
        <f t="shared" si="72"/>
        <v>N/A</v>
      </c>
      <c r="G938" s="4" t="str">
        <f t="shared" si="74"/>
        <v>irn.distn.bsh_.all.all.ove.dec.all</v>
      </c>
      <c r="H938" s="4" t="s">
        <v>253</v>
      </c>
      <c r="I938" s="4" t="s">
        <v>272</v>
      </c>
      <c r="J938" s="4" t="s">
        <v>18</v>
      </c>
      <c r="K938" s="4" t="str">
        <f t="shared" si="73"/>
        <v>dec</v>
      </c>
      <c r="L938" s="4"/>
      <c r="M938" s="4"/>
      <c r="N938" s="4" t="s">
        <v>62</v>
      </c>
      <c r="O938" s="4"/>
      <c r="P938" s="4" t="str">
        <f t="shared" si="75"/>
        <v>oil</v>
      </c>
      <c r="Q938" s="4"/>
      <c r="R938" s="4"/>
      <c r="S938" s="4"/>
      <c r="T938" s="4" t="s">
        <v>256</v>
      </c>
      <c r="U938" s="4" t="str">
        <f t="shared" si="68"/>
        <v>ove</v>
      </c>
      <c r="V938" s="6"/>
    </row>
    <row r="939" spans="4:22" x14ac:dyDescent="0.45">
      <c r="D939" s="18" t="s">
        <v>1183</v>
      </c>
      <c r="E939" s="4" t="str">
        <f>LOWER(_Country_code)&amp;".distn.bsh.gso.dec.ove"</f>
        <v>irn.distn.bsh.gso.dec.ove</v>
      </c>
      <c r="F939" s="4" t="str">
        <f t="shared" si="72"/>
        <v>N/A</v>
      </c>
      <c r="G939" s="4" t="str">
        <f t="shared" si="74"/>
        <v>irn.distn.bsh_.all.all.ove.dec.all</v>
      </c>
      <c r="H939" s="4" t="s">
        <v>253</v>
      </c>
      <c r="I939" s="4" t="s">
        <v>272</v>
      </c>
      <c r="J939" s="4" t="s">
        <v>18</v>
      </c>
      <c r="K939" s="4" t="str">
        <f t="shared" si="73"/>
        <v>dec</v>
      </c>
      <c r="L939" s="4"/>
      <c r="M939" s="4"/>
      <c r="N939" s="4" t="s">
        <v>63</v>
      </c>
      <c r="O939" s="4"/>
      <c r="P939" s="4" t="str">
        <f t="shared" si="75"/>
        <v>gso</v>
      </c>
      <c r="Q939" s="4"/>
      <c r="R939" s="4"/>
      <c r="S939" s="4"/>
      <c r="T939" s="4" t="s">
        <v>256</v>
      </c>
      <c r="U939" s="4" t="str">
        <f t="shared" si="68"/>
        <v>ove</v>
      </c>
      <c r="V939" s="6"/>
    </row>
    <row r="940" spans="4:22" x14ac:dyDescent="0.45">
      <c r="D940" s="18" t="s">
        <v>1184</v>
      </c>
      <c r="E940" s="4" t="str">
        <f>LOWER(_Country_code)&amp;".distn.bsh.die.dec.ove"</f>
        <v>irn.distn.bsh.die.dec.ove</v>
      </c>
      <c r="F940" s="4" t="str">
        <f t="shared" si="72"/>
        <v>N/A</v>
      </c>
      <c r="G940" s="4" t="str">
        <f t="shared" si="74"/>
        <v>irn.distn.bsh_.all.all.ove.dec.all</v>
      </c>
      <c r="H940" s="4" t="s">
        <v>253</v>
      </c>
      <c r="I940" s="4" t="s">
        <v>272</v>
      </c>
      <c r="J940" s="4" t="s">
        <v>18</v>
      </c>
      <c r="K940" s="4" t="str">
        <f t="shared" si="73"/>
        <v>dec</v>
      </c>
      <c r="L940" s="4"/>
      <c r="M940" s="4"/>
      <c r="N940" s="4" t="s">
        <v>64</v>
      </c>
      <c r="O940" s="4"/>
      <c r="P940" s="4" t="str">
        <f t="shared" si="75"/>
        <v>die</v>
      </c>
      <c r="Q940" s="4"/>
      <c r="R940" s="4"/>
      <c r="S940" s="4"/>
      <c r="T940" s="4" t="s">
        <v>256</v>
      </c>
      <c r="U940" s="4" t="str">
        <f t="shared" si="68"/>
        <v>ove</v>
      </c>
      <c r="V940" s="6"/>
    </row>
    <row r="941" spans="4:22" x14ac:dyDescent="0.45">
      <c r="D941" s="18" t="s">
        <v>1185</v>
      </c>
      <c r="E941" s="4" t="str">
        <f>LOWER(_Country_code)&amp;".distn.bsh.ker.dec.ove"</f>
        <v>irn.distn.bsh.ker.dec.ove</v>
      </c>
      <c r="F941" s="4" t="str">
        <f t="shared" si="72"/>
        <v>N/A</v>
      </c>
      <c r="G941" s="4" t="str">
        <f t="shared" si="74"/>
        <v>irn.distn.bsh_.all.all.ove.dec.all</v>
      </c>
      <c r="H941" s="4" t="s">
        <v>253</v>
      </c>
      <c r="I941" s="4" t="s">
        <v>272</v>
      </c>
      <c r="J941" s="4" t="s">
        <v>18</v>
      </c>
      <c r="K941" s="4" t="str">
        <f t="shared" si="73"/>
        <v>dec</v>
      </c>
      <c r="L941" s="4"/>
      <c r="M941" s="4"/>
      <c r="N941" s="4" t="s">
        <v>66</v>
      </c>
      <c r="O941" s="4"/>
      <c r="P941" s="4" t="str">
        <f t="shared" si="75"/>
        <v>ker</v>
      </c>
      <c r="Q941" s="4"/>
      <c r="R941" s="4"/>
      <c r="S941" s="4"/>
      <c r="T941" s="4" t="s">
        <v>256</v>
      </c>
      <c r="U941" s="4" t="str">
        <f t="shared" si="68"/>
        <v>ove</v>
      </c>
      <c r="V941" s="6"/>
    </row>
    <row r="942" spans="4:22" x14ac:dyDescent="0.45">
      <c r="D942" s="18" t="s">
        <v>1186</v>
      </c>
      <c r="E942" s="4" t="str">
        <f>LOWER(_Country_code)&amp;".distn.bsh.lpg.dec.ove"</f>
        <v>irn.distn.bsh.lpg.dec.ove</v>
      </c>
      <c r="F942" s="4" t="str">
        <f t="shared" si="72"/>
        <v>N/A</v>
      </c>
      <c r="G942" s="4" t="str">
        <f t="shared" si="74"/>
        <v>irn.distn.bsh_.all.all.ove.dec.all</v>
      </c>
      <c r="H942" s="4" t="s">
        <v>253</v>
      </c>
      <c r="I942" s="4" t="s">
        <v>272</v>
      </c>
      <c r="J942" s="4" t="s">
        <v>18</v>
      </c>
      <c r="K942" s="4" t="str">
        <f t="shared" si="73"/>
        <v>dec</v>
      </c>
      <c r="L942" s="4"/>
      <c r="M942" s="4"/>
      <c r="N942" s="4" t="s">
        <v>65</v>
      </c>
      <c r="O942" s="4"/>
      <c r="P942" s="4" t="str">
        <f t="shared" si="75"/>
        <v>lpg</v>
      </c>
      <c r="Q942" s="4"/>
      <c r="R942" s="4"/>
      <c r="S942" s="4"/>
      <c r="T942" s="4" t="s">
        <v>256</v>
      </c>
      <c r="U942" s="4" t="str">
        <f t="shared" si="68"/>
        <v>ove</v>
      </c>
      <c r="V942" s="6"/>
    </row>
    <row r="943" spans="4:22" x14ac:dyDescent="0.45">
      <c r="D943" s="18" t="s">
        <v>1187</v>
      </c>
      <c r="E943" s="4" t="str">
        <f>LOWER(_Country_code)&amp;".distn.bsh.ccl.dec.ove"</f>
        <v>irn.distn.bsh.ccl.dec.ove</v>
      </c>
      <c r="F943" s="4" t="str">
        <f t="shared" si="72"/>
        <v>N/A</v>
      </c>
      <c r="G943" s="4" t="str">
        <f t="shared" si="74"/>
        <v>irn.distn.bsh_.all.all.ove.dec.all</v>
      </c>
      <c r="H943" s="4" t="s">
        <v>253</v>
      </c>
      <c r="I943" s="4" t="s">
        <v>272</v>
      </c>
      <c r="J943" s="4" t="s">
        <v>18</v>
      </c>
      <c r="K943" s="4" t="str">
        <f t="shared" si="73"/>
        <v>dec</v>
      </c>
      <c r="L943" s="4"/>
      <c r="M943" s="4"/>
      <c r="N943" s="4" t="s">
        <v>273</v>
      </c>
      <c r="O943" s="4"/>
      <c r="P943" s="4" t="str">
        <f t="shared" si="75"/>
        <v>ccl</v>
      </c>
      <c r="Q943" s="4"/>
      <c r="R943" s="4"/>
      <c r="S943" s="4"/>
      <c r="T943" s="4" t="s">
        <v>256</v>
      </c>
      <c r="U943" s="4" t="str">
        <f t="shared" si="68"/>
        <v>ove</v>
      </c>
      <c r="V943" s="6"/>
    </row>
    <row r="944" spans="4:22" x14ac:dyDescent="0.45">
      <c r="D944" s="18" t="s">
        <v>1188</v>
      </c>
      <c r="E944" s="4" t="str">
        <f>LOWER(_Country_code)&amp;".distn.bsh.ethanol.dec.ove"</f>
        <v>irn.distn.bsh.ethanol.dec.ove</v>
      </c>
      <c r="F944" s="4" t="str">
        <f t="shared" si="72"/>
        <v>N/A</v>
      </c>
      <c r="G944" s="4" t="str">
        <f t="shared" si="74"/>
        <v>irn.distn.bsh_.all.all.ove.dec.all</v>
      </c>
      <c r="H944" s="4" t="s">
        <v>253</v>
      </c>
      <c r="I944" s="4" t="s">
        <v>272</v>
      </c>
      <c r="J944" s="4" t="s">
        <v>18</v>
      </c>
      <c r="K944" s="4" t="str">
        <f t="shared" si="73"/>
        <v>dec</v>
      </c>
      <c r="L944" s="4"/>
      <c r="M944" s="4"/>
      <c r="N944" s="4" t="s">
        <v>274</v>
      </c>
      <c r="O944" s="4"/>
      <c r="P944" s="4" t="str">
        <f t="shared" si="75"/>
        <v>ethanol</v>
      </c>
      <c r="Q944" s="4"/>
      <c r="R944" s="4"/>
      <c r="S944" s="4"/>
      <c r="T944" s="4" t="s">
        <v>256</v>
      </c>
      <c r="U944" s="4" t="str">
        <f t="shared" si="68"/>
        <v>ove</v>
      </c>
      <c r="V944" s="6"/>
    </row>
    <row r="945" spans="4:22" x14ac:dyDescent="0.45">
      <c r="D945" s="18" t="s">
        <v>1189</v>
      </c>
      <c r="E945" s="4" t="str">
        <f>LOWER(_Country_code)&amp;".distn.bsh.fwd.dec.ove"</f>
        <v>irn.distn.bsh.fwd.dec.ove</v>
      </c>
      <c r="F945" s="4" t="str">
        <f t="shared" si="72"/>
        <v>N/A</v>
      </c>
      <c r="G945" s="4" t="str">
        <f t="shared" si="74"/>
        <v>irn.distn.bsh_.all.all.ove.dec.all</v>
      </c>
      <c r="H945" s="4" t="s">
        <v>253</v>
      </c>
      <c r="I945" s="4" t="s">
        <v>272</v>
      </c>
      <c r="J945" s="4" t="s">
        <v>18</v>
      </c>
      <c r="K945" s="4" t="str">
        <f t="shared" si="73"/>
        <v>dec</v>
      </c>
      <c r="L945" s="4"/>
      <c r="M945" s="4"/>
      <c r="N945" s="4" t="s">
        <v>275</v>
      </c>
      <c r="O945" s="4"/>
      <c r="P945" s="4" t="str">
        <f t="shared" si="75"/>
        <v>fwd</v>
      </c>
      <c r="Q945" s="4"/>
      <c r="R945" s="4"/>
      <c r="S945" s="4"/>
      <c r="T945" s="4" t="s">
        <v>256</v>
      </c>
      <c r="U945" s="4" t="str">
        <f t="shared" si="68"/>
        <v>ove</v>
      </c>
      <c r="V945" s="6"/>
    </row>
    <row r="946" spans="4:22" x14ac:dyDescent="0.45">
      <c r="D946" s="18" t="s">
        <v>1190</v>
      </c>
      <c r="E946" s="4" t="str">
        <f>LOWER(_Country_code)&amp;".distn.bsh.app.dec.ove"</f>
        <v>irn.distn.bsh.app.dec.ove</v>
      </c>
      <c r="F946" s="4" t="str">
        <f t="shared" si="72"/>
        <v>N/A</v>
      </c>
      <c r="G946" s="4" t="str">
        <f t="shared" si="74"/>
        <v>irn.distn.bsh_.all.all.ove.dec.all</v>
      </c>
      <c r="H946" s="4" t="s">
        <v>253</v>
      </c>
      <c r="I946" s="4" t="s">
        <v>272</v>
      </c>
      <c r="J946" s="4" t="s">
        <v>18</v>
      </c>
      <c r="K946" s="4" t="str">
        <f t="shared" si="73"/>
        <v>dec</v>
      </c>
      <c r="L946" s="4"/>
      <c r="M946" s="4"/>
      <c r="N946" s="4" t="s">
        <v>259</v>
      </c>
      <c r="O946" s="4"/>
      <c r="P946" s="4" t="str">
        <f t="shared" si="75"/>
        <v>app</v>
      </c>
      <c r="Q946" s="4"/>
      <c r="R946" s="4"/>
      <c r="S946" s="4"/>
      <c r="T946" s="4" t="s">
        <v>256</v>
      </c>
      <c r="U946" s="4" t="str">
        <f t="shared" si="68"/>
        <v>ove</v>
      </c>
      <c r="V946" s="6"/>
    </row>
    <row r="947" spans="4:22" x14ac:dyDescent="0.45">
      <c r="D947" s="18" t="s">
        <v>1191</v>
      </c>
      <c r="E947" s="4" t="str">
        <f>LOWER(_Country_code)&amp;".distn.bsh.che.dec.ove"</f>
        <v>irn.distn.bsh.che.dec.ove</v>
      </c>
      <c r="F947" s="4" t="str">
        <f t="shared" si="72"/>
        <v>N/A</v>
      </c>
      <c r="G947" s="4" t="str">
        <f t="shared" si="74"/>
        <v>irn.distn.bsh_.all.all.ove.dec.all</v>
      </c>
      <c r="H947" s="4" t="s">
        <v>253</v>
      </c>
      <c r="I947" s="4" t="s">
        <v>272</v>
      </c>
      <c r="J947" s="4" t="s">
        <v>18</v>
      </c>
      <c r="K947" s="4" t="str">
        <f t="shared" si="73"/>
        <v>dec</v>
      </c>
      <c r="L947" s="4"/>
      <c r="M947" s="4"/>
      <c r="N947" s="4" t="s">
        <v>260</v>
      </c>
      <c r="O947" s="4"/>
      <c r="P947" s="4" t="str">
        <f t="shared" si="75"/>
        <v>che</v>
      </c>
      <c r="Q947" s="4"/>
      <c r="R947" s="4"/>
      <c r="S947" s="4"/>
      <c r="T947" s="4" t="s">
        <v>256</v>
      </c>
      <c r="U947" s="4" t="str">
        <f t="shared" si="68"/>
        <v>ove</v>
      </c>
      <c r="V947" s="6"/>
    </row>
    <row r="948" spans="4:22" x14ac:dyDescent="0.45">
      <c r="D948" s="18" t="s">
        <v>1192</v>
      </c>
      <c r="E948" s="4" t="str">
        <f>LOWER(_Country_code)&amp;".distn.bsh.clo.dec.ove"</f>
        <v>irn.distn.bsh.clo.dec.ove</v>
      </c>
      <c r="F948" s="4" t="str">
        <f t="shared" si="72"/>
        <v>N/A</v>
      </c>
      <c r="G948" s="4" t="str">
        <f t="shared" si="74"/>
        <v>irn.distn.bsh_.all.all.ove.dec.all</v>
      </c>
      <c r="H948" s="4" t="s">
        <v>253</v>
      </c>
      <c r="I948" s="4" t="s">
        <v>272</v>
      </c>
      <c r="J948" s="4" t="s">
        <v>18</v>
      </c>
      <c r="K948" s="4" t="str">
        <f t="shared" si="73"/>
        <v>dec</v>
      </c>
      <c r="L948" s="4"/>
      <c r="M948" s="4"/>
      <c r="N948" s="4" t="s">
        <v>261</v>
      </c>
      <c r="O948" s="4"/>
      <c r="P948" s="4" t="str">
        <f t="shared" si="75"/>
        <v>clo</v>
      </c>
      <c r="Q948" s="4"/>
      <c r="R948" s="4"/>
      <c r="S948" s="4"/>
      <c r="T948" s="4" t="s">
        <v>256</v>
      </c>
      <c r="U948" s="4" t="str">
        <f t="shared" si="68"/>
        <v>ove</v>
      </c>
      <c r="V948" s="6"/>
    </row>
    <row r="949" spans="4:22" x14ac:dyDescent="0.45">
      <c r="D949" s="18" t="s">
        <v>1193</v>
      </c>
      <c r="E949" s="4" t="str">
        <f>LOWER(_Country_code)&amp;".distn.bsh.com.dec.ove"</f>
        <v>irn.distn.bsh.com.dec.ove</v>
      </c>
      <c r="F949" s="4" t="str">
        <f t="shared" si="72"/>
        <v>N/A</v>
      </c>
      <c r="G949" s="4" t="str">
        <f t="shared" si="74"/>
        <v>irn.distn.bsh_.all.all.ove.dec.all</v>
      </c>
      <c r="H949" s="4" t="s">
        <v>253</v>
      </c>
      <c r="I949" s="4" t="s">
        <v>272</v>
      </c>
      <c r="J949" s="4" t="s">
        <v>18</v>
      </c>
      <c r="K949" s="4" t="str">
        <f t="shared" si="73"/>
        <v>dec</v>
      </c>
      <c r="L949" s="4"/>
      <c r="M949" s="4"/>
      <c r="N949" s="4" t="s">
        <v>262</v>
      </c>
      <c r="O949" s="4"/>
      <c r="P949" s="4" t="str">
        <f t="shared" si="75"/>
        <v>com</v>
      </c>
      <c r="Q949" s="4"/>
      <c r="R949" s="4"/>
      <c r="S949" s="4"/>
      <c r="T949" s="4" t="s">
        <v>256</v>
      </c>
      <c r="U949" s="4" t="str">
        <f t="shared" si="68"/>
        <v>ove</v>
      </c>
      <c r="V949" s="6"/>
    </row>
    <row r="950" spans="4:22" x14ac:dyDescent="0.45">
      <c r="D950" s="18" t="s">
        <v>1194</v>
      </c>
      <c r="E950" s="4" t="str">
        <f>LOWER(_Country_code)&amp;".distn.bsh.edu.dec.ove"</f>
        <v>irn.distn.bsh.edu.dec.ove</v>
      </c>
      <c r="F950" s="4" t="str">
        <f t="shared" si="72"/>
        <v>N/A</v>
      </c>
      <c r="G950" s="4" t="str">
        <f t="shared" si="74"/>
        <v>irn.distn.bsh_.all.all.ove.dec.all</v>
      </c>
      <c r="H950" s="4" t="s">
        <v>253</v>
      </c>
      <c r="I950" s="4" t="s">
        <v>272</v>
      </c>
      <c r="J950" s="4" t="s">
        <v>18</v>
      </c>
      <c r="K950" s="4" t="str">
        <f t="shared" si="73"/>
        <v>dec</v>
      </c>
      <c r="L950" s="4"/>
      <c r="M950" s="4"/>
      <c r="N950" s="4" t="s">
        <v>263</v>
      </c>
      <c r="O950" s="4"/>
      <c r="P950" s="4" t="str">
        <f t="shared" si="75"/>
        <v>edu</v>
      </c>
      <c r="Q950" s="4"/>
      <c r="R950" s="4"/>
      <c r="S950" s="4"/>
      <c r="T950" s="4" t="s">
        <v>256</v>
      </c>
      <c r="U950" s="4" t="str">
        <f t="shared" si="68"/>
        <v>ove</v>
      </c>
      <c r="V950" s="6"/>
    </row>
    <row r="951" spans="4:22" x14ac:dyDescent="0.45">
      <c r="D951" s="18" t="s">
        <v>1195</v>
      </c>
      <c r="E951" s="4" t="str">
        <f>LOWER(_Country_code)&amp;".distn.bsh.food.dec.ove"</f>
        <v>irn.distn.bsh.food.dec.ove</v>
      </c>
      <c r="F951" s="4" t="str">
        <f t="shared" si="72"/>
        <v>N/A</v>
      </c>
      <c r="G951" s="4" t="str">
        <f t="shared" si="74"/>
        <v>irn.distn.bsh_.all.all.ove.dec.all</v>
      </c>
      <c r="H951" s="4" t="s">
        <v>253</v>
      </c>
      <c r="I951" s="4" t="s">
        <v>272</v>
      </c>
      <c r="J951" s="4" t="s">
        <v>18</v>
      </c>
      <c r="K951" s="4" t="str">
        <f t="shared" si="73"/>
        <v>dec</v>
      </c>
      <c r="L951" s="4"/>
      <c r="M951" s="4"/>
      <c r="N951" s="4" t="s">
        <v>264</v>
      </c>
      <c r="O951" s="4"/>
      <c r="P951" s="4" t="str">
        <f t="shared" si="75"/>
        <v>food</v>
      </c>
      <c r="Q951" s="4"/>
      <c r="R951" s="4"/>
      <c r="S951" s="4"/>
      <c r="T951" s="4" t="s">
        <v>256</v>
      </c>
      <c r="U951" s="4" t="str">
        <f t="shared" si="68"/>
        <v>ove</v>
      </c>
      <c r="V951" s="6"/>
    </row>
    <row r="952" spans="4:22" x14ac:dyDescent="0.45">
      <c r="D952" s="18" t="s">
        <v>1196</v>
      </c>
      <c r="E952" s="4" t="str">
        <f>LOWER(_Country_code)&amp;".distn.bsh.hea.dec.ove"</f>
        <v>irn.distn.bsh.hea.dec.ove</v>
      </c>
      <c r="F952" s="4" t="str">
        <f t="shared" si="72"/>
        <v>N/A</v>
      </c>
      <c r="G952" s="4" t="str">
        <f t="shared" si="74"/>
        <v>irn.distn.bsh_.all.all.ove.dec.all</v>
      </c>
      <c r="H952" s="4" t="s">
        <v>253</v>
      </c>
      <c r="I952" s="4" t="s">
        <v>272</v>
      </c>
      <c r="J952" s="4" t="s">
        <v>18</v>
      </c>
      <c r="K952" s="4" t="str">
        <f t="shared" si="73"/>
        <v>dec</v>
      </c>
      <c r="L952" s="4"/>
      <c r="M952" s="4"/>
      <c r="N952" s="4" t="s">
        <v>265</v>
      </c>
      <c r="O952" s="4"/>
      <c r="P952" s="4" t="str">
        <f t="shared" si="75"/>
        <v>hea</v>
      </c>
      <c r="Q952" s="4"/>
      <c r="R952" s="4"/>
      <c r="S952" s="4"/>
      <c r="T952" s="4" t="s">
        <v>256</v>
      </c>
      <c r="U952" s="4" t="str">
        <f t="shared" si="68"/>
        <v>ove</v>
      </c>
      <c r="V952" s="6"/>
    </row>
    <row r="953" spans="4:22" x14ac:dyDescent="0.45">
      <c r="D953" s="18" t="s">
        <v>1197</v>
      </c>
      <c r="E953" s="4" t="str">
        <f>LOWER(_Country_code)&amp;".distn.bsh.hou.dec.ove"</f>
        <v>irn.distn.bsh.hou.dec.ove</v>
      </c>
      <c r="F953" s="4" t="str">
        <f t="shared" si="72"/>
        <v>N/A</v>
      </c>
      <c r="G953" s="4" t="str">
        <f t="shared" si="74"/>
        <v>irn.distn.bsh_.all.all.ove.dec.all</v>
      </c>
      <c r="H953" s="4" t="s">
        <v>253</v>
      </c>
      <c r="I953" s="4" t="s">
        <v>272</v>
      </c>
      <c r="J953" s="4" t="s">
        <v>18</v>
      </c>
      <c r="K953" s="4" t="str">
        <f t="shared" si="73"/>
        <v>dec</v>
      </c>
      <c r="L953" s="4"/>
      <c r="M953" s="4"/>
      <c r="N953" s="4" t="s">
        <v>266</v>
      </c>
      <c r="O953" s="4"/>
      <c r="P953" s="4" t="str">
        <f t="shared" si="75"/>
        <v>hou</v>
      </c>
      <c r="Q953" s="4"/>
      <c r="R953" s="4"/>
      <c r="S953" s="4"/>
      <c r="T953" s="4" t="s">
        <v>256</v>
      </c>
      <c r="U953" s="4" t="str">
        <f t="shared" si="68"/>
        <v>ove</v>
      </c>
      <c r="V953" s="6"/>
    </row>
    <row r="954" spans="4:22" x14ac:dyDescent="0.45">
      <c r="D954" s="18" t="s">
        <v>1198</v>
      </c>
      <c r="E954" s="4" t="str">
        <f>LOWER(_Country_code)&amp;".distn.bsh.oth.dec.ove"</f>
        <v>irn.distn.bsh.oth.dec.ove</v>
      </c>
      <c r="F954" s="4" t="str">
        <f t="shared" si="72"/>
        <v>N/A</v>
      </c>
      <c r="G954" s="4" t="str">
        <f t="shared" si="74"/>
        <v>irn.distn.bsh_.all.all.ove.dec.all</v>
      </c>
      <c r="H954" s="4" t="s">
        <v>253</v>
      </c>
      <c r="I954" s="4" t="s">
        <v>272</v>
      </c>
      <c r="J954" s="4" t="s">
        <v>18</v>
      </c>
      <c r="K954" s="4" t="str">
        <f t="shared" si="73"/>
        <v>dec</v>
      </c>
      <c r="L954" s="4"/>
      <c r="M954" s="4"/>
      <c r="N954" s="4" t="s">
        <v>30</v>
      </c>
      <c r="O954" s="4"/>
      <c r="P954" s="4" t="str">
        <f t="shared" si="75"/>
        <v>oth</v>
      </c>
      <c r="Q954" s="4"/>
      <c r="R954" s="4"/>
      <c r="S954" s="4"/>
      <c r="T954" s="4" t="s">
        <v>256</v>
      </c>
      <c r="U954" s="4" t="str">
        <f t="shared" si="68"/>
        <v>ove</v>
      </c>
      <c r="V954" s="6"/>
    </row>
    <row r="955" spans="4:22" x14ac:dyDescent="0.45">
      <c r="D955" s="18" t="s">
        <v>1199</v>
      </c>
      <c r="E955" s="4" t="str">
        <f>LOWER(_Country_code)&amp;".distn.bsh.pap.dec.ove"</f>
        <v>irn.distn.bsh.pap.dec.ove</v>
      </c>
      <c r="F955" s="4" t="str">
        <f t="shared" si="72"/>
        <v>N/A</v>
      </c>
      <c r="G955" s="4" t="str">
        <f t="shared" si="74"/>
        <v>irn.distn.bsh_.all.all.ove.dec.all</v>
      </c>
      <c r="H955" s="4" t="s">
        <v>253</v>
      </c>
      <c r="I955" s="4" t="s">
        <v>272</v>
      </c>
      <c r="J955" s="4" t="s">
        <v>18</v>
      </c>
      <c r="K955" s="4" t="str">
        <f t="shared" si="73"/>
        <v>dec</v>
      </c>
      <c r="L955" s="4"/>
      <c r="M955" s="4"/>
      <c r="N955" s="4" t="s">
        <v>267</v>
      </c>
      <c r="O955" s="4"/>
      <c r="P955" s="4" t="str">
        <f t="shared" si="75"/>
        <v>pap</v>
      </c>
      <c r="Q955" s="4"/>
      <c r="R955" s="4"/>
      <c r="S955" s="4"/>
      <c r="T955" s="4" t="s">
        <v>256</v>
      </c>
      <c r="U955" s="4" t="str">
        <f t="shared" si="68"/>
        <v>ove</v>
      </c>
      <c r="V955" s="6"/>
    </row>
    <row r="956" spans="4:22" x14ac:dyDescent="0.45">
      <c r="D956" s="18" t="s">
        <v>1200</v>
      </c>
      <c r="E956" s="4" t="str">
        <f>LOWER(_Country_code)&amp;".distn.bsh.pha.dec.ove"</f>
        <v>irn.distn.bsh.pha.dec.ove</v>
      </c>
      <c r="F956" s="4" t="str">
        <f t="shared" si="72"/>
        <v>N/A</v>
      </c>
      <c r="G956" s="4" t="str">
        <f t="shared" si="74"/>
        <v>irn.distn.bsh_.all.all.ove.dec.all</v>
      </c>
      <c r="H956" s="4" t="s">
        <v>253</v>
      </c>
      <c r="I956" s="4" t="s">
        <v>272</v>
      </c>
      <c r="J956" s="4" t="s">
        <v>18</v>
      </c>
      <c r="K956" s="4" t="str">
        <f t="shared" si="73"/>
        <v>dec</v>
      </c>
      <c r="L956" s="4"/>
      <c r="M956" s="4"/>
      <c r="N956" s="4" t="s">
        <v>268</v>
      </c>
      <c r="O956" s="4"/>
      <c r="P956" s="4" t="str">
        <f t="shared" si="75"/>
        <v>pha</v>
      </c>
      <c r="Q956" s="4"/>
      <c r="R956" s="4"/>
      <c r="S956" s="4"/>
      <c r="T956" s="4" t="s">
        <v>256</v>
      </c>
      <c r="U956" s="4" t="str">
        <f t="shared" si="68"/>
        <v>ove</v>
      </c>
      <c r="V956" s="6"/>
    </row>
    <row r="957" spans="4:22" x14ac:dyDescent="0.45">
      <c r="D957" s="18" t="s">
        <v>1201</v>
      </c>
      <c r="E957" s="4" t="str">
        <f>LOWER(_Country_code)&amp;".distn.bsh.ret.dec.ove"</f>
        <v>irn.distn.bsh.ret.dec.ove</v>
      </c>
      <c r="F957" s="4" t="str">
        <f t="shared" si="72"/>
        <v>N/A</v>
      </c>
      <c r="G957" s="4" t="str">
        <f t="shared" si="74"/>
        <v>irn.distn.bsh_.all.all.ove.dec.all</v>
      </c>
      <c r="H957" s="4" t="s">
        <v>253</v>
      </c>
      <c r="I957" s="4" t="s">
        <v>272</v>
      </c>
      <c r="J957" s="4" t="s">
        <v>18</v>
      </c>
      <c r="K957" s="4" t="str">
        <f t="shared" si="73"/>
        <v>dec</v>
      </c>
      <c r="L957" s="4"/>
      <c r="M957" s="4"/>
      <c r="N957" s="4" t="s">
        <v>269</v>
      </c>
      <c r="O957" s="4"/>
      <c r="P957" s="4" t="str">
        <f t="shared" si="75"/>
        <v>ret</v>
      </c>
      <c r="Q957" s="4"/>
      <c r="R957" s="4"/>
      <c r="S957" s="4"/>
      <c r="T957" s="4" t="s">
        <v>256</v>
      </c>
      <c r="U957" s="4" t="str">
        <f t="shared" si="68"/>
        <v>ove</v>
      </c>
      <c r="V957" s="6"/>
    </row>
    <row r="958" spans="4:22" x14ac:dyDescent="0.45">
      <c r="D958" s="18" t="s">
        <v>1202</v>
      </c>
      <c r="E958" s="4" t="str">
        <f>LOWER(_Country_code)&amp;".distn.bsh.teq.dec.ove"</f>
        <v>irn.distn.bsh.teq.dec.ove</v>
      </c>
      <c r="F958" s="4" t="str">
        <f t="shared" si="72"/>
        <v>N/A</v>
      </c>
      <c r="G958" s="4" t="str">
        <f t="shared" si="74"/>
        <v>irn.distn.bsh_.all.all.ove.dec.all</v>
      </c>
      <c r="H958" s="4" t="s">
        <v>253</v>
      </c>
      <c r="I958" s="4" t="s">
        <v>272</v>
      </c>
      <c r="J958" s="4" t="s">
        <v>18</v>
      </c>
      <c r="K958" s="4" t="str">
        <f t="shared" si="73"/>
        <v>dec</v>
      </c>
      <c r="L958" s="4"/>
      <c r="M958" s="4"/>
      <c r="N958" s="4" t="s">
        <v>270</v>
      </c>
      <c r="O958" s="4"/>
      <c r="P958" s="4" t="str">
        <f t="shared" si="75"/>
        <v>teq</v>
      </c>
      <c r="Q958" s="4"/>
      <c r="R958" s="4"/>
      <c r="S958" s="4"/>
      <c r="T958" s="4" t="s">
        <v>256</v>
      </c>
      <c r="U958" s="4" t="str">
        <f t="shared" si="68"/>
        <v>ove</v>
      </c>
      <c r="V958" s="6"/>
    </row>
    <row r="959" spans="4:22" x14ac:dyDescent="0.45">
      <c r="D959" s="18" t="s">
        <v>1203</v>
      </c>
      <c r="E959" s="4" t="str">
        <f>LOWER(_Country_code)&amp;".distn.bsh.tpu.dec.ove"</f>
        <v>irn.distn.bsh.tpu.dec.ove</v>
      </c>
      <c r="F959" s="4" t="str">
        <f t="shared" si="72"/>
        <v>N/A</v>
      </c>
      <c r="G959" s="4" t="str">
        <f t="shared" si="74"/>
        <v>irn.distn.bsh_.all.all.ove.dec.all</v>
      </c>
      <c r="H959" s="4" t="s">
        <v>253</v>
      </c>
      <c r="I959" s="4" t="s">
        <v>272</v>
      </c>
      <c r="J959" s="4" t="s">
        <v>18</v>
      </c>
      <c r="K959" s="4" t="str">
        <f t="shared" si="73"/>
        <v>dec</v>
      </c>
      <c r="L959" s="4"/>
      <c r="M959" s="4"/>
      <c r="N959" s="4" t="s">
        <v>271</v>
      </c>
      <c r="O959" s="4"/>
      <c r="P959" s="4" t="str">
        <f t="shared" si="75"/>
        <v>tpu</v>
      </c>
      <c r="Q959" s="4"/>
      <c r="R959" s="4"/>
      <c r="S959" s="4"/>
      <c r="T959" s="4" t="s">
        <v>256</v>
      </c>
      <c r="U959" s="4" t="str">
        <f t="shared" si="68"/>
        <v>ove</v>
      </c>
      <c r="V959" s="6"/>
    </row>
    <row r="960" spans="4:22" x14ac:dyDescent="0.45">
      <c r="D960" s="18" t="str">
        <f>"Real per-capita national accounts-adjusted consumption by decile (real "&amp;ResultsYear&amp;" LCU in year "&amp;YearDistn&amp;")"</f>
        <v>Real per-capita national accounts-adjusted consumption by decile (real 2021 LCU in year 2030)</v>
      </c>
      <c r="E960" s="4" t="str">
        <f>LOWER(_Country_code)&amp;".distn.cons_pc_na.dec.ove"</f>
        <v>irn.distn.cons_pc_na.dec.ove</v>
      </c>
      <c r="F960" s="4" t="str">
        <f t="shared" si="72"/>
        <v>N/A</v>
      </c>
      <c r="G960" s="4" t="str">
        <f t="shared" si="74"/>
        <v>irn.distn.cons_pc_na_.all.all.ove.dec.all</v>
      </c>
      <c r="H960" s="4" t="s">
        <v>253</v>
      </c>
      <c r="I960" s="4" t="s">
        <v>276</v>
      </c>
      <c r="J960" s="4" t="s">
        <v>18</v>
      </c>
      <c r="K960" s="4" t="str">
        <f t="shared" si="73"/>
        <v>dec</v>
      </c>
      <c r="L960" s="4"/>
      <c r="M960" s="4"/>
      <c r="N960" s="4"/>
      <c r="O960" s="4"/>
      <c r="P960" s="4" t="str">
        <f t="shared" si="75"/>
        <v/>
      </c>
      <c r="Q960" s="4"/>
      <c r="R960" s="4"/>
      <c r="S960" s="4"/>
      <c r="T960" s="4" t="s">
        <v>256</v>
      </c>
      <c r="U960" s="4" t="str">
        <f>R960&amp;T960&amp;S960</f>
        <v>ove</v>
      </c>
      <c r="V960" s="10"/>
    </row>
    <row r="961" spans="4:22" x14ac:dyDescent="0.45">
      <c r="D961" s="18" t="str">
        <f>"Real total national accounts-adjusted consumption by decile (real "&amp;ResultsYear&amp;" LCU in year "&amp;YearDistn&amp;")"</f>
        <v>Real total national accounts-adjusted consumption by decile (real 2021 LCU in year 2030)</v>
      </c>
      <c r="E961" s="4" t="str">
        <f>LOWER(_Country_code)&amp;".distn.tot_cons_na.dec.ove"</f>
        <v>irn.distn.tot_cons_na.dec.ove</v>
      </c>
      <c r="F961" s="4" t="str">
        <f t="shared" si="72"/>
        <v>N/A</v>
      </c>
      <c r="G961" s="4" t="str">
        <f t="shared" si="74"/>
        <v>irn.distn.tot_cons_na_.all.all.ove.dec.all</v>
      </c>
      <c r="H961" s="4" t="s">
        <v>253</v>
      </c>
      <c r="I961" s="4" t="s">
        <v>277</v>
      </c>
      <c r="J961" s="4" t="s">
        <v>18</v>
      </c>
      <c r="K961" s="4" t="str">
        <f t="shared" si="73"/>
        <v>dec</v>
      </c>
      <c r="L961" s="4"/>
      <c r="M961" s="4"/>
      <c r="N961" s="4"/>
      <c r="O961" s="4"/>
      <c r="P961" s="4" t="str">
        <f t="shared" si="75"/>
        <v/>
      </c>
      <c r="Q961" s="4"/>
      <c r="R961" s="4"/>
      <c r="S961" s="4"/>
      <c r="T961" s="4" t="s">
        <v>256</v>
      </c>
      <c r="U961" s="4" t="str">
        <f>R961&amp;T961&amp;S961</f>
        <v>ove</v>
      </c>
      <c r="V961" s="10"/>
    </row>
    <row r="962" spans="4:22" x14ac:dyDescent="0.45">
      <c r="D962" s="18" t="str">
        <f>"Total population by decile (individuals in year "&amp;YearDistn&amp;")"</f>
        <v>Total population by decile (individuals in year 2030)</v>
      </c>
      <c r="E962" s="4" t="str">
        <f>LOWER(_Country_code)&amp;".distn.pop_tot_adj.dec.ove"</f>
        <v>irn.distn.pop_tot_adj.dec.ove</v>
      </c>
      <c r="F962" s="4" t="str">
        <f t="shared" si="72"/>
        <v>N/A</v>
      </c>
      <c r="G962" s="4" t="str">
        <f t="shared" si="74"/>
        <v>irn.distn.pop_tot_adj_.all.all.ove.dec.all</v>
      </c>
      <c r="H962" s="4" t="s">
        <v>253</v>
      </c>
      <c r="I962" s="4" t="s">
        <v>278</v>
      </c>
      <c r="J962" s="4" t="s">
        <v>18</v>
      </c>
      <c r="K962" s="4" t="str">
        <f t="shared" si="73"/>
        <v>dec</v>
      </c>
      <c r="L962" s="4"/>
      <c r="M962" s="4"/>
      <c r="N962" s="4"/>
      <c r="O962" s="4"/>
      <c r="P962" s="4" t="str">
        <f t="shared" si="75"/>
        <v/>
      </c>
      <c r="Q962" s="4"/>
      <c r="R962" s="4"/>
      <c r="S962" s="4"/>
      <c r="T962" s="4" t="s">
        <v>256</v>
      </c>
      <c r="U962" s="4" t="str">
        <f t="shared" ref="U962:U971" si="76">R962&amp;T962&amp;S962</f>
        <v>ove</v>
      </c>
      <c r="V962" s="6"/>
    </row>
    <row r="963" spans="4:22" x14ac:dyDescent="0.45">
      <c r="D963" s="18" t="s">
        <v>1204</v>
      </c>
      <c r="E963" s="4" t="str">
        <f>LOWER(_Country_code)&amp;".distn.pctrev_comp.dec.rur"</f>
        <v>irn.distn.pctrev_comp.dec.rur</v>
      </c>
      <c r="F963" s="4" t="str">
        <f t="shared" si="72"/>
        <v>N/A</v>
      </c>
      <c r="G963" s="4" t="str">
        <f t="shared" si="74"/>
        <v>irn.distn.pctrev_comp_.all.all.rur.dec.all</v>
      </c>
      <c r="H963" s="4" t="s">
        <v>253</v>
      </c>
      <c r="I963" s="4" t="s">
        <v>279</v>
      </c>
      <c r="J963" s="4" t="s">
        <v>18</v>
      </c>
      <c r="K963" s="4" t="str">
        <f t="shared" si="73"/>
        <v>dec</v>
      </c>
      <c r="L963" s="4"/>
      <c r="M963" s="4"/>
      <c r="N963" s="4"/>
      <c r="O963" s="4"/>
      <c r="P963" s="4" t="str">
        <f t="shared" si="75"/>
        <v/>
      </c>
      <c r="Q963" s="4"/>
      <c r="R963" s="4"/>
      <c r="S963" s="4"/>
      <c r="T963" s="4" t="s">
        <v>203</v>
      </c>
      <c r="U963" s="4" t="str">
        <f t="shared" si="76"/>
        <v>rur</v>
      </c>
      <c r="V963" s="6"/>
    </row>
    <row r="964" spans="4:22" x14ac:dyDescent="0.45">
      <c r="D964" s="18" t="s">
        <v>1205</v>
      </c>
      <c r="E964" s="4" t="str">
        <f>LOWER(_Country_code)&amp;".distn.pctrev_comp.dec.urb"</f>
        <v>irn.distn.pctrev_comp.dec.urb</v>
      </c>
      <c r="F964" s="4" t="str">
        <f t="shared" si="72"/>
        <v>N/A</v>
      </c>
      <c r="G964" s="4" t="str">
        <f t="shared" si="74"/>
        <v>irn.distn.pctrev_comp_.all.all.urb.dec.all</v>
      </c>
      <c r="H964" s="4" t="s">
        <v>253</v>
      </c>
      <c r="I964" s="4" t="s">
        <v>279</v>
      </c>
      <c r="J964" s="4" t="s">
        <v>18</v>
      </c>
      <c r="K964" s="4" t="str">
        <f t="shared" si="73"/>
        <v>dec</v>
      </c>
      <c r="L964" s="4"/>
      <c r="M964" s="4"/>
      <c r="N964" s="4"/>
      <c r="O964" s="4"/>
      <c r="P964" s="4" t="str">
        <f t="shared" si="75"/>
        <v/>
      </c>
      <c r="Q964" s="4"/>
      <c r="R964" s="4"/>
      <c r="S964" s="4"/>
      <c r="T964" s="4" t="s">
        <v>201</v>
      </c>
      <c r="U964" s="4" t="str">
        <f t="shared" si="76"/>
        <v>urb</v>
      </c>
      <c r="V964" s="6"/>
    </row>
    <row r="965" spans="4:22" x14ac:dyDescent="0.45">
      <c r="D965" s="18" t="s">
        <v>1206</v>
      </c>
      <c r="E965" s="4" t="str">
        <f>LOWER(_Country_code)&amp;".distn.pctrev_comp.dec.ove"</f>
        <v>irn.distn.pctrev_comp.dec.ove</v>
      </c>
      <c r="F965" s="4" t="str">
        <f t="shared" si="72"/>
        <v>N/A</v>
      </c>
      <c r="G965" s="4" t="str">
        <f t="shared" si="74"/>
        <v>irn.distn.pctrev_comp_.all.all.ove.dec.all</v>
      </c>
      <c r="H965" s="4" t="s">
        <v>253</v>
      </c>
      <c r="I965" s="4" t="s">
        <v>279</v>
      </c>
      <c r="J965" s="4" t="s">
        <v>18</v>
      </c>
      <c r="K965" s="4" t="str">
        <f t="shared" si="73"/>
        <v>dec</v>
      </c>
      <c r="L965" s="4"/>
      <c r="M965" s="4"/>
      <c r="N965" s="4"/>
      <c r="O965" s="4"/>
      <c r="P965" s="4" t="str">
        <f t="shared" si="75"/>
        <v/>
      </c>
      <c r="Q965" s="4"/>
      <c r="R965" s="4"/>
      <c r="S965" s="4"/>
      <c r="T965" s="4" t="s">
        <v>256</v>
      </c>
      <c r="U965" s="4" t="str">
        <f t="shared" si="76"/>
        <v>ove</v>
      </c>
      <c r="V965" s="6"/>
    </row>
    <row r="966" spans="4:22" x14ac:dyDescent="0.45">
      <c r="D966" s="18" t="s">
        <v>1207</v>
      </c>
      <c r="E966" s="4" t="str">
        <f>LOWER(_Country_code)&amp;".distn.pct_gini_norec.dec.ove"</f>
        <v>irn.distn.pct_gini_norec.dec.ove</v>
      </c>
      <c r="F966" s="4" t="str">
        <f t="shared" si="72"/>
        <v>N/A</v>
      </c>
      <c r="G966" s="4" t="str">
        <f t="shared" si="74"/>
        <v>irn.distn.pct_gini_norec_.all.all.ove.all.all</v>
      </c>
      <c r="H966" s="4" t="s">
        <v>253</v>
      </c>
      <c r="I966" s="4" t="s">
        <v>280</v>
      </c>
      <c r="J966" s="4" t="s">
        <v>18</v>
      </c>
      <c r="K966" s="4"/>
      <c r="L966" s="4"/>
      <c r="M966" s="4"/>
      <c r="N966" s="4"/>
      <c r="O966" s="4"/>
      <c r="P966" s="4" t="str">
        <f t="shared" si="75"/>
        <v/>
      </c>
      <c r="Q966" s="4"/>
      <c r="R966" s="4"/>
      <c r="S966" s="4"/>
      <c r="T966" s="4" t="s">
        <v>256</v>
      </c>
      <c r="U966" s="4" t="str">
        <f t="shared" si="76"/>
        <v>ove</v>
      </c>
      <c r="V966" s="6"/>
    </row>
    <row r="967" spans="4:22" x14ac:dyDescent="0.45">
      <c r="D967" s="18" t="s">
        <v>1208</v>
      </c>
      <c r="E967" s="4" t="str">
        <f>LOWER(_Country_code)&amp;".distn.pct_gini_norec.dec.urb"</f>
        <v>irn.distn.pct_gini_norec.dec.urb</v>
      </c>
      <c r="F967" s="4" t="str">
        <f t="shared" si="72"/>
        <v>N/A</v>
      </c>
      <c r="G967" s="4" t="str">
        <f t="shared" si="74"/>
        <v>irn.distn.pct_gini_norec_.all.all.urb.all.all</v>
      </c>
      <c r="H967" s="4" t="s">
        <v>253</v>
      </c>
      <c r="I967" s="4" t="s">
        <v>280</v>
      </c>
      <c r="J967" s="4" t="s">
        <v>18</v>
      </c>
      <c r="K967" s="4"/>
      <c r="L967" s="4"/>
      <c r="M967" s="4"/>
      <c r="N967" s="4"/>
      <c r="O967" s="4"/>
      <c r="P967" s="4" t="str">
        <f t="shared" si="75"/>
        <v/>
      </c>
      <c r="Q967" s="4"/>
      <c r="R967" s="4"/>
      <c r="S967" s="4"/>
      <c r="T967" s="4" t="s">
        <v>201</v>
      </c>
      <c r="U967" s="4" t="str">
        <f t="shared" si="76"/>
        <v>urb</v>
      </c>
      <c r="V967" s="6"/>
    </row>
    <row r="968" spans="4:22" x14ac:dyDescent="0.45">
      <c r="D968" s="18" t="s">
        <v>1209</v>
      </c>
      <c r="E968" s="4" t="str">
        <f>LOWER(_Country_code)&amp;".distn.pct_gini_norec.dec.rur"</f>
        <v>irn.distn.pct_gini_norec.dec.rur</v>
      </c>
      <c r="F968" s="4" t="str">
        <f t="shared" si="72"/>
        <v>N/A</v>
      </c>
      <c r="G968" s="4" t="str">
        <f t="shared" si="74"/>
        <v>irn.distn.pct_gini_norec_.all.all.rur.all.all</v>
      </c>
      <c r="H968" s="4" t="s">
        <v>253</v>
      </c>
      <c r="I968" s="4" t="s">
        <v>280</v>
      </c>
      <c r="J968" s="4" t="s">
        <v>18</v>
      </c>
      <c r="K968" s="4"/>
      <c r="L968" s="4"/>
      <c r="M968" s="4"/>
      <c r="N968" s="4"/>
      <c r="O968" s="4"/>
      <c r="P968" s="4" t="str">
        <f t="shared" si="75"/>
        <v/>
      </c>
      <c r="Q968" s="4"/>
      <c r="R968" s="4"/>
      <c r="S968" s="4"/>
      <c r="T968" s="4" t="s">
        <v>203</v>
      </c>
      <c r="U968" s="4" t="str">
        <f t="shared" si="76"/>
        <v>rur</v>
      </c>
      <c r="V968" s="6"/>
    </row>
    <row r="969" spans="4:22" x14ac:dyDescent="0.45">
      <c r="D969" s="18" t="s">
        <v>1210</v>
      </c>
      <c r="E969" s="4" t="str">
        <f>LOWER(_Country_code)&amp;".distn.pct_gini_rec.dec.ove"</f>
        <v>irn.distn.pct_gini_rec.dec.ove</v>
      </c>
      <c r="F969" s="4" t="str">
        <f t="shared" si="72"/>
        <v>N/A</v>
      </c>
      <c r="G969" s="4" t="str">
        <f t="shared" si="74"/>
        <v>irn.distn.pct_gini_rec_.all.all.ove.all.all</v>
      </c>
      <c r="H969" s="4" t="s">
        <v>253</v>
      </c>
      <c r="I969" s="4" t="s">
        <v>281</v>
      </c>
      <c r="J969" s="4" t="s">
        <v>18</v>
      </c>
      <c r="K969" s="4"/>
      <c r="L969" s="4"/>
      <c r="M969" s="4"/>
      <c r="N969" s="4"/>
      <c r="O969" s="4"/>
      <c r="P969" s="4" t="str">
        <f t="shared" si="75"/>
        <v/>
      </c>
      <c r="Q969" s="4"/>
      <c r="R969" s="4"/>
      <c r="S969" s="4"/>
      <c r="T969" s="4" t="s">
        <v>256</v>
      </c>
      <c r="U969" s="4" t="str">
        <f t="shared" si="76"/>
        <v>ove</v>
      </c>
      <c r="V969" s="6"/>
    </row>
    <row r="970" spans="4:22" x14ac:dyDescent="0.45">
      <c r="D970" s="18" t="s">
        <v>1211</v>
      </c>
      <c r="E970" s="4" t="str">
        <f>LOWER(_Country_code)&amp;".distn.pct_gini_rec.dec.urb"</f>
        <v>irn.distn.pct_gini_rec.dec.urb</v>
      </c>
      <c r="F970" s="4" t="str">
        <f t="shared" si="72"/>
        <v>N/A</v>
      </c>
      <c r="G970" s="4" t="str">
        <f t="shared" si="74"/>
        <v>irn.distn.pct_gini_rec_.all.all.urb.all.all</v>
      </c>
      <c r="H970" s="4" t="s">
        <v>253</v>
      </c>
      <c r="I970" s="4" t="s">
        <v>281</v>
      </c>
      <c r="J970" s="4" t="s">
        <v>18</v>
      </c>
      <c r="K970" s="4"/>
      <c r="L970" s="4"/>
      <c r="M970" s="4"/>
      <c r="N970" s="4"/>
      <c r="O970" s="4"/>
      <c r="P970" s="4" t="str">
        <f t="shared" si="75"/>
        <v/>
      </c>
      <c r="Q970" s="4"/>
      <c r="R970" s="4"/>
      <c r="S970" s="4"/>
      <c r="T970" s="4" t="s">
        <v>201</v>
      </c>
      <c r="U970" s="4" t="str">
        <f t="shared" si="76"/>
        <v>urb</v>
      </c>
      <c r="V970" s="6"/>
    </row>
    <row r="971" spans="4:22" x14ac:dyDescent="0.45">
      <c r="D971" s="18" t="s">
        <v>1212</v>
      </c>
      <c r="E971" s="4" t="str">
        <f>LOWER(_Country_code)&amp;".distn.pct_gini_rec.dec.rur"</f>
        <v>irn.distn.pct_gini_rec.dec.rur</v>
      </c>
      <c r="F971" s="4" t="str">
        <f t="shared" si="72"/>
        <v>N/A</v>
      </c>
      <c r="G971" s="4" t="str">
        <f t="shared" si="74"/>
        <v>irn.distn.pct_gini_rec_.all.all.rur.all.all</v>
      </c>
      <c r="H971" s="4" t="s">
        <v>253</v>
      </c>
      <c r="I971" s="4" t="s">
        <v>281</v>
      </c>
      <c r="J971" s="4" t="s">
        <v>18</v>
      </c>
      <c r="K971" s="4"/>
      <c r="L971" s="4"/>
      <c r="M971" s="4"/>
      <c r="N971" s="4"/>
      <c r="O971" s="4"/>
      <c r="P971" s="4" t="str">
        <f t="shared" si="75"/>
        <v/>
      </c>
      <c r="Q971" s="4"/>
      <c r="R971" s="4"/>
      <c r="S971" s="4"/>
      <c r="T971" s="4" t="s">
        <v>203</v>
      </c>
      <c r="U971" s="4" t="str">
        <f t="shared" si="76"/>
        <v>rur</v>
      </c>
      <c r="V971" s="6"/>
    </row>
    <row r="972" spans="4:22" x14ac:dyDescent="0.45">
      <c r="D972" s="18" t="s">
        <v>1213</v>
      </c>
      <c r="E972" s="4" t="str">
        <f t="shared" ref="E972:E993" si="77">LOWER(_Country_code)&amp;".distn.dpr."&amp;N972</f>
        <v>irn.distn.dpr.coa</v>
      </c>
      <c r="F972" s="4" t="str">
        <f t="shared" si="72"/>
        <v>N/A</v>
      </c>
      <c r="G972" s="4" t="str">
        <f t="shared" si="74"/>
        <v>irn.distn.dpr_.all.all.all.all.all</v>
      </c>
      <c r="H972" s="4" t="s">
        <v>253</v>
      </c>
      <c r="I972" s="4" t="s">
        <v>282</v>
      </c>
      <c r="J972" s="4" t="s">
        <v>18</v>
      </c>
      <c r="K972" s="4"/>
      <c r="L972" s="4"/>
      <c r="M972" s="4"/>
      <c r="N972" s="4" t="s">
        <v>60</v>
      </c>
      <c r="O972" s="4"/>
      <c r="P972" s="4" t="str">
        <f t="shared" si="75"/>
        <v>coa</v>
      </c>
      <c r="Q972" s="4"/>
      <c r="R972" s="4"/>
      <c r="S972" s="4"/>
      <c r="T972" s="4"/>
      <c r="U972" s="4"/>
      <c r="V972" s="6"/>
    </row>
    <row r="973" spans="4:22" x14ac:dyDescent="0.45">
      <c r="D973" s="18" t="s">
        <v>1214</v>
      </c>
      <c r="E973" s="4" t="str">
        <f t="shared" si="77"/>
        <v>irn.distn.dpr.ely</v>
      </c>
      <c r="F973" s="4" t="str">
        <f t="shared" si="72"/>
        <v>N/A</v>
      </c>
      <c r="G973" s="4" t="str">
        <f t="shared" si="74"/>
        <v>irn.distn.dpr_.all.all.all.all.all</v>
      </c>
      <c r="H973" s="4" t="s">
        <v>253</v>
      </c>
      <c r="I973" s="4" t="s">
        <v>282</v>
      </c>
      <c r="J973" s="4" t="s">
        <v>18</v>
      </c>
      <c r="K973" s="4"/>
      <c r="L973" s="4"/>
      <c r="M973" s="4"/>
      <c r="N973" s="4" t="s">
        <v>257</v>
      </c>
      <c r="O973" s="4"/>
      <c r="P973" s="4" t="str">
        <f t="shared" si="75"/>
        <v>ely</v>
      </c>
      <c r="Q973" s="4"/>
      <c r="R973" s="4"/>
      <c r="S973" s="4"/>
      <c r="T973" s="4"/>
      <c r="U973" s="4"/>
      <c r="V973" s="6"/>
    </row>
    <row r="974" spans="4:22" x14ac:dyDescent="0.45">
      <c r="D974" s="18" t="s">
        <v>1215</v>
      </c>
      <c r="E974" s="4" t="str">
        <f t="shared" si="77"/>
        <v>irn.distn.dpr.nga</v>
      </c>
      <c r="F974" s="4" t="str">
        <f t="shared" si="72"/>
        <v>N/A</v>
      </c>
      <c r="G974" s="4" t="str">
        <f t="shared" si="74"/>
        <v>irn.distn.dpr_.all.all.all.all.all</v>
      </c>
      <c r="H974" s="4" t="s">
        <v>253</v>
      </c>
      <c r="I974" s="4" t="s">
        <v>282</v>
      </c>
      <c r="J974" s="4" t="s">
        <v>18</v>
      </c>
      <c r="K974" s="4"/>
      <c r="L974" s="4"/>
      <c r="M974" s="4"/>
      <c r="N974" s="4" t="s">
        <v>61</v>
      </c>
      <c r="O974" s="4"/>
      <c r="P974" s="4" t="str">
        <f t="shared" si="75"/>
        <v>nga</v>
      </c>
      <c r="Q974" s="4"/>
      <c r="R974" s="4"/>
      <c r="S974" s="4"/>
      <c r="T974" s="4"/>
      <c r="U974" s="4"/>
      <c r="V974" s="6"/>
    </row>
    <row r="975" spans="4:22" x14ac:dyDescent="0.45">
      <c r="D975" s="18" t="s">
        <v>1216</v>
      </c>
      <c r="E975" s="4" t="str">
        <f t="shared" si="77"/>
        <v>irn.distn.dpr.oil</v>
      </c>
      <c r="F975" s="4" t="str">
        <f t="shared" si="72"/>
        <v>N/A</v>
      </c>
      <c r="G975" s="4" t="str">
        <f t="shared" si="74"/>
        <v>irn.distn.dpr_.all.all.all.all.all</v>
      </c>
      <c r="H975" s="4" t="s">
        <v>253</v>
      </c>
      <c r="I975" s="4" t="s">
        <v>282</v>
      </c>
      <c r="J975" s="4" t="s">
        <v>18</v>
      </c>
      <c r="K975" s="4"/>
      <c r="L975" s="4"/>
      <c r="M975" s="4"/>
      <c r="N975" s="4" t="s">
        <v>62</v>
      </c>
      <c r="O975" s="4"/>
      <c r="P975" s="4" t="str">
        <f t="shared" si="75"/>
        <v>oil</v>
      </c>
      <c r="Q975" s="4"/>
      <c r="R975" s="4"/>
      <c r="S975" s="4"/>
      <c r="T975" s="4"/>
      <c r="U975" s="4"/>
      <c r="V975" s="6"/>
    </row>
    <row r="976" spans="4:22" x14ac:dyDescent="0.45">
      <c r="D976" s="18" t="s">
        <v>1217</v>
      </c>
      <c r="E976" s="4" t="str">
        <f t="shared" si="77"/>
        <v>irn.distn.dpr.gso</v>
      </c>
      <c r="F976" s="4" t="str">
        <f t="shared" si="72"/>
        <v>N/A</v>
      </c>
      <c r="G976" s="4" t="str">
        <f t="shared" si="74"/>
        <v>irn.distn.dpr_.all.all.all.all.all</v>
      </c>
      <c r="H976" s="4" t="s">
        <v>253</v>
      </c>
      <c r="I976" s="4" t="s">
        <v>282</v>
      </c>
      <c r="J976" s="4" t="s">
        <v>18</v>
      </c>
      <c r="K976" s="4"/>
      <c r="L976" s="4"/>
      <c r="M976" s="4"/>
      <c r="N976" s="4" t="s">
        <v>63</v>
      </c>
      <c r="O976" s="4"/>
      <c r="P976" s="4" t="str">
        <f t="shared" si="75"/>
        <v>gso</v>
      </c>
      <c r="Q976" s="4"/>
      <c r="R976" s="4"/>
      <c r="S976" s="4"/>
      <c r="T976" s="4"/>
      <c r="U976" s="4"/>
      <c r="V976" s="6"/>
    </row>
    <row r="977" spans="4:22" x14ac:dyDescent="0.45">
      <c r="D977" s="18" t="s">
        <v>1218</v>
      </c>
      <c r="E977" s="4" t="str">
        <f t="shared" si="77"/>
        <v>irn.distn.dpr.die</v>
      </c>
      <c r="F977" s="4" t="str">
        <f t="shared" si="72"/>
        <v>N/A</v>
      </c>
      <c r="G977" s="4" t="str">
        <f t="shared" si="74"/>
        <v>irn.distn.dpr_.all.all.all.all.all</v>
      </c>
      <c r="H977" s="4" t="s">
        <v>253</v>
      </c>
      <c r="I977" s="4" t="s">
        <v>282</v>
      </c>
      <c r="J977" s="4" t="s">
        <v>18</v>
      </c>
      <c r="K977" s="4"/>
      <c r="L977" s="4"/>
      <c r="M977" s="4"/>
      <c r="N977" s="4" t="s">
        <v>64</v>
      </c>
      <c r="O977" s="4"/>
      <c r="P977" s="4" t="str">
        <f t="shared" si="75"/>
        <v>die</v>
      </c>
      <c r="Q977" s="4"/>
      <c r="R977" s="4"/>
      <c r="S977" s="4"/>
      <c r="T977" s="4"/>
      <c r="U977" s="4"/>
      <c r="V977" s="6"/>
    </row>
    <row r="978" spans="4:22" x14ac:dyDescent="0.45">
      <c r="D978" s="18" t="s">
        <v>1219</v>
      </c>
      <c r="E978" s="4" t="str">
        <f t="shared" si="77"/>
        <v>irn.distn.dpr.ker</v>
      </c>
      <c r="F978" s="4" t="str">
        <f t="shared" si="72"/>
        <v>N/A</v>
      </c>
      <c r="G978" s="4" t="str">
        <f t="shared" si="74"/>
        <v>irn.distn.dpr_.all.all.all.all.all</v>
      </c>
      <c r="H978" s="4" t="s">
        <v>253</v>
      </c>
      <c r="I978" s="4" t="s">
        <v>282</v>
      </c>
      <c r="J978" s="4" t="s">
        <v>18</v>
      </c>
      <c r="K978" s="4"/>
      <c r="L978" s="4"/>
      <c r="M978" s="4"/>
      <c r="N978" s="4" t="s">
        <v>66</v>
      </c>
      <c r="O978" s="4"/>
      <c r="P978" s="4" t="str">
        <f t="shared" si="75"/>
        <v>ker</v>
      </c>
      <c r="Q978" s="4"/>
      <c r="R978" s="4"/>
      <c r="S978" s="4"/>
      <c r="T978" s="4"/>
      <c r="U978" s="4"/>
      <c r="V978" s="6"/>
    </row>
    <row r="979" spans="4:22" x14ac:dyDescent="0.45">
      <c r="D979" s="18" t="s">
        <v>1220</v>
      </c>
      <c r="E979" s="4" t="str">
        <f t="shared" si="77"/>
        <v>irn.distn.dpr.lpg</v>
      </c>
      <c r="F979" s="4" t="str">
        <f t="shared" si="72"/>
        <v>N/A</v>
      </c>
      <c r="G979" s="4" t="str">
        <f t="shared" si="74"/>
        <v>irn.distn.dpr_.all.all.all.all.all</v>
      </c>
      <c r="H979" s="4" t="s">
        <v>253</v>
      </c>
      <c r="I979" s="4" t="s">
        <v>282</v>
      </c>
      <c r="J979" s="4" t="s">
        <v>18</v>
      </c>
      <c r="K979" s="4"/>
      <c r="L979" s="4"/>
      <c r="M979" s="4"/>
      <c r="N979" s="4" t="s">
        <v>65</v>
      </c>
      <c r="O979" s="4"/>
      <c r="P979" s="4" t="str">
        <f t="shared" si="75"/>
        <v>lpg</v>
      </c>
      <c r="Q979" s="4"/>
      <c r="R979" s="4"/>
      <c r="S979" s="4"/>
      <c r="T979" s="4"/>
      <c r="U979" s="4"/>
      <c r="V979" s="6"/>
    </row>
    <row r="980" spans="4:22" x14ac:dyDescent="0.45">
      <c r="D980" s="18" t="s">
        <v>1221</v>
      </c>
      <c r="E980" s="4" t="str">
        <f t="shared" si="77"/>
        <v>irn.distn.dpr.app</v>
      </c>
      <c r="F980" s="4" t="str">
        <f t="shared" si="72"/>
        <v>N/A</v>
      </c>
      <c r="G980" s="4" t="str">
        <f t="shared" si="74"/>
        <v>irn.distn.dpr_.all.all.all.all.all</v>
      </c>
      <c r="H980" s="4" t="s">
        <v>253</v>
      </c>
      <c r="I980" s="4" t="s">
        <v>282</v>
      </c>
      <c r="J980" s="4" t="s">
        <v>18</v>
      </c>
      <c r="K980" s="4"/>
      <c r="L980" s="4"/>
      <c r="M980" s="4"/>
      <c r="N980" s="4" t="s">
        <v>259</v>
      </c>
      <c r="O980" s="4"/>
      <c r="P980" s="4" t="str">
        <f t="shared" si="75"/>
        <v>app</v>
      </c>
      <c r="Q980" s="4"/>
      <c r="R980" s="4"/>
      <c r="S980" s="4"/>
      <c r="T980" s="4"/>
      <c r="U980" s="4" t="str">
        <f t="shared" ref="U980:U1043" si="78">R980&amp;T980&amp;S980</f>
        <v/>
      </c>
      <c r="V980" s="6"/>
    </row>
    <row r="981" spans="4:22" x14ac:dyDescent="0.45">
      <c r="D981" s="18" t="s">
        <v>1222</v>
      </c>
      <c r="E981" s="4" t="str">
        <f t="shared" si="77"/>
        <v>irn.distn.dpr.che</v>
      </c>
      <c r="F981" s="4" t="str">
        <f t="shared" si="72"/>
        <v>N/A</v>
      </c>
      <c r="G981" s="4" t="str">
        <f t="shared" si="74"/>
        <v>irn.distn.dpr_.all.all.all.all.all</v>
      </c>
      <c r="H981" s="4" t="s">
        <v>253</v>
      </c>
      <c r="I981" s="4" t="s">
        <v>282</v>
      </c>
      <c r="J981" s="4" t="s">
        <v>18</v>
      </c>
      <c r="K981" s="4"/>
      <c r="L981" s="4"/>
      <c r="M981" s="4"/>
      <c r="N981" s="4" t="s">
        <v>260</v>
      </c>
      <c r="O981" s="4"/>
      <c r="P981" s="4" t="str">
        <f t="shared" si="75"/>
        <v>che</v>
      </c>
      <c r="Q981" s="4"/>
      <c r="R981" s="4"/>
      <c r="S981" s="4"/>
      <c r="T981" s="4"/>
      <c r="U981" s="4" t="str">
        <f t="shared" si="78"/>
        <v/>
      </c>
      <c r="V981" s="6"/>
    </row>
    <row r="982" spans="4:22" x14ac:dyDescent="0.45">
      <c r="D982" s="18" t="s">
        <v>1223</v>
      </c>
      <c r="E982" s="4" t="str">
        <f t="shared" si="77"/>
        <v>irn.distn.dpr.clo</v>
      </c>
      <c r="F982" s="4" t="str">
        <f t="shared" si="72"/>
        <v>N/A</v>
      </c>
      <c r="G982" s="4" t="str">
        <f t="shared" ref="G982:G1089" si="79">IF(D982="","",LOWER(_Country_code)&amp;"."&amp;H982&amp;"."&amp;IF(I982="","all",I982)&amp;"_"&amp;J982&amp;"."&amp;IF(R982="","all",R982)&amp;"."&amp;IF(Q982="","all",Q982)&amp;"."&amp;IF(U982="","all",U982)&amp;"."&amp;IF(K982="","all",K982)&amp;"."&amp;IF(V982="","all",V982))</f>
        <v>irn.distn.dpr_.all.all.all.all.all</v>
      </c>
      <c r="H982" s="4" t="s">
        <v>253</v>
      </c>
      <c r="I982" s="4" t="s">
        <v>282</v>
      </c>
      <c r="J982" s="4" t="s">
        <v>18</v>
      </c>
      <c r="K982" s="4"/>
      <c r="L982" s="4"/>
      <c r="M982" s="4"/>
      <c r="N982" s="4" t="s">
        <v>261</v>
      </c>
      <c r="O982" s="4"/>
      <c r="P982" s="4" t="str">
        <f t="shared" si="75"/>
        <v>clo</v>
      </c>
      <c r="Q982" s="4"/>
      <c r="R982" s="4"/>
      <c r="S982" s="4"/>
      <c r="T982" s="4"/>
      <c r="U982" s="4" t="str">
        <f t="shared" si="78"/>
        <v/>
      </c>
      <c r="V982" s="6"/>
    </row>
    <row r="983" spans="4:22" x14ac:dyDescent="0.45">
      <c r="D983" s="18" t="s">
        <v>1224</v>
      </c>
      <c r="E983" s="4" t="str">
        <f t="shared" si="77"/>
        <v>irn.distn.dpr.com</v>
      </c>
      <c r="F983" s="4" t="str">
        <f t="shared" si="72"/>
        <v>N/A</v>
      </c>
      <c r="G983" s="4" t="str">
        <f t="shared" si="79"/>
        <v>irn.distn.dpr_.all.all.all.all.all</v>
      </c>
      <c r="H983" s="4" t="s">
        <v>253</v>
      </c>
      <c r="I983" s="4" t="s">
        <v>282</v>
      </c>
      <c r="J983" s="4" t="s">
        <v>18</v>
      </c>
      <c r="K983" s="4"/>
      <c r="L983" s="4"/>
      <c r="M983" s="4"/>
      <c r="N983" s="4" t="s">
        <v>262</v>
      </c>
      <c r="O983" s="4"/>
      <c r="P983" s="4" t="str">
        <f t="shared" si="75"/>
        <v>com</v>
      </c>
      <c r="Q983" s="4"/>
      <c r="R983" s="4"/>
      <c r="S983" s="4"/>
      <c r="T983" s="4"/>
      <c r="U983" s="4" t="str">
        <f t="shared" si="78"/>
        <v/>
      </c>
      <c r="V983" s="6"/>
    </row>
    <row r="984" spans="4:22" x14ac:dyDescent="0.45">
      <c r="D984" s="18" t="s">
        <v>1225</v>
      </c>
      <c r="E984" s="4" t="str">
        <f t="shared" si="77"/>
        <v>irn.distn.dpr.edu</v>
      </c>
      <c r="F984" s="4" t="str">
        <f t="shared" si="72"/>
        <v>N/A</v>
      </c>
      <c r="G984" s="4" t="str">
        <f t="shared" si="79"/>
        <v>irn.distn.dpr_.all.all.all.all.all</v>
      </c>
      <c r="H984" s="4" t="s">
        <v>253</v>
      </c>
      <c r="I984" s="4" t="s">
        <v>282</v>
      </c>
      <c r="J984" s="4" t="s">
        <v>18</v>
      </c>
      <c r="K984" s="4"/>
      <c r="L984" s="4"/>
      <c r="M984" s="4"/>
      <c r="N984" s="4" t="s">
        <v>263</v>
      </c>
      <c r="O984" s="4"/>
      <c r="P984" s="4" t="str">
        <f t="shared" si="75"/>
        <v>edu</v>
      </c>
      <c r="Q984" s="4"/>
      <c r="R984" s="4"/>
      <c r="S984" s="4"/>
      <c r="T984" s="4"/>
      <c r="U984" s="4" t="str">
        <f t="shared" si="78"/>
        <v/>
      </c>
      <c r="V984" s="6"/>
    </row>
    <row r="985" spans="4:22" x14ac:dyDescent="0.45">
      <c r="D985" s="18" t="s">
        <v>1226</v>
      </c>
      <c r="E985" s="4" t="str">
        <f t="shared" si="77"/>
        <v>irn.distn.dpr.food</v>
      </c>
      <c r="F985" s="4" t="str">
        <f t="shared" si="72"/>
        <v>N/A</v>
      </c>
      <c r="G985" s="4" t="str">
        <f t="shared" si="79"/>
        <v>irn.distn.dpr_.all.all.all.all.all</v>
      </c>
      <c r="H985" s="4" t="s">
        <v>253</v>
      </c>
      <c r="I985" s="4" t="s">
        <v>282</v>
      </c>
      <c r="J985" s="4" t="s">
        <v>18</v>
      </c>
      <c r="K985" s="4"/>
      <c r="L985" s="4"/>
      <c r="M985" s="4"/>
      <c r="N985" s="4" t="s">
        <v>264</v>
      </c>
      <c r="O985" s="4"/>
      <c r="P985" s="4" t="str">
        <f t="shared" si="75"/>
        <v>food</v>
      </c>
      <c r="Q985" s="4"/>
      <c r="R985" s="4"/>
      <c r="S985" s="4"/>
      <c r="T985" s="4"/>
      <c r="U985" s="4" t="str">
        <f t="shared" si="78"/>
        <v/>
      </c>
      <c r="V985" s="6"/>
    </row>
    <row r="986" spans="4:22" x14ac:dyDescent="0.45">
      <c r="D986" s="18" t="s">
        <v>1227</v>
      </c>
      <c r="E986" s="4" t="str">
        <f t="shared" si="77"/>
        <v>irn.distn.dpr.hea</v>
      </c>
      <c r="F986" s="4" t="str">
        <f t="shared" si="72"/>
        <v>N/A</v>
      </c>
      <c r="G986" s="4" t="str">
        <f t="shared" si="79"/>
        <v>irn.distn.dpr_.all.all.all.all.all</v>
      </c>
      <c r="H986" s="4" t="s">
        <v>253</v>
      </c>
      <c r="I986" s="4" t="s">
        <v>282</v>
      </c>
      <c r="J986" s="4" t="s">
        <v>18</v>
      </c>
      <c r="K986" s="4"/>
      <c r="L986" s="4"/>
      <c r="M986" s="4"/>
      <c r="N986" s="4" t="s">
        <v>265</v>
      </c>
      <c r="O986" s="4"/>
      <c r="P986" s="4" t="str">
        <f t="shared" si="75"/>
        <v>hea</v>
      </c>
      <c r="Q986" s="4"/>
      <c r="R986" s="4"/>
      <c r="S986" s="4"/>
      <c r="T986" s="4"/>
      <c r="U986" s="4" t="str">
        <f t="shared" si="78"/>
        <v/>
      </c>
      <c r="V986" s="6"/>
    </row>
    <row r="987" spans="4:22" x14ac:dyDescent="0.45">
      <c r="D987" s="18" t="s">
        <v>1228</v>
      </c>
      <c r="E987" s="4" t="str">
        <f t="shared" si="77"/>
        <v>irn.distn.dpr.hou</v>
      </c>
      <c r="F987" s="4" t="str">
        <f t="shared" si="72"/>
        <v>N/A</v>
      </c>
      <c r="G987" s="4" t="str">
        <f t="shared" si="79"/>
        <v>irn.distn.dpr_.all.all.all.all.all</v>
      </c>
      <c r="H987" s="4" t="s">
        <v>253</v>
      </c>
      <c r="I987" s="4" t="s">
        <v>282</v>
      </c>
      <c r="J987" s="4" t="s">
        <v>18</v>
      </c>
      <c r="K987" s="4"/>
      <c r="L987" s="4"/>
      <c r="M987" s="4"/>
      <c r="N987" s="4" t="s">
        <v>266</v>
      </c>
      <c r="O987" s="4"/>
      <c r="P987" s="4" t="str">
        <f t="shared" si="75"/>
        <v>hou</v>
      </c>
      <c r="Q987" s="4"/>
      <c r="R987" s="4"/>
      <c r="S987" s="4"/>
      <c r="T987" s="4"/>
      <c r="U987" s="4" t="str">
        <f t="shared" si="78"/>
        <v/>
      </c>
      <c r="V987" s="6"/>
    </row>
    <row r="988" spans="4:22" x14ac:dyDescent="0.45">
      <c r="D988" s="18" t="s">
        <v>1229</v>
      </c>
      <c r="E988" s="4" t="str">
        <f t="shared" si="77"/>
        <v>irn.distn.dpr.oth</v>
      </c>
      <c r="F988" s="4" t="str">
        <f t="shared" si="72"/>
        <v>N/A</v>
      </c>
      <c r="G988" s="4" t="str">
        <f t="shared" si="79"/>
        <v>irn.distn.dpr_.all.all.all.all.all</v>
      </c>
      <c r="H988" s="4" t="s">
        <v>253</v>
      </c>
      <c r="I988" s="4" t="s">
        <v>282</v>
      </c>
      <c r="J988" s="4" t="s">
        <v>18</v>
      </c>
      <c r="K988" s="4"/>
      <c r="L988" s="4"/>
      <c r="M988" s="4"/>
      <c r="N988" s="4" t="s">
        <v>30</v>
      </c>
      <c r="O988" s="4"/>
      <c r="P988" s="4" t="str">
        <f t="shared" si="75"/>
        <v>oth</v>
      </c>
      <c r="Q988" s="4"/>
      <c r="R988" s="4"/>
      <c r="S988" s="4"/>
      <c r="T988" s="4"/>
      <c r="U988" s="4" t="str">
        <f t="shared" si="78"/>
        <v/>
      </c>
      <c r="V988" s="6"/>
    </row>
    <row r="989" spans="4:22" x14ac:dyDescent="0.45">
      <c r="D989" s="18" t="s">
        <v>1230</v>
      </c>
      <c r="E989" s="4" t="str">
        <f t="shared" si="77"/>
        <v>irn.distn.dpr.pap</v>
      </c>
      <c r="F989" s="4" t="str">
        <f t="shared" si="72"/>
        <v>N/A</v>
      </c>
      <c r="G989" s="4" t="str">
        <f t="shared" si="79"/>
        <v>irn.distn.dpr_.all.all.all.all.all</v>
      </c>
      <c r="H989" s="4" t="s">
        <v>253</v>
      </c>
      <c r="I989" s="4" t="s">
        <v>282</v>
      </c>
      <c r="J989" s="4" t="s">
        <v>18</v>
      </c>
      <c r="K989" s="4"/>
      <c r="L989" s="4"/>
      <c r="M989" s="4"/>
      <c r="N989" s="4" t="s">
        <v>267</v>
      </c>
      <c r="O989" s="4"/>
      <c r="P989" s="4" t="str">
        <f t="shared" si="75"/>
        <v>pap</v>
      </c>
      <c r="Q989" s="4"/>
      <c r="R989" s="4"/>
      <c r="S989" s="4"/>
      <c r="T989" s="4"/>
      <c r="U989" s="4" t="str">
        <f t="shared" si="78"/>
        <v/>
      </c>
      <c r="V989" s="6"/>
    </row>
    <row r="990" spans="4:22" x14ac:dyDescent="0.45">
      <c r="D990" s="18" t="s">
        <v>1231</v>
      </c>
      <c r="E990" s="4" t="str">
        <f t="shared" si="77"/>
        <v>irn.distn.dpr.pha</v>
      </c>
      <c r="F990" s="4" t="str">
        <f t="shared" si="72"/>
        <v>N/A</v>
      </c>
      <c r="G990" s="4" t="str">
        <f t="shared" si="79"/>
        <v>irn.distn.dpr_.all.all.all.all.all</v>
      </c>
      <c r="H990" s="4" t="s">
        <v>253</v>
      </c>
      <c r="I990" s="4" t="s">
        <v>282</v>
      </c>
      <c r="J990" s="4" t="s">
        <v>18</v>
      </c>
      <c r="K990" s="4"/>
      <c r="L990" s="4"/>
      <c r="M990" s="4"/>
      <c r="N990" s="4" t="s">
        <v>268</v>
      </c>
      <c r="O990" s="4"/>
      <c r="P990" s="4" t="str">
        <f t="shared" si="75"/>
        <v>pha</v>
      </c>
      <c r="Q990" s="4"/>
      <c r="R990" s="4"/>
      <c r="S990" s="4"/>
      <c r="T990" s="4"/>
      <c r="U990" s="4" t="str">
        <f t="shared" si="78"/>
        <v/>
      </c>
      <c r="V990" s="6"/>
    </row>
    <row r="991" spans="4:22" x14ac:dyDescent="0.45">
      <c r="D991" s="18" t="s">
        <v>1232</v>
      </c>
      <c r="E991" s="4" t="str">
        <f t="shared" si="77"/>
        <v>irn.distn.dpr.ret</v>
      </c>
      <c r="F991" s="4" t="str">
        <f t="shared" si="72"/>
        <v>N/A</v>
      </c>
      <c r="G991" s="4" t="str">
        <f t="shared" si="79"/>
        <v>irn.distn.dpr_.all.all.all.all.all</v>
      </c>
      <c r="H991" s="4" t="s">
        <v>253</v>
      </c>
      <c r="I991" s="4" t="s">
        <v>282</v>
      </c>
      <c r="J991" s="4" t="s">
        <v>18</v>
      </c>
      <c r="K991" s="4"/>
      <c r="L991" s="4"/>
      <c r="M991" s="4"/>
      <c r="N991" s="4" t="s">
        <v>269</v>
      </c>
      <c r="O991" s="4"/>
      <c r="P991" s="4" t="str">
        <f t="shared" si="75"/>
        <v>ret</v>
      </c>
      <c r="Q991" s="4"/>
      <c r="R991" s="4"/>
      <c r="S991" s="4"/>
      <c r="T991" s="4"/>
      <c r="U991" s="4" t="str">
        <f t="shared" si="78"/>
        <v/>
      </c>
      <c r="V991" s="6"/>
    </row>
    <row r="992" spans="4:22" x14ac:dyDescent="0.45">
      <c r="D992" s="18" t="s">
        <v>1233</v>
      </c>
      <c r="E992" s="4" t="str">
        <f t="shared" si="77"/>
        <v>irn.distn.dpr.teq</v>
      </c>
      <c r="F992" s="4" t="str">
        <f t="shared" si="72"/>
        <v>N/A</v>
      </c>
      <c r="G992" s="4" t="str">
        <f t="shared" si="79"/>
        <v>irn.distn.dpr_.all.all.all.all.all</v>
      </c>
      <c r="H992" s="4" t="s">
        <v>253</v>
      </c>
      <c r="I992" s="4" t="s">
        <v>282</v>
      </c>
      <c r="J992" s="4" t="s">
        <v>18</v>
      </c>
      <c r="K992" s="4"/>
      <c r="L992" s="4"/>
      <c r="M992" s="4"/>
      <c r="N992" s="4" t="s">
        <v>270</v>
      </c>
      <c r="O992" s="4"/>
      <c r="P992" s="4" t="str">
        <f t="shared" si="75"/>
        <v>teq</v>
      </c>
      <c r="Q992" s="4"/>
      <c r="R992" s="4"/>
      <c r="S992" s="4"/>
      <c r="T992" s="4"/>
      <c r="U992" s="4" t="str">
        <f t="shared" si="78"/>
        <v/>
      </c>
      <c r="V992" s="6"/>
    </row>
    <row r="993" spans="4:22" x14ac:dyDescent="0.45">
      <c r="D993" s="18" t="s">
        <v>1234</v>
      </c>
      <c r="E993" s="4" t="str">
        <f t="shared" si="77"/>
        <v>irn.distn.dpr.tpu</v>
      </c>
      <c r="F993" s="4" t="str">
        <f t="shared" si="72"/>
        <v>N/A</v>
      </c>
      <c r="G993" s="4" t="str">
        <f t="shared" si="79"/>
        <v>irn.distn.dpr_.all.all.all.all.all</v>
      </c>
      <c r="H993" s="4" t="s">
        <v>253</v>
      </c>
      <c r="I993" s="4" t="s">
        <v>282</v>
      </c>
      <c r="J993" s="4" t="s">
        <v>18</v>
      </c>
      <c r="K993" s="4"/>
      <c r="L993" s="4"/>
      <c r="M993" s="4"/>
      <c r="N993" s="4" t="s">
        <v>271</v>
      </c>
      <c r="O993" s="4"/>
      <c r="P993" s="4" t="str">
        <f t="shared" si="75"/>
        <v>tpu</v>
      </c>
      <c r="Q993" s="4"/>
      <c r="R993" s="4"/>
      <c r="S993" s="4"/>
      <c r="T993" s="4"/>
      <c r="U993" s="4" t="str">
        <f t="shared" si="78"/>
        <v/>
      </c>
      <c r="V993" s="6"/>
    </row>
    <row r="994" spans="4:22" x14ac:dyDescent="0.45">
      <c r="D994" s="18" t="s">
        <v>1235</v>
      </c>
      <c r="E994" s="4" t="str">
        <f>LOWER(_Country_code)&amp;".distn.pit.tot.dec.ove"</f>
        <v>irn.distn.pit.tot.dec.ove</v>
      </c>
      <c r="F994" s="4" t="str">
        <f t="shared" si="72"/>
        <v>N/A</v>
      </c>
      <c r="G994" s="4" t="str">
        <f t="shared" si="79"/>
        <v>irn.distn.pit_.all.all.ove.dec.all</v>
      </c>
      <c r="H994" s="4" t="s">
        <v>253</v>
      </c>
      <c r="I994" s="4" t="s">
        <v>34</v>
      </c>
      <c r="J994" s="4" t="s">
        <v>18</v>
      </c>
      <c r="K994" s="4" t="str">
        <f t="shared" si="73"/>
        <v>dec</v>
      </c>
      <c r="L994" s="4"/>
      <c r="M994" s="4"/>
      <c r="N994" s="4" t="s">
        <v>37</v>
      </c>
      <c r="O994" s="4"/>
      <c r="P994" s="4" t="str">
        <f t="shared" ref="P994:P1101" si="80">L994&amp;IF(N994="",M994,N994)&amp;O994</f>
        <v>tot</v>
      </c>
      <c r="Q994" s="4"/>
      <c r="R994" s="4"/>
      <c r="S994" s="4"/>
      <c r="T994" s="4" t="s">
        <v>256</v>
      </c>
      <c r="U994" s="4" t="str">
        <f t="shared" si="78"/>
        <v>ove</v>
      </c>
      <c r="V994" s="6"/>
    </row>
    <row r="995" spans="4:22" x14ac:dyDescent="0.45">
      <c r="D995" s="18" t="s">
        <v>1236</v>
      </c>
      <c r="E995" s="4" t="str">
        <f>LOWER(_Country_code)&amp;".distn.pui.tot.dec.ove"</f>
        <v>irn.distn.pui.tot.dec.ove</v>
      </c>
      <c r="F995" s="4" t="str">
        <f t="shared" si="72"/>
        <v>N/A</v>
      </c>
      <c r="G995" s="4" t="str">
        <f t="shared" si="79"/>
        <v>irn.distn.pui_.all.all.ove.dec.all</v>
      </c>
      <c r="H995" s="4" t="s">
        <v>253</v>
      </c>
      <c r="I995" s="4" t="s">
        <v>283</v>
      </c>
      <c r="J995" s="4" t="s">
        <v>18</v>
      </c>
      <c r="K995" s="4" t="str">
        <f t="shared" si="73"/>
        <v>dec</v>
      </c>
      <c r="L995" s="4"/>
      <c r="M995" s="4"/>
      <c r="N995" s="4" t="s">
        <v>37</v>
      </c>
      <c r="O995" s="4"/>
      <c r="P995" s="4" t="str">
        <f t="shared" si="80"/>
        <v>tot</v>
      </c>
      <c r="Q995" s="4"/>
      <c r="R995" s="4"/>
      <c r="S995" s="4"/>
      <c r="T995" s="4" t="s">
        <v>256</v>
      </c>
      <c r="U995" s="4" t="str">
        <f t="shared" si="78"/>
        <v>ove</v>
      </c>
      <c r="V995" s="6"/>
    </row>
    <row r="996" spans="4:22" x14ac:dyDescent="0.45">
      <c r="D996" s="18" t="s">
        <v>1237</v>
      </c>
      <c r="E996" s="4" t="str">
        <f>LOWER(_Country_code)&amp;".distn.cts.tot.dec.ove"</f>
        <v>irn.distn.cts.tot.dec.ove</v>
      </c>
      <c r="F996" s="4" t="str">
        <f t="shared" si="72"/>
        <v>N/A</v>
      </c>
      <c r="G996" s="4" t="str">
        <f t="shared" si="79"/>
        <v>irn.distn.cts_.all.all.ove.dec.all</v>
      </c>
      <c r="H996" s="4" t="s">
        <v>253</v>
      </c>
      <c r="I996" s="4" t="s">
        <v>284</v>
      </c>
      <c r="J996" s="4" t="s">
        <v>18</v>
      </c>
      <c r="K996" s="4" t="str">
        <f t="shared" si="73"/>
        <v>dec</v>
      </c>
      <c r="L996" s="4"/>
      <c r="M996" s="4"/>
      <c r="N996" s="4" t="s">
        <v>37</v>
      </c>
      <c r="O996" s="4"/>
      <c r="P996" s="4" t="str">
        <f t="shared" si="80"/>
        <v>tot</v>
      </c>
      <c r="Q996" s="4"/>
      <c r="R996" s="4"/>
      <c r="S996" s="4"/>
      <c r="T996" s="4" t="s">
        <v>256</v>
      </c>
      <c r="U996" s="4" t="str">
        <f t="shared" si="78"/>
        <v>ove</v>
      </c>
      <c r="V996" s="6"/>
    </row>
    <row r="997" spans="4:22" x14ac:dyDescent="0.45">
      <c r="D997" s="18" t="s">
        <v>1238</v>
      </c>
      <c r="E997" s="4" t="str">
        <f>LOWER(_Country_code)&amp;".distn.tgt.tot.dec.ove"</f>
        <v>irn.distn.tgt.tot.dec.ove</v>
      </c>
      <c r="F997" s="4" t="str">
        <f t="shared" si="72"/>
        <v>N/A</v>
      </c>
      <c r="G997" s="4" t="str">
        <f t="shared" si="79"/>
        <v>irn.distn.tgt_.all.all.ove.dec.all</v>
      </c>
      <c r="H997" s="4" t="s">
        <v>253</v>
      </c>
      <c r="I997" s="4" t="s">
        <v>285</v>
      </c>
      <c r="J997" s="4" t="s">
        <v>18</v>
      </c>
      <c r="K997" s="4" t="str">
        <f t="shared" si="73"/>
        <v>dec</v>
      </c>
      <c r="L997" s="4"/>
      <c r="M997" s="4"/>
      <c r="N997" s="4" t="s">
        <v>37</v>
      </c>
      <c r="O997" s="4"/>
      <c r="P997" s="4" t="str">
        <f t="shared" si="80"/>
        <v>tot</v>
      </c>
      <c r="Q997" s="4"/>
      <c r="R997" s="4"/>
      <c r="S997" s="4"/>
      <c r="T997" s="4" t="s">
        <v>256</v>
      </c>
      <c r="U997" s="4" t="str">
        <f t="shared" si="78"/>
        <v>ove</v>
      </c>
      <c r="V997" s="6"/>
    </row>
    <row r="998" spans="4:22" x14ac:dyDescent="0.45">
      <c r="D998" s="18" t="s">
        <v>1239</v>
      </c>
      <c r="E998" s="4" t="str">
        <f>LOWER(_Country_code)&amp;".distn.tef.tot.dec.ove"</f>
        <v>irn.distn.tef.tot.dec.ove</v>
      </c>
      <c r="F998" s="4" t="str">
        <f t="shared" si="72"/>
        <v>N/A</v>
      </c>
      <c r="G998" s="4" t="str">
        <f t="shared" si="79"/>
        <v>irn.distn.tef_.all.all.ove.dec.all</v>
      </c>
      <c r="H998" s="4" t="s">
        <v>253</v>
      </c>
      <c r="I998" s="4" t="s">
        <v>254</v>
      </c>
      <c r="J998" s="4" t="s">
        <v>18</v>
      </c>
      <c r="K998" s="4" t="str">
        <f t="shared" si="73"/>
        <v>dec</v>
      </c>
      <c r="L998" s="4"/>
      <c r="M998" s="4"/>
      <c r="N998" s="4" t="s">
        <v>37</v>
      </c>
      <c r="O998" s="4"/>
      <c r="P998" s="4" t="str">
        <f t="shared" si="80"/>
        <v>tot</v>
      </c>
      <c r="Q998" s="4"/>
      <c r="R998" s="4"/>
      <c r="S998" s="4"/>
      <c r="T998" s="4" t="s">
        <v>256</v>
      </c>
      <c r="U998" s="4" t="str">
        <f t="shared" si="78"/>
        <v>ove</v>
      </c>
      <c r="V998" s="6"/>
    </row>
    <row r="999" spans="4:22" x14ac:dyDescent="0.45">
      <c r="D999" s="18" t="s">
        <v>1240</v>
      </c>
      <c r="E999" s="4" t="s">
        <v>286</v>
      </c>
      <c r="F999" s="4" t="str">
        <f t="shared" si="72"/>
        <v>N/A</v>
      </c>
      <c r="G999" s="4" t="str">
        <f t="shared" si="79"/>
        <v>irn..all_.all.all.year.all.all</v>
      </c>
      <c r="H999" s="4"/>
      <c r="I999" s="4"/>
      <c r="J999" s="4" t="s">
        <v>18</v>
      </c>
      <c r="K999" s="4"/>
      <c r="L999" s="4"/>
      <c r="M999" s="4"/>
      <c r="N999" s="4"/>
      <c r="O999" s="4"/>
      <c r="P999" s="4" t="str">
        <f t="shared" si="80"/>
        <v/>
      </c>
      <c r="Q999" s="4"/>
      <c r="R999" s="4"/>
      <c r="S999" s="4"/>
      <c r="T999" s="4" t="s">
        <v>287</v>
      </c>
      <c r="U999" s="4" t="str">
        <f t="shared" si="78"/>
        <v>year</v>
      </c>
      <c r="V999" s="10"/>
    </row>
    <row r="1000" spans="4:22" x14ac:dyDescent="0.45">
      <c r="D1000" s="18" t="s">
        <v>1241</v>
      </c>
      <c r="E1000" s="4" t="s">
        <v>288</v>
      </c>
      <c r="F1000" s="4" t="str">
        <f t="shared" si="72"/>
        <v>N/A</v>
      </c>
      <c r="G1000" s="4" t="str">
        <f t="shared" si="79"/>
        <v>irn..all_.all.all.stat.all.all</v>
      </c>
      <c r="H1000" s="4"/>
      <c r="I1000" s="4"/>
      <c r="J1000" s="4" t="s">
        <v>18</v>
      </c>
      <c r="K1000" s="4"/>
      <c r="L1000" s="4"/>
      <c r="M1000" s="4"/>
      <c r="N1000" s="4"/>
      <c r="O1000" s="4"/>
      <c r="P1000" s="4" t="str">
        <f t="shared" si="80"/>
        <v/>
      </c>
      <c r="Q1000" s="4"/>
      <c r="R1000" s="4"/>
      <c r="S1000" s="4"/>
      <c r="T1000" s="4" t="s">
        <v>289</v>
      </c>
      <c r="U1000" s="4" t="str">
        <f t="shared" si="78"/>
        <v>stat</v>
      </c>
      <c r="V1000" s="10"/>
    </row>
    <row r="1001" spans="4:22" x14ac:dyDescent="0.45">
      <c r="D1001" s="2"/>
      <c r="E1001" s="32"/>
      <c r="F1001" s="32" t="s">
        <v>252</v>
      </c>
      <c r="G1001" s="32" t="str">
        <f t="shared" si="79"/>
        <v/>
      </c>
      <c r="H1001" s="32" t="s">
        <v>18</v>
      </c>
      <c r="I1001" s="32"/>
      <c r="J1001" s="32" t="s">
        <v>18</v>
      </c>
      <c r="K1001" s="32"/>
      <c r="L1001" s="32"/>
      <c r="M1001" s="32"/>
      <c r="N1001" s="32"/>
      <c r="O1001" s="32"/>
      <c r="P1001" s="32" t="str">
        <f t="shared" si="80"/>
        <v/>
      </c>
      <c r="Q1001" s="32"/>
      <c r="R1001" s="32"/>
      <c r="S1001" s="32"/>
      <c r="T1001" s="32"/>
      <c r="U1001" s="32" t="str">
        <f t="shared" si="78"/>
        <v/>
      </c>
      <c r="V1001" s="33"/>
    </row>
    <row r="1002" spans="4:22" x14ac:dyDescent="0.45">
      <c r="D1002" s="18" t="s">
        <v>1242</v>
      </c>
      <c r="E1002" s="4" t="str">
        <f>LOWER(_Country_code)&amp;".distn.pit.tot.dec.ove.mean"</f>
        <v>irn.distn.pit.tot.dec.ove.mean</v>
      </c>
      <c r="F1002" s="4" t="s">
        <v>290</v>
      </c>
      <c r="G1002" s="4" t="str">
        <f t="shared" si="79"/>
        <v>irn.distn.pit_.all.all.all.dec.all</v>
      </c>
      <c r="H1002" s="4" t="s">
        <v>253</v>
      </c>
      <c r="I1002" s="4" t="s">
        <v>34</v>
      </c>
      <c r="J1002" s="4"/>
      <c r="K1002" s="4" t="str">
        <f t="shared" ref="K1002:K1016" si="81">"dec"</f>
        <v>dec</v>
      </c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10"/>
    </row>
    <row r="1003" spans="4:22" x14ac:dyDescent="0.45">
      <c r="D1003" s="18" t="s">
        <v>1243</v>
      </c>
      <c r="E1003" s="4" t="str">
        <f>LOWER(_Country_code)&amp;".distn.pui.tot.dec.ove.mean"</f>
        <v>irn.distn.pui.tot.dec.ove.mean</v>
      </c>
      <c r="F1003" s="4" t="s">
        <v>290</v>
      </c>
      <c r="G1003" s="4" t="str">
        <f t="shared" si="79"/>
        <v>irn.distn.pui_.all.all.all.dec.all</v>
      </c>
      <c r="H1003" s="4" t="s">
        <v>253</v>
      </c>
      <c r="I1003" s="4" t="s">
        <v>283</v>
      </c>
      <c r="J1003" s="4"/>
      <c r="K1003" s="4" t="str">
        <f t="shared" si="81"/>
        <v>dec</v>
      </c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10"/>
    </row>
    <row r="1004" spans="4:22" x14ac:dyDescent="0.45">
      <c r="D1004" s="18" t="s">
        <v>1244</v>
      </c>
      <c r="E1004" s="4" t="str">
        <f>LOWER(_Country_code)&amp;"distn.cts.tot.dec.ove.mean"</f>
        <v>irndistn.cts.tot.dec.ove.mean</v>
      </c>
      <c r="F1004" s="4" t="s">
        <v>290</v>
      </c>
      <c r="G1004" s="4" t="str">
        <f t="shared" si="79"/>
        <v>irn.distn.cts_.all.all.all.dec.all</v>
      </c>
      <c r="H1004" s="4" t="s">
        <v>253</v>
      </c>
      <c r="I1004" s="4" t="s">
        <v>284</v>
      </c>
      <c r="J1004" s="4"/>
      <c r="K1004" s="4" t="str">
        <f t="shared" si="81"/>
        <v>dec</v>
      </c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10"/>
    </row>
    <row r="1005" spans="4:22" x14ac:dyDescent="0.45">
      <c r="D1005" s="18" t="s">
        <v>1245</v>
      </c>
      <c r="E1005" s="4" t="str">
        <f>LOWER(_Country_code)&amp;".distn.tgt.tot.dec.ove.mean"</f>
        <v>irn.distn.tgt.tot.dec.ove.mean</v>
      </c>
      <c r="F1005" s="4" t="s">
        <v>290</v>
      </c>
      <c r="G1005" s="4" t="str">
        <f t="shared" si="79"/>
        <v>irn.distn.tgt_.all.all.all.dec.all</v>
      </c>
      <c r="H1005" s="4" t="s">
        <v>253</v>
      </c>
      <c r="I1005" s="4" t="s">
        <v>285</v>
      </c>
      <c r="J1005" s="4"/>
      <c r="K1005" s="4" t="str">
        <f t="shared" si="81"/>
        <v>dec</v>
      </c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10"/>
    </row>
    <row r="1006" spans="4:22" x14ac:dyDescent="0.45">
      <c r="D1006" s="18" t="s">
        <v>1246</v>
      </c>
      <c r="E1006" s="4" t="str">
        <f>LOWER(_Country_code)&amp;".distn.rec.tot.dec.ove.mean"</f>
        <v>irn.distn.rec.tot.dec.ove.mean</v>
      </c>
      <c r="F1006" s="4" t="s">
        <v>290</v>
      </c>
      <c r="G1006" s="4" t="str">
        <f t="shared" si="79"/>
        <v>irn.distn.rec_.all.all.all.dec.all</v>
      </c>
      <c r="H1006" s="4" t="s">
        <v>253</v>
      </c>
      <c r="I1006" s="4" t="s">
        <v>291</v>
      </c>
      <c r="J1006" s="4"/>
      <c r="K1006" s="4" t="str">
        <f t="shared" si="81"/>
        <v>dec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10"/>
    </row>
    <row r="1007" spans="4:22" x14ac:dyDescent="0.45">
      <c r="D1007" s="18" t="s">
        <v>1247</v>
      </c>
      <c r="E1007" s="4" t="str">
        <f>LOWER(_Country_code)&amp;".distn.pit.tot.dec.rur.mean"</f>
        <v>irn.distn.pit.tot.dec.rur.mean</v>
      </c>
      <c r="F1007" s="4" t="s">
        <v>290</v>
      </c>
      <c r="G1007" s="4" t="str">
        <f t="shared" si="79"/>
        <v>irn.distn.pit_.all.all.all.dec.all</v>
      </c>
      <c r="H1007" s="4" t="s">
        <v>253</v>
      </c>
      <c r="I1007" s="4" t="s">
        <v>34</v>
      </c>
      <c r="J1007" s="4"/>
      <c r="K1007" s="4" t="str">
        <f t="shared" si="81"/>
        <v>dec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10"/>
    </row>
    <row r="1008" spans="4:22" x14ac:dyDescent="0.45">
      <c r="D1008" s="18" t="s">
        <v>1248</v>
      </c>
      <c r="E1008" s="4" t="str">
        <f>LOWER(_Country_code)&amp;".distn.pui.tot.dec.rur.mean"</f>
        <v>irn.distn.pui.tot.dec.rur.mean</v>
      </c>
      <c r="F1008" s="4" t="s">
        <v>290</v>
      </c>
      <c r="G1008" s="4" t="str">
        <f t="shared" si="79"/>
        <v>irn.distn.pui_.all.all.all.dec.all</v>
      </c>
      <c r="H1008" s="4" t="s">
        <v>253</v>
      </c>
      <c r="I1008" s="4" t="s">
        <v>283</v>
      </c>
      <c r="J1008" s="4"/>
      <c r="K1008" s="4" t="str">
        <f t="shared" si="81"/>
        <v>dec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10"/>
    </row>
    <row r="1009" spans="4:22" x14ac:dyDescent="0.45">
      <c r="D1009" s="18" t="s">
        <v>1249</v>
      </c>
      <c r="E1009" s="4" t="str">
        <f>LOWER(_Country_code)&amp;".distn.cts.tot.dec.rur.mean"</f>
        <v>irn.distn.cts.tot.dec.rur.mean</v>
      </c>
      <c r="F1009" s="4" t="s">
        <v>290</v>
      </c>
      <c r="G1009" s="4" t="str">
        <f t="shared" si="79"/>
        <v>irn.distn.cts_.all.all.all.dec.all</v>
      </c>
      <c r="H1009" s="4" t="s">
        <v>253</v>
      </c>
      <c r="I1009" s="4" t="s">
        <v>284</v>
      </c>
      <c r="J1009" s="4"/>
      <c r="K1009" s="4" t="str">
        <f t="shared" si="81"/>
        <v>dec</v>
      </c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10"/>
    </row>
    <row r="1010" spans="4:22" x14ac:dyDescent="0.45">
      <c r="D1010" s="18" t="s">
        <v>1250</v>
      </c>
      <c r="E1010" s="4" t="str">
        <f>LOWER(_Country_code)&amp;".distn.tgt.tot.dec.rur.mean"</f>
        <v>irn.distn.tgt.tot.dec.rur.mean</v>
      </c>
      <c r="F1010" s="4" t="s">
        <v>290</v>
      </c>
      <c r="G1010" s="4" t="str">
        <f t="shared" si="79"/>
        <v>irn.distn.tgt_.all.all.all.dec.all</v>
      </c>
      <c r="H1010" s="4" t="s">
        <v>253</v>
      </c>
      <c r="I1010" s="4" t="s">
        <v>285</v>
      </c>
      <c r="J1010" s="4"/>
      <c r="K1010" s="4" t="str">
        <f t="shared" si="81"/>
        <v>dec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10"/>
    </row>
    <row r="1011" spans="4:22" x14ac:dyDescent="0.45">
      <c r="D1011" s="18" t="s">
        <v>1251</v>
      </c>
      <c r="E1011" s="4" t="str">
        <f>LOWER(_Country_code)&amp;"distn.rec.tot.dec.rur.mean"</f>
        <v>irndistn.rec.tot.dec.rur.mean</v>
      </c>
      <c r="F1011" s="4" t="s">
        <v>290</v>
      </c>
      <c r="G1011" s="4" t="str">
        <f t="shared" si="79"/>
        <v>irn.distn.rec_.all.all.all.dec.all</v>
      </c>
      <c r="H1011" s="4" t="s">
        <v>253</v>
      </c>
      <c r="I1011" s="4" t="s">
        <v>291</v>
      </c>
      <c r="J1011" s="4"/>
      <c r="K1011" s="4" t="str">
        <f t="shared" si="81"/>
        <v>dec</v>
      </c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10"/>
    </row>
    <row r="1012" spans="4:22" x14ac:dyDescent="0.45">
      <c r="D1012" s="18" t="s">
        <v>1252</v>
      </c>
      <c r="E1012" s="4" t="str">
        <f>LOWER(_Country_code)&amp;".distn.pit.tot.dec.urb.mean"</f>
        <v>irn.distn.pit.tot.dec.urb.mean</v>
      </c>
      <c r="F1012" s="4" t="s">
        <v>290</v>
      </c>
      <c r="G1012" s="4" t="str">
        <f t="shared" si="79"/>
        <v>irn.distn.pit_.all.all.all.dec.all</v>
      </c>
      <c r="H1012" s="4" t="s">
        <v>253</v>
      </c>
      <c r="I1012" s="4" t="s">
        <v>34</v>
      </c>
      <c r="J1012" s="4"/>
      <c r="K1012" s="4" t="str">
        <f t="shared" si="81"/>
        <v>dec</v>
      </c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10"/>
    </row>
    <row r="1013" spans="4:22" x14ac:dyDescent="0.45">
      <c r="D1013" s="18" t="s">
        <v>1253</v>
      </c>
      <c r="E1013" s="4" t="str">
        <f>LOWER(_Country_code)&amp;".distn.pui.tot.dec.urb.mean"</f>
        <v>irn.distn.pui.tot.dec.urb.mean</v>
      </c>
      <c r="F1013" s="4" t="s">
        <v>290</v>
      </c>
      <c r="G1013" s="4" t="str">
        <f t="shared" si="79"/>
        <v>irn.distn.pui_.all.all.all.dec.all</v>
      </c>
      <c r="H1013" s="4" t="s">
        <v>253</v>
      </c>
      <c r="I1013" s="4" t="s">
        <v>283</v>
      </c>
      <c r="J1013" s="4"/>
      <c r="K1013" s="4" t="str">
        <f t="shared" si="81"/>
        <v>dec</v>
      </c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10"/>
    </row>
    <row r="1014" spans="4:22" x14ac:dyDescent="0.45">
      <c r="D1014" s="18" t="s">
        <v>1254</v>
      </c>
      <c r="E1014" s="4" t="str">
        <f>LOWER(_Country_code)&amp;".distn.cts.tot.dec.urb.mean"</f>
        <v>irn.distn.cts.tot.dec.urb.mean</v>
      </c>
      <c r="F1014" s="4" t="s">
        <v>290</v>
      </c>
      <c r="G1014" s="4" t="str">
        <f t="shared" si="79"/>
        <v>irn.distn.cts_.all.all.all.dec.all</v>
      </c>
      <c r="H1014" s="4" t="s">
        <v>253</v>
      </c>
      <c r="I1014" s="4" t="s">
        <v>284</v>
      </c>
      <c r="J1014" s="4"/>
      <c r="K1014" s="4" t="str">
        <f t="shared" si="81"/>
        <v>dec</v>
      </c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10"/>
    </row>
    <row r="1015" spans="4:22" x14ac:dyDescent="0.45">
      <c r="D1015" s="18" t="s">
        <v>1255</v>
      </c>
      <c r="E1015" s="4" t="str">
        <f>LOWER(_Country_code)&amp;".distn.tgt.tot.dec.urb.mean"</f>
        <v>irn.distn.tgt.tot.dec.urb.mean</v>
      </c>
      <c r="F1015" s="4" t="s">
        <v>290</v>
      </c>
      <c r="G1015" s="4" t="str">
        <f t="shared" si="79"/>
        <v>irn.distn.tgt_.all.all.all.dec.all</v>
      </c>
      <c r="H1015" s="4" t="s">
        <v>253</v>
      </c>
      <c r="I1015" s="4" t="s">
        <v>285</v>
      </c>
      <c r="J1015" s="4"/>
      <c r="K1015" s="4" t="str">
        <f t="shared" si="81"/>
        <v>dec</v>
      </c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10"/>
    </row>
    <row r="1016" spans="4:22" x14ac:dyDescent="0.45">
      <c r="D1016" s="18" t="s">
        <v>1256</v>
      </c>
      <c r="E1016" s="4" t="str">
        <f>LOWER(_Country_code)&amp;".distn.rec.tot.dec.urb.mean"</f>
        <v>irn.distn.rec.tot.dec.urb.mean</v>
      </c>
      <c r="F1016" s="4" t="s">
        <v>290</v>
      </c>
      <c r="G1016" s="4" t="str">
        <f t="shared" si="79"/>
        <v>irn.distn.rec_.all.all.all.dec.all</v>
      </c>
      <c r="H1016" s="4" t="s">
        <v>253</v>
      </c>
      <c r="I1016" s="4" t="s">
        <v>291</v>
      </c>
      <c r="J1016" s="4"/>
      <c r="K1016" s="4" t="str">
        <f t="shared" si="81"/>
        <v>dec</v>
      </c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10"/>
    </row>
    <row r="1017" spans="4:22" x14ac:dyDescent="0.45">
      <c r="D1017" s="52"/>
      <c r="E1017" s="32"/>
      <c r="F1017" s="32" t="s">
        <v>292</v>
      </c>
      <c r="G1017" s="32" t="str">
        <f t="shared" si="79"/>
        <v/>
      </c>
      <c r="H1017" s="32" t="s">
        <v>18</v>
      </c>
      <c r="I1017" s="32"/>
      <c r="J1017" s="32" t="s">
        <v>18</v>
      </c>
      <c r="K1017" s="32"/>
      <c r="L1017" s="32"/>
      <c r="M1017" s="32"/>
      <c r="N1017" s="32"/>
      <c r="O1017" s="32"/>
      <c r="P1017" s="32" t="str">
        <f t="shared" si="80"/>
        <v/>
      </c>
      <c r="Q1017" s="32"/>
      <c r="R1017" s="32"/>
      <c r="S1017" s="32"/>
      <c r="T1017" s="32"/>
      <c r="U1017" s="32" t="str">
        <f t="shared" si="78"/>
        <v/>
      </c>
      <c r="V1017" s="32"/>
    </row>
    <row r="1018" spans="4:22" x14ac:dyDescent="0.45">
      <c r="D1018" s="18" t="s">
        <v>60</v>
      </c>
      <c r="E1018" s="4" t="str">
        <f t="shared" ref="E1018:E1023" si="82">LOWER(_Country_code)&amp;".ind."&amp;D1018</f>
        <v>irn.ind.coa</v>
      </c>
      <c r="F1018" s="4" t="str">
        <f t="shared" ref="F1018:F1023" si="83">IF(MTAct,E1018&amp;"_"&amp;MSTScenarioID,"N/A")</f>
        <v>N/A</v>
      </c>
      <c r="G1018" s="4" t="str">
        <f t="shared" si="79"/>
        <v>irn.distn.ind_.all.coa.all.pct.all</v>
      </c>
      <c r="H1018" s="4" t="s">
        <v>253</v>
      </c>
      <c r="I1018" s="4" t="s">
        <v>29</v>
      </c>
      <c r="J1018" s="4" t="s">
        <v>18</v>
      </c>
      <c r="K1018" s="4" t="s">
        <v>96</v>
      </c>
      <c r="L1018" s="4"/>
      <c r="M1018" s="4"/>
      <c r="N1018" s="4" t="s">
        <v>46</v>
      </c>
      <c r="O1018" s="4"/>
      <c r="P1018" s="4" t="str">
        <f t="shared" si="80"/>
        <v>all</v>
      </c>
      <c r="Q1018" s="4" t="s">
        <v>60</v>
      </c>
      <c r="R1018" s="4"/>
      <c r="S1018" s="4"/>
      <c r="T1018" s="4"/>
      <c r="U1018" s="4" t="str">
        <f t="shared" si="78"/>
        <v/>
      </c>
      <c r="V1018" s="6"/>
    </row>
    <row r="1019" spans="4:22" x14ac:dyDescent="0.45">
      <c r="D1019" s="18" t="s">
        <v>257</v>
      </c>
      <c r="E1019" s="4" t="str">
        <f t="shared" si="82"/>
        <v>irn.ind.ely</v>
      </c>
      <c r="F1019" s="4" t="str">
        <f t="shared" si="83"/>
        <v>N/A</v>
      </c>
      <c r="G1019" s="4" t="str">
        <f t="shared" si="79"/>
        <v>irn.distn.ind_.all.ely.all.pct.all</v>
      </c>
      <c r="H1019" s="4" t="s">
        <v>253</v>
      </c>
      <c r="I1019" s="4" t="s">
        <v>29</v>
      </c>
      <c r="J1019" s="4" t="s">
        <v>18</v>
      </c>
      <c r="K1019" s="4" t="s">
        <v>96</v>
      </c>
      <c r="L1019" s="4"/>
      <c r="M1019" s="4"/>
      <c r="N1019" s="4" t="s">
        <v>46</v>
      </c>
      <c r="O1019" s="4"/>
      <c r="P1019" s="4" t="str">
        <f t="shared" si="80"/>
        <v>all</v>
      </c>
      <c r="Q1019" s="4" t="s">
        <v>257</v>
      </c>
      <c r="R1019" s="4"/>
      <c r="S1019" s="4"/>
      <c r="T1019" s="4"/>
      <c r="U1019" s="4" t="str">
        <f t="shared" si="78"/>
        <v/>
      </c>
      <c r="V1019" s="6"/>
    </row>
    <row r="1020" spans="4:22" x14ac:dyDescent="0.45">
      <c r="D1020" s="18" t="s">
        <v>61</v>
      </c>
      <c r="E1020" s="4" t="str">
        <f t="shared" si="82"/>
        <v>irn.ind.nga</v>
      </c>
      <c r="F1020" s="4" t="str">
        <f t="shared" si="83"/>
        <v>N/A</v>
      </c>
      <c r="G1020" s="4" t="str">
        <f t="shared" si="79"/>
        <v>irn.distn.ind_.all.nga.all.pct.all</v>
      </c>
      <c r="H1020" s="4" t="s">
        <v>253</v>
      </c>
      <c r="I1020" s="4" t="s">
        <v>29</v>
      </c>
      <c r="J1020" s="4" t="s">
        <v>18</v>
      </c>
      <c r="K1020" s="4" t="s">
        <v>96</v>
      </c>
      <c r="L1020" s="4"/>
      <c r="M1020" s="4"/>
      <c r="N1020" s="4" t="s">
        <v>46</v>
      </c>
      <c r="O1020" s="4"/>
      <c r="P1020" s="4" t="str">
        <f t="shared" si="80"/>
        <v>all</v>
      </c>
      <c r="Q1020" s="4" t="s">
        <v>61</v>
      </c>
      <c r="R1020" s="4"/>
      <c r="S1020" s="4"/>
      <c r="T1020" s="4"/>
      <c r="U1020" s="4" t="str">
        <f t="shared" si="78"/>
        <v/>
      </c>
      <c r="V1020" s="6"/>
    </row>
    <row r="1021" spans="4:22" x14ac:dyDescent="0.45">
      <c r="D1021" s="18" t="s">
        <v>62</v>
      </c>
      <c r="E1021" s="4" t="str">
        <f t="shared" si="82"/>
        <v>irn.ind.oil</v>
      </c>
      <c r="F1021" s="4" t="str">
        <f t="shared" si="83"/>
        <v>N/A</v>
      </c>
      <c r="G1021" s="4" t="str">
        <f t="shared" si="79"/>
        <v>irn.distn.ind_.all.oil.all.pct.all</v>
      </c>
      <c r="H1021" s="4" t="s">
        <v>253</v>
      </c>
      <c r="I1021" s="4" t="s">
        <v>29</v>
      </c>
      <c r="J1021" s="4" t="s">
        <v>18</v>
      </c>
      <c r="K1021" s="4" t="s">
        <v>96</v>
      </c>
      <c r="L1021" s="4"/>
      <c r="M1021" s="4"/>
      <c r="N1021" s="4" t="s">
        <v>46</v>
      </c>
      <c r="O1021" s="4"/>
      <c r="P1021" s="4" t="str">
        <f t="shared" si="80"/>
        <v>all</v>
      </c>
      <c r="Q1021" s="4" t="s">
        <v>62</v>
      </c>
      <c r="R1021" s="4"/>
      <c r="S1021" s="4"/>
      <c r="T1021" s="4"/>
      <c r="U1021" s="4" t="str">
        <f t="shared" si="78"/>
        <v/>
      </c>
      <c r="V1021" s="6"/>
    </row>
    <row r="1022" spans="4:22" x14ac:dyDescent="0.45">
      <c r="D1022" s="18" t="s">
        <v>1257</v>
      </c>
      <c r="E1022" s="4" t="str">
        <f t="shared" si="82"/>
        <v>irn.ind.p_c</v>
      </c>
      <c r="F1022" s="4" t="str">
        <f t="shared" si="83"/>
        <v>N/A</v>
      </c>
      <c r="G1022" s="4" t="str">
        <f t="shared" si="79"/>
        <v>irn.distn.ind_.all.pc.all.pct.all</v>
      </c>
      <c r="H1022" s="4" t="s">
        <v>253</v>
      </c>
      <c r="I1022" s="4" t="s">
        <v>29</v>
      </c>
      <c r="J1022" s="4" t="s">
        <v>18</v>
      </c>
      <c r="K1022" s="4" t="s">
        <v>96</v>
      </c>
      <c r="L1022" s="4"/>
      <c r="M1022" s="4"/>
      <c r="N1022" s="4" t="s">
        <v>46</v>
      </c>
      <c r="O1022" s="4"/>
      <c r="P1022" s="4" t="str">
        <f t="shared" si="80"/>
        <v>all</v>
      </c>
      <c r="Q1022" s="4" t="s">
        <v>21</v>
      </c>
      <c r="R1022" s="4"/>
      <c r="S1022" s="4"/>
      <c r="T1022" s="4"/>
      <c r="U1022" s="4" t="str">
        <f t="shared" si="78"/>
        <v/>
      </c>
      <c r="V1022" s="6"/>
    </row>
    <row r="1023" spans="4:22" x14ac:dyDescent="0.45">
      <c r="D1023" s="18" t="s">
        <v>166</v>
      </c>
      <c r="E1023" s="4" t="str">
        <f t="shared" si="82"/>
        <v>irn.ind.total</v>
      </c>
      <c r="F1023" s="4" t="str">
        <f t="shared" si="83"/>
        <v>N/A</v>
      </c>
      <c r="G1023" s="4" t="str">
        <f t="shared" si="79"/>
        <v>irn.distn.ind_.all.total.all.pct.all</v>
      </c>
      <c r="H1023" s="4" t="s">
        <v>253</v>
      </c>
      <c r="I1023" s="4" t="s">
        <v>29</v>
      </c>
      <c r="J1023" s="4" t="s">
        <v>18</v>
      </c>
      <c r="K1023" s="4" t="s">
        <v>96</v>
      </c>
      <c r="L1023" s="4"/>
      <c r="M1023" s="4"/>
      <c r="N1023" s="4" t="s">
        <v>46</v>
      </c>
      <c r="O1023" s="4"/>
      <c r="P1023" s="4" t="str">
        <f t="shared" si="80"/>
        <v>all</v>
      </c>
      <c r="Q1023" s="4" t="s">
        <v>166</v>
      </c>
      <c r="R1023" s="4"/>
      <c r="S1023" s="4"/>
      <c r="T1023" s="4"/>
      <c r="U1023" s="4" t="str">
        <f t="shared" si="78"/>
        <v/>
      </c>
      <c r="V1023" s="6"/>
    </row>
    <row r="1024" spans="4:22" x14ac:dyDescent="0.45">
      <c r="D1024" s="53"/>
      <c r="E1024" s="32"/>
      <c r="F1024" s="32" t="s">
        <v>293</v>
      </c>
      <c r="G1024" s="32" t="str">
        <f t="shared" si="79"/>
        <v/>
      </c>
      <c r="H1024" s="32"/>
      <c r="I1024" s="32"/>
      <c r="J1024" s="32" t="s">
        <v>18</v>
      </c>
      <c r="K1024" s="32"/>
      <c r="L1024" s="32"/>
      <c r="M1024" s="32"/>
      <c r="N1024" s="32"/>
      <c r="O1024" s="32"/>
      <c r="P1024" s="32" t="str">
        <f t="shared" si="80"/>
        <v/>
      </c>
      <c r="Q1024" s="32"/>
      <c r="R1024" s="32"/>
      <c r="S1024" s="32"/>
      <c r="T1024" s="32"/>
      <c r="U1024" s="32" t="str">
        <f t="shared" si="78"/>
        <v/>
      </c>
      <c r="V1024" s="34"/>
    </row>
    <row r="1025" spans="4:22" x14ac:dyDescent="0.45">
      <c r="D1025" s="53"/>
      <c r="E1025" s="32"/>
      <c r="F1025" s="32" t="s">
        <v>294</v>
      </c>
      <c r="G1025" s="32" t="str">
        <f t="shared" si="79"/>
        <v/>
      </c>
      <c r="H1025" s="32"/>
      <c r="I1025" s="32"/>
      <c r="J1025" s="32" t="s">
        <v>18</v>
      </c>
      <c r="K1025" s="32"/>
      <c r="L1025" s="32"/>
      <c r="M1025" s="32"/>
      <c r="N1025" s="32"/>
      <c r="O1025" s="32"/>
      <c r="P1025" s="32" t="str">
        <f t="shared" si="80"/>
        <v/>
      </c>
      <c r="Q1025" s="32"/>
      <c r="R1025" s="32"/>
      <c r="S1025" s="32"/>
      <c r="T1025" s="32"/>
      <c r="U1025" s="32" t="str">
        <f t="shared" si="78"/>
        <v/>
      </c>
      <c r="V1025" s="34"/>
    </row>
    <row r="1026" spans="4:22" x14ac:dyDescent="0.45">
      <c r="D1026" s="18" t="s">
        <v>60</v>
      </c>
      <c r="E1026" s="4" t="str">
        <f t="shared" ref="E1026:E1034" si="84">LOWER(_Country_code)&amp;".dir."&amp;D1026</f>
        <v>irn.dir.coa</v>
      </c>
      <c r="F1026" s="4" t="str">
        <f t="shared" ref="F1026:F1034" si="85">IF(MTAct,E1026&amp;"_"&amp;MSTScenarioID,"N/A")</f>
        <v>N/A</v>
      </c>
      <c r="G1026" s="4" t="str">
        <f t="shared" si="79"/>
        <v>irn.distn.dir_.all.coa.all.all.all</v>
      </c>
      <c r="H1026" s="4" t="s">
        <v>253</v>
      </c>
      <c r="I1026" s="4" t="s">
        <v>295</v>
      </c>
      <c r="J1026" s="4" t="s">
        <v>18</v>
      </c>
      <c r="K1026" s="4"/>
      <c r="L1026" s="4"/>
      <c r="M1026" s="4"/>
      <c r="N1026" s="4" t="s">
        <v>46</v>
      </c>
      <c r="O1026" s="4"/>
      <c r="P1026" s="4" t="str">
        <f t="shared" si="80"/>
        <v>all</v>
      </c>
      <c r="Q1026" s="4" t="s">
        <v>60</v>
      </c>
      <c r="R1026" s="4"/>
      <c r="S1026" s="4"/>
      <c r="T1026" s="4"/>
      <c r="U1026" s="4" t="str">
        <f t="shared" si="78"/>
        <v/>
      </c>
      <c r="V1026" s="6"/>
    </row>
    <row r="1027" spans="4:22" x14ac:dyDescent="0.45">
      <c r="D1027" s="18" t="s">
        <v>257</v>
      </c>
      <c r="E1027" s="4" t="str">
        <f t="shared" si="84"/>
        <v>irn.dir.ely</v>
      </c>
      <c r="F1027" s="4" t="str">
        <f t="shared" si="85"/>
        <v>N/A</v>
      </c>
      <c r="G1027" s="4" t="str">
        <f t="shared" si="79"/>
        <v>irn.distn.dir_.all.ely.all.all.all</v>
      </c>
      <c r="H1027" s="4" t="s">
        <v>253</v>
      </c>
      <c r="I1027" s="4" t="s">
        <v>295</v>
      </c>
      <c r="J1027" s="4" t="s">
        <v>18</v>
      </c>
      <c r="K1027" s="4"/>
      <c r="L1027" s="4"/>
      <c r="M1027" s="4"/>
      <c r="N1027" s="4" t="s">
        <v>46</v>
      </c>
      <c r="O1027" s="4"/>
      <c r="P1027" s="4" t="str">
        <f t="shared" si="80"/>
        <v>all</v>
      </c>
      <c r="Q1027" s="4" t="s">
        <v>257</v>
      </c>
      <c r="R1027" s="4"/>
      <c r="S1027" s="4"/>
      <c r="T1027" s="4"/>
      <c r="U1027" s="4" t="str">
        <f t="shared" si="78"/>
        <v/>
      </c>
      <c r="V1027" s="6"/>
    </row>
    <row r="1028" spans="4:22" x14ac:dyDescent="0.45">
      <c r="D1028" s="18" t="s">
        <v>61</v>
      </c>
      <c r="E1028" s="4" t="str">
        <f t="shared" si="84"/>
        <v>irn.dir.nga</v>
      </c>
      <c r="F1028" s="4" t="str">
        <f t="shared" si="85"/>
        <v>N/A</v>
      </c>
      <c r="G1028" s="4" t="str">
        <f t="shared" si="79"/>
        <v>irn.distn.dir_.all.nga.all.all.all</v>
      </c>
      <c r="H1028" s="4" t="s">
        <v>253</v>
      </c>
      <c r="I1028" s="4" t="s">
        <v>295</v>
      </c>
      <c r="J1028" s="4" t="s">
        <v>18</v>
      </c>
      <c r="K1028" s="4"/>
      <c r="L1028" s="4"/>
      <c r="M1028" s="4"/>
      <c r="N1028" s="4" t="s">
        <v>46</v>
      </c>
      <c r="O1028" s="4"/>
      <c r="P1028" s="4" t="str">
        <f t="shared" si="80"/>
        <v>all</v>
      </c>
      <c r="Q1028" s="4" t="s">
        <v>61</v>
      </c>
      <c r="R1028" s="4"/>
      <c r="S1028" s="4"/>
      <c r="T1028" s="4"/>
      <c r="U1028" s="4" t="str">
        <f t="shared" si="78"/>
        <v/>
      </c>
      <c r="V1028" s="6"/>
    </row>
    <row r="1029" spans="4:22" x14ac:dyDescent="0.45">
      <c r="D1029" s="18" t="s">
        <v>62</v>
      </c>
      <c r="E1029" s="4" t="str">
        <f t="shared" si="84"/>
        <v>irn.dir.oil</v>
      </c>
      <c r="F1029" s="4" t="str">
        <f t="shared" si="85"/>
        <v>N/A</v>
      </c>
      <c r="G1029" s="4" t="str">
        <f t="shared" si="79"/>
        <v>irn.distn.dir_.all.oil.all.all.all</v>
      </c>
      <c r="H1029" s="4" t="s">
        <v>253</v>
      </c>
      <c r="I1029" s="4" t="s">
        <v>295</v>
      </c>
      <c r="J1029" s="4" t="s">
        <v>18</v>
      </c>
      <c r="K1029" s="4"/>
      <c r="L1029" s="4"/>
      <c r="M1029" s="4"/>
      <c r="N1029" s="4" t="s">
        <v>46</v>
      </c>
      <c r="O1029" s="4"/>
      <c r="P1029" s="4" t="str">
        <f t="shared" si="80"/>
        <v>all</v>
      </c>
      <c r="Q1029" s="4" t="s">
        <v>62</v>
      </c>
      <c r="R1029" s="4"/>
      <c r="S1029" s="4"/>
      <c r="T1029" s="4"/>
      <c r="U1029" s="4" t="str">
        <f t="shared" si="78"/>
        <v/>
      </c>
      <c r="V1029" s="6"/>
    </row>
    <row r="1030" spans="4:22" x14ac:dyDescent="0.45">
      <c r="D1030" s="18" t="s">
        <v>63</v>
      </c>
      <c r="E1030" s="4" t="str">
        <f t="shared" si="84"/>
        <v>irn.dir.gso</v>
      </c>
      <c r="F1030" s="4" t="str">
        <f t="shared" si="85"/>
        <v>N/A</v>
      </c>
      <c r="G1030" s="4" t="str">
        <f t="shared" si="79"/>
        <v>irn.distn.dir_.all.gso.all.all.all</v>
      </c>
      <c r="H1030" s="4" t="s">
        <v>253</v>
      </c>
      <c r="I1030" s="4" t="s">
        <v>295</v>
      </c>
      <c r="J1030" s="4" t="s">
        <v>18</v>
      </c>
      <c r="K1030" s="4"/>
      <c r="L1030" s="4"/>
      <c r="M1030" s="4"/>
      <c r="N1030" s="4" t="s">
        <v>46</v>
      </c>
      <c r="O1030" s="4"/>
      <c r="P1030" s="4" t="str">
        <f t="shared" si="80"/>
        <v>all</v>
      </c>
      <c r="Q1030" s="4" t="s">
        <v>63</v>
      </c>
      <c r="R1030" s="4"/>
      <c r="S1030" s="4"/>
      <c r="T1030" s="4"/>
      <c r="U1030" s="4" t="str">
        <f t="shared" si="78"/>
        <v/>
      </c>
      <c r="V1030" s="6"/>
    </row>
    <row r="1031" spans="4:22" x14ac:dyDescent="0.45">
      <c r="D1031" s="18" t="s">
        <v>64</v>
      </c>
      <c r="E1031" s="4" t="str">
        <f t="shared" si="84"/>
        <v>irn.dir.die</v>
      </c>
      <c r="F1031" s="4" t="str">
        <f t="shared" si="85"/>
        <v>N/A</v>
      </c>
      <c r="G1031" s="4" t="str">
        <f t="shared" si="79"/>
        <v>irn.distn.dir_.all.die.all.all.all</v>
      </c>
      <c r="H1031" s="4" t="s">
        <v>253</v>
      </c>
      <c r="I1031" s="4" t="s">
        <v>295</v>
      </c>
      <c r="J1031" s="4" t="s">
        <v>18</v>
      </c>
      <c r="K1031" s="4"/>
      <c r="L1031" s="4"/>
      <c r="M1031" s="4"/>
      <c r="N1031" s="4" t="s">
        <v>46</v>
      </c>
      <c r="O1031" s="4"/>
      <c r="P1031" s="4" t="str">
        <f t="shared" si="80"/>
        <v>all</v>
      </c>
      <c r="Q1031" s="4" t="s">
        <v>64</v>
      </c>
      <c r="R1031" s="4"/>
      <c r="S1031" s="4"/>
      <c r="T1031" s="4"/>
      <c r="U1031" s="4" t="str">
        <f t="shared" si="78"/>
        <v/>
      </c>
      <c r="V1031" s="6"/>
    </row>
    <row r="1032" spans="4:22" x14ac:dyDescent="0.45">
      <c r="D1032" s="18" t="s">
        <v>65</v>
      </c>
      <c r="E1032" s="4" t="str">
        <f t="shared" si="84"/>
        <v>irn.dir.lpg</v>
      </c>
      <c r="F1032" s="4" t="str">
        <f t="shared" si="85"/>
        <v>N/A</v>
      </c>
      <c r="G1032" s="4" t="str">
        <f t="shared" si="79"/>
        <v>irn.distn.dir_.all.lpg.all.all.all</v>
      </c>
      <c r="H1032" s="4" t="s">
        <v>253</v>
      </c>
      <c r="I1032" s="4" t="s">
        <v>295</v>
      </c>
      <c r="J1032" s="4" t="s">
        <v>18</v>
      </c>
      <c r="K1032" s="4"/>
      <c r="L1032" s="4"/>
      <c r="M1032" s="4"/>
      <c r="N1032" s="4" t="s">
        <v>46</v>
      </c>
      <c r="O1032" s="4"/>
      <c r="P1032" s="4" t="str">
        <f t="shared" si="80"/>
        <v>all</v>
      </c>
      <c r="Q1032" s="4" t="s">
        <v>65</v>
      </c>
      <c r="R1032" s="4"/>
      <c r="S1032" s="4"/>
      <c r="T1032" s="4"/>
      <c r="U1032" s="4" t="str">
        <f t="shared" si="78"/>
        <v/>
      </c>
      <c r="V1032" s="6"/>
    </row>
    <row r="1033" spans="4:22" x14ac:dyDescent="0.45">
      <c r="D1033" s="18" t="s">
        <v>66</v>
      </c>
      <c r="E1033" s="4" t="str">
        <f t="shared" si="84"/>
        <v>irn.dir.ker</v>
      </c>
      <c r="F1033" s="4" t="str">
        <f t="shared" si="85"/>
        <v>N/A</v>
      </c>
      <c r="G1033" s="4" t="str">
        <f t="shared" si="79"/>
        <v>irn.distn.dir_.all.ker.all.all.all</v>
      </c>
      <c r="H1033" s="4" t="s">
        <v>253</v>
      </c>
      <c r="I1033" s="4" t="s">
        <v>295</v>
      </c>
      <c r="J1033" s="4" t="s">
        <v>18</v>
      </c>
      <c r="K1033" s="4"/>
      <c r="L1033" s="4"/>
      <c r="M1033" s="4"/>
      <c r="N1033" s="4" t="s">
        <v>46</v>
      </c>
      <c r="O1033" s="4"/>
      <c r="P1033" s="4" t="str">
        <f t="shared" si="80"/>
        <v>all</v>
      </c>
      <c r="Q1033" s="4" t="s">
        <v>66</v>
      </c>
      <c r="R1033" s="4"/>
      <c r="S1033" s="4"/>
      <c r="T1033" s="4"/>
      <c r="U1033" s="4" t="str">
        <f t="shared" si="78"/>
        <v/>
      </c>
      <c r="V1033" s="6"/>
    </row>
    <row r="1034" spans="4:22" x14ac:dyDescent="0.45">
      <c r="D1034" s="18" t="s">
        <v>1257</v>
      </c>
      <c r="E1034" s="4" t="str">
        <f t="shared" si="84"/>
        <v>irn.dir.p_c</v>
      </c>
      <c r="F1034" s="4" t="str">
        <f t="shared" si="85"/>
        <v>N/A</v>
      </c>
      <c r="G1034" s="4" t="str">
        <f t="shared" si="79"/>
        <v>irn.distn.dir_.all.pc.all.all.all</v>
      </c>
      <c r="H1034" s="4" t="s">
        <v>253</v>
      </c>
      <c r="I1034" s="4" t="s">
        <v>295</v>
      </c>
      <c r="J1034" s="4" t="s">
        <v>18</v>
      </c>
      <c r="K1034" s="4"/>
      <c r="L1034" s="4"/>
      <c r="M1034" s="4"/>
      <c r="N1034" s="4" t="s">
        <v>46</v>
      </c>
      <c r="O1034" s="4"/>
      <c r="P1034" s="4" t="str">
        <f t="shared" si="80"/>
        <v>all</v>
      </c>
      <c r="Q1034" s="4" t="s">
        <v>21</v>
      </c>
      <c r="R1034" s="4"/>
      <c r="S1034" s="4"/>
      <c r="T1034" s="4"/>
      <c r="U1034" s="4" t="str">
        <f t="shared" si="78"/>
        <v/>
      </c>
      <c r="V1034" s="6"/>
    </row>
    <row r="1035" spans="4:22" x14ac:dyDescent="0.45">
      <c r="D1035" s="53"/>
      <c r="E1035" s="32"/>
      <c r="F1035" s="32"/>
      <c r="G1035" s="32" t="str">
        <f t="shared" si="79"/>
        <v/>
      </c>
      <c r="H1035" s="32" t="s">
        <v>18</v>
      </c>
      <c r="I1035" s="32"/>
      <c r="J1035" s="32" t="s">
        <v>18</v>
      </c>
      <c r="K1035" s="32"/>
      <c r="L1035" s="32"/>
      <c r="M1035" s="32"/>
      <c r="N1035" s="32"/>
      <c r="O1035" s="32"/>
      <c r="P1035" s="32" t="str">
        <f t="shared" si="80"/>
        <v/>
      </c>
      <c r="Q1035" s="32"/>
      <c r="R1035" s="32"/>
      <c r="S1035" s="32"/>
      <c r="T1035" s="32"/>
      <c r="U1035" s="32" t="str">
        <f t="shared" si="78"/>
        <v/>
      </c>
      <c r="V1035" s="34"/>
    </row>
    <row r="1036" spans="4:22" x14ac:dyDescent="0.45">
      <c r="D1036" s="54" t="s">
        <v>264</v>
      </c>
      <c r="E1036" s="4" t="str">
        <f t="shared" ref="E1036:E1049" si="86">LOWER(_Country_code)&amp;".distn.dpr."&amp;D1036</f>
        <v>irn.distn.dpr.food</v>
      </c>
      <c r="F1036" s="4" t="str">
        <f t="shared" ref="F1036:F1074" si="87">IF(MTAct,E1036&amp;"_"&amp;MSTScenarioID,"N/A")</f>
        <v>N/A</v>
      </c>
      <c r="G1036" s="4" t="str">
        <f t="shared" si="79"/>
        <v>irn.distn.dpr_.all.all.wavg.all.all</v>
      </c>
      <c r="H1036" s="4" t="s">
        <v>253</v>
      </c>
      <c r="I1036" s="4" t="s">
        <v>282</v>
      </c>
      <c r="J1036" s="4" t="s">
        <v>18</v>
      </c>
      <c r="K1036" s="4"/>
      <c r="L1036" s="4"/>
      <c r="M1036" s="4"/>
      <c r="N1036" s="4"/>
      <c r="O1036" s="4" t="s">
        <v>264</v>
      </c>
      <c r="P1036" s="4" t="str">
        <f t="shared" si="80"/>
        <v>food</v>
      </c>
      <c r="Q1036" s="4"/>
      <c r="R1036" s="4"/>
      <c r="S1036" s="4"/>
      <c r="T1036" s="4" t="s">
        <v>296</v>
      </c>
      <c r="U1036" s="4" t="str">
        <f t="shared" si="78"/>
        <v>wavg</v>
      </c>
      <c r="V1036" s="6"/>
    </row>
    <row r="1037" spans="4:22" x14ac:dyDescent="0.45">
      <c r="D1037" s="54" t="s">
        <v>263</v>
      </c>
      <c r="E1037" s="4" t="str">
        <f t="shared" si="86"/>
        <v>irn.distn.dpr.edu</v>
      </c>
      <c r="F1037" s="4" t="str">
        <f t="shared" si="87"/>
        <v>N/A</v>
      </c>
      <c r="G1037" s="4" t="str">
        <f t="shared" si="79"/>
        <v>irn.distn.dpr_.all.all.wavg.all.all</v>
      </c>
      <c r="H1037" s="4" t="s">
        <v>253</v>
      </c>
      <c r="I1037" s="4" t="s">
        <v>282</v>
      </c>
      <c r="J1037" s="4" t="s">
        <v>18</v>
      </c>
      <c r="K1037" s="4"/>
      <c r="L1037" s="4"/>
      <c r="M1037" s="4"/>
      <c r="N1037" s="4"/>
      <c r="O1037" s="4" t="s">
        <v>263</v>
      </c>
      <c r="P1037" s="4" t="str">
        <f t="shared" si="80"/>
        <v>edu</v>
      </c>
      <c r="Q1037" s="4"/>
      <c r="R1037" s="4"/>
      <c r="S1037" s="4"/>
      <c r="T1037" s="4" t="s">
        <v>296</v>
      </c>
      <c r="U1037" s="4" t="str">
        <f t="shared" si="78"/>
        <v>wavg</v>
      </c>
      <c r="V1037" s="6"/>
    </row>
    <row r="1038" spans="4:22" x14ac:dyDescent="0.45">
      <c r="D1038" s="54" t="s">
        <v>265</v>
      </c>
      <c r="E1038" s="4" t="str">
        <f t="shared" si="86"/>
        <v>irn.distn.dpr.hea</v>
      </c>
      <c r="F1038" s="4" t="str">
        <f t="shared" si="87"/>
        <v>N/A</v>
      </c>
      <c r="G1038" s="4" t="str">
        <f t="shared" si="79"/>
        <v>irn.distn.dpr_.all.all.wavg.all.all</v>
      </c>
      <c r="H1038" s="4" t="s">
        <v>253</v>
      </c>
      <c r="I1038" s="4" t="s">
        <v>282</v>
      </c>
      <c r="J1038" s="4" t="s">
        <v>18</v>
      </c>
      <c r="K1038" s="4"/>
      <c r="L1038" s="4"/>
      <c r="M1038" s="4"/>
      <c r="N1038" s="4"/>
      <c r="O1038" s="4" t="s">
        <v>265</v>
      </c>
      <c r="P1038" s="4" t="str">
        <f t="shared" si="80"/>
        <v>hea</v>
      </c>
      <c r="Q1038" s="4"/>
      <c r="R1038" s="4"/>
      <c r="S1038" s="4"/>
      <c r="T1038" s="4" t="s">
        <v>296</v>
      </c>
      <c r="U1038" s="4" t="str">
        <f t="shared" si="78"/>
        <v>wavg</v>
      </c>
      <c r="V1038" s="6"/>
    </row>
    <row r="1039" spans="4:22" x14ac:dyDescent="0.45">
      <c r="D1039" s="54" t="s">
        <v>261</v>
      </c>
      <c r="E1039" s="4" t="str">
        <f t="shared" si="86"/>
        <v>irn.distn.dpr.clo</v>
      </c>
      <c r="F1039" s="4" t="str">
        <f t="shared" si="87"/>
        <v>N/A</v>
      </c>
      <c r="G1039" s="4" t="str">
        <f t="shared" si="79"/>
        <v>irn.distn.dpr_.all.all.wavg.all.all</v>
      </c>
      <c r="H1039" s="4" t="s">
        <v>253</v>
      </c>
      <c r="I1039" s="4" t="s">
        <v>282</v>
      </c>
      <c r="J1039" s="4" t="s">
        <v>18</v>
      </c>
      <c r="K1039" s="4"/>
      <c r="L1039" s="4"/>
      <c r="M1039" s="4"/>
      <c r="N1039" s="4"/>
      <c r="O1039" s="4" t="s">
        <v>261</v>
      </c>
      <c r="P1039" s="4" t="str">
        <f t="shared" si="80"/>
        <v>clo</v>
      </c>
      <c r="Q1039" s="4"/>
      <c r="R1039" s="4"/>
      <c r="S1039" s="4"/>
      <c r="T1039" s="4" t="s">
        <v>296</v>
      </c>
      <c r="U1039" s="4" t="str">
        <f t="shared" si="78"/>
        <v>wavg</v>
      </c>
      <c r="V1039" s="6"/>
    </row>
    <row r="1040" spans="4:22" x14ac:dyDescent="0.45">
      <c r="D1040" s="54" t="s">
        <v>266</v>
      </c>
      <c r="E1040" s="4" t="str">
        <f t="shared" si="86"/>
        <v>irn.distn.dpr.hou</v>
      </c>
      <c r="F1040" s="4" t="str">
        <f t="shared" si="87"/>
        <v>N/A</v>
      </c>
      <c r="G1040" s="4" t="str">
        <f t="shared" si="79"/>
        <v>irn.distn.dpr_.all.all.wavg.all.all</v>
      </c>
      <c r="H1040" s="4" t="s">
        <v>253</v>
      </c>
      <c r="I1040" s="4" t="s">
        <v>282</v>
      </c>
      <c r="J1040" s="4" t="s">
        <v>18</v>
      </c>
      <c r="K1040" s="4"/>
      <c r="L1040" s="4"/>
      <c r="M1040" s="4"/>
      <c r="N1040" s="4"/>
      <c r="O1040" s="4" t="s">
        <v>266</v>
      </c>
      <c r="P1040" s="4" t="str">
        <f t="shared" si="80"/>
        <v>hou</v>
      </c>
      <c r="Q1040" s="4"/>
      <c r="R1040" s="4"/>
      <c r="S1040" s="4"/>
      <c r="T1040" s="4" t="s">
        <v>296</v>
      </c>
      <c r="U1040" s="4" t="str">
        <f t="shared" si="78"/>
        <v>wavg</v>
      </c>
      <c r="V1040" s="6"/>
    </row>
    <row r="1041" spans="4:22" x14ac:dyDescent="0.45">
      <c r="D1041" s="54" t="s">
        <v>259</v>
      </c>
      <c r="E1041" s="4" t="str">
        <f t="shared" si="86"/>
        <v>irn.distn.dpr.app</v>
      </c>
      <c r="F1041" s="4" t="str">
        <f t="shared" si="87"/>
        <v>N/A</v>
      </c>
      <c r="G1041" s="4" t="str">
        <f t="shared" si="79"/>
        <v>irn.distn.dpr_.all.all.wavg.all.all</v>
      </c>
      <c r="H1041" s="4" t="s">
        <v>253</v>
      </c>
      <c r="I1041" s="4" t="s">
        <v>282</v>
      </c>
      <c r="J1041" s="4" t="s">
        <v>18</v>
      </c>
      <c r="K1041" s="4"/>
      <c r="L1041" s="4"/>
      <c r="M1041" s="4"/>
      <c r="N1041" s="4"/>
      <c r="O1041" s="4" t="s">
        <v>259</v>
      </c>
      <c r="P1041" s="4" t="str">
        <f t="shared" si="80"/>
        <v>app</v>
      </c>
      <c r="Q1041" s="4"/>
      <c r="R1041" s="4"/>
      <c r="S1041" s="4"/>
      <c r="T1041" s="4" t="s">
        <v>296</v>
      </c>
      <c r="U1041" s="4" t="str">
        <f t="shared" si="78"/>
        <v>wavg</v>
      </c>
      <c r="V1041" s="6"/>
    </row>
    <row r="1042" spans="4:22" x14ac:dyDescent="0.45">
      <c r="D1042" s="54" t="s">
        <v>260</v>
      </c>
      <c r="E1042" s="4" t="str">
        <f t="shared" si="86"/>
        <v>irn.distn.dpr.che</v>
      </c>
      <c r="F1042" s="4" t="str">
        <f t="shared" si="87"/>
        <v>N/A</v>
      </c>
      <c r="G1042" s="4" t="str">
        <f t="shared" si="79"/>
        <v>irn.distn.dpr_.all.all.wavg.all.all</v>
      </c>
      <c r="H1042" s="4" t="s">
        <v>253</v>
      </c>
      <c r="I1042" s="4" t="s">
        <v>282</v>
      </c>
      <c r="J1042" s="4" t="s">
        <v>18</v>
      </c>
      <c r="K1042" s="4"/>
      <c r="L1042" s="4"/>
      <c r="M1042" s="4"/>
      <c r="N1042" s="4"/>
      <c r="O1042" s="4" t="s">
        <v>260</v>
      </c>
      <c r="P1042" s="4" t="str">
        <f t="shared" si="80"/>
        <v>che</v>
      </c>
      <c r="Q1042" s="4"/>
      <c r="R1042" s="4"/>
      <c r="S1042" s="4"/>
      <c r="T1042" s="4" t="s">
        <v>296</v>
      </c>
      <c r="U1042" s="4" t="str">
        <f t="shared" si="78"/>
        <v>wavg</v>
      </c>
      <c r="V1042" s="6"/>
    </row>
    <row r="1043" spans="4:22" x14ac:dyDescent="0.45">
      <c r="D1043" s="54" t="s">
        <v>271</v>
      </c>
      <c r="E1043" s="4" t="str">
        <f t="shared" si="86"/>
        <v>irn.distn.dpr.tpu</v>
      </c>
      <c r="F1043" s="4" t="str">
        <f t="shared" si="87"/>
        <v>N/A</v>
      </c>
      <c r="G1043" s="4" t="str">
        <f t="shared" si="79"/>
        <v>irn.distn.dpr_.all.all.wavg.all.all</v>
      </c>
      <c r="H1043" s="4" t="s">
        <v>253</v>
      </c>
      <c r="I1043" s="4" t="s">
        <v>282</v>
      </c>
      <c r="J1043" s="4" t="s">
        <v>18</v>
      </c>
      <c r="K1043" s="4"/>
      <c r="L1043" s="4"/>
      <c r="M1043" s="4"/>
      <c r="N1043" s="4"/>
      <c r="O1043" s="4" t="s">
        <v>271</v>
      </c>
      <c r="P1043" s="4" t="str">
        <f t="shared" si="80"/>
        <v>tpu</v>
      </c>
      <c r="Q1043" s="4"/>
      <c r="R1043" s="4"/>
      <c r="S1043" s="4"/>
      <c r="T1043" s="4" t="s">
        <v>296</v>
      </c>
      <c r="U1043" s="4" t="str">
        <f t="shared" si="78"/>
        <v>wavg</v>
      </c>
      <c r="V1043" s="6"/>
    </row>
    <row r="1044" spans="4:22" x14ac:dyDescent="0.45">
      <c r="D1044" s="54" t="s">
        <v>270</v>
      </c>
      <c r="E1044" s="4" t="str">
        <f t="shared" si="86"/>
        <v>irn.distn.dpr.teq</v>
      </c>
      <c r="F1044" s="4" t="str">
        <f t="shared" si="87"/>
        <v>N/A</v>
      </c>
      <c r="G1044" s="4" t="str">
        <f t="shared" si="79"/>
        <v>irn.distn.dpr_.all.all.wavg.all.all</v>
      </c>
      <c r="H1044" s="4" t="s">
        <v>253</v>
      </c>
      <c r="I1044" s="4" t="s">
        <v>282</v>
      </c>
      <c r="J1044" s="4" t="s">
        <v>18</v>
      </c>
      <c r="K1044" s="4"/>
      <c r="L1044" s="4"/>
      <c r="M1044" s="4"/>
      <c r="N1044" s="4"/>
      <c r="O1044" s="4" t="s">
        <v>270</v>
      </c>
      <c r="P1044" s="4" t="str">
        <f t="shared" si="80"/>
        <v>teq</v>
      </c>
      <c r="Q1044" s="4"/>
      <c r="R1044" s="4"/>
      <c r="S1044" s="4"/>
      <c r="T1044" s="4" t="s">
        <v>296</v>
      </c>
      <c r="U1044" s="4" t="str">
        <f t="shared" ref="U1044:U1107" si="88">R1044&amp;T1044&amp;S1044</f>
        <v>wavg</v>
      </c>
      <c r="V1044" s="6"/>
    </row>
    <row r="1045" spans="4:22" x14ac:dyDescent="0.45">
      <c r="D1045" s="54" t="s">
        <v>267</v>
      </c>
      <c r="E1045" s="4" t="str">
        <f t="shared" si="86"/>
        <v>irn.distn.dpr.pap</v>
      </c>
      <c r="F1045" s="4" t="str">
        <f t="shared" si="87"/>
        <v>N/A</v>
      </c>
      <c r="G1045" s="4" t="str">
        <f t="shared" si="79"/>
        <v>irn.distn.dpr_.all.all.wavg.all.all</v>
      </c>
      <c r="H1045" s="4" t="s">
        <v>253</v>
      </c>
      <c r="I1045" s="4" t="s">
        <v>282</v>
      </c>
      <c r="J1045" s="4" t="s">
        <v>18</v>
      </c>
      <c r="K1045" s="4"/>
      <c r="L1045" s="4"/>
      <c r="M1045" s="4"/>
      <c r="N1045" s="4"/>
      <c r="O1045" s="4" t="s">
        <v>267</v>
      </c>
      <c r="P1045" s="4" t="str">
        <f t="shared" si="80"/>
        <v>pap</v>
      </c>
      <c r="Q1045" s="4"/>
      <c r="R1045" s="4"/>
      <c r="S1045" s="4"/>
      <c r="T1045" s="4" t="s">
        <v>296</v>
      </c>
      <c r="U1045" s="4" t="str">
        <f t="shared" si="88"/>
        <v>wavg</v>
      </c>
      <c r="V1045" s="6"/>
    </row>
    <row r="1046" spans="4:22" x14ac:dyDescent="0.45">
      <c r="D1046" s="54" t="s">
        <v>262</v>
      </c>
      <c r="E1046" s="4" t="str">
        <f t="shared" si="86"/>
        <v>irn.distn.dpr.com</v>
      </c>
      <c r="F1046" s="4" t="str">
        <f t="shared" si="87"/>
        <v>N/A</v>
      </c>
      <c r="G1046" s="4" t="str">
        <f t="shared" si="79"/>
        <v>irn.distn.dpr_.all.all.wavg.all.all</v>
      </c>
      <c r="H1046" s="4" t="s">
        <v>253</v>
      </c>
      <c r="I1046" s="4" t="s">
        <v>282</v>
      </c>
      <c r="J1046" s="4" t="s">
        <v>18</v>
      </c>
      <c r="K1046" s="4"/>
      <c r="L1046" s="4"/>
      <c r="M1046" s="4"/>
      <c r="N1046" s="4"/>
      <c r="O1046" s="4" t="s">
        <v>262</v>
      </c>
      <c r="P1046" s="4" t="str">
        <f t="shared" si="80"/>
        <v>com</v>
      </c>
      <c r="Q1046" s="4"/>
      <c r="R1046" s="4"/>
      <c r="S1046" s="4"/>
      <c r="T1046" s="4" t="s">
        <v>296</v>
      </c>
      <c r="U1046" s="4" t="str">
        <f t="shared" si="88"/>
        <v>wavg</v>
      </c>
      <c r="V1046" s="6"/>
    </row>
    <row r="1047" spans="4:22" x14ac:dyDescent="0.45">
      <c r="D1047" s="54" t="s">
        <v>268</v>
      </c>
      <c r="E1047" s="4" t="str">
        <f t="shared" si="86"/>
        <v>irn.distn.dpr.pha</v>
      </c>
      <c r="F1047" s="4" t="str">
        <f t="shared" si="87"/>
        <v>N/A</v>
      </c>
      <c r="G1047" s="4" t="str">
        <f t="shared" si="79"/>
        <v>irn.distn.dpr_.all.all.wavg.all.all</v>
      </c>
      <c r="H1047" s="4" t="s">
        <v>253</v>
      </c>
      <c r="I1047" s="4" t="s">
        <v>282</v>
      </c>
      <c r="J1047" s="4" t="s">
        <v>18</v>
      </c>
      <c r="K1047" s="4"/>
      <c r="L1047" s="4"/>
      <c r="M1047" s="4"/>
      <c r="N1047" s="4"/>
      <c r="O1047" s="4" t="s">
        <v>268</v>
      </c>
      <c r="P1047" s="4" t="str">
        <f t="shared" si="80"/>
        <v>pha</v>
      </c>
      <c r="Q1047" s="4"/>
      <c r="R1047" s="4"/>
      <c r="S1047" s="4"/>
      <c r="T1047" s="4" t="s">
        <v>296</v>
      </c>
      <c r="U1047" s="4" t="str">
        <f t="shared" si="88"/>
        <v>wavg</v>
      </c>
      <c r="V1047" s="6"/>
    </row>
    <row r="1048" spans="4:22" x14ac:dyDescent="0.45">
      <c r="D1048" s="54" t="s">
        <v>269</v>
      </c>
      <c r="E1048" s="4" t="str">
        <f t="shared" si="86"/>
        <v>irn.distn.dpr.ret</v>
      </c>
      <c r="F1048" s="4" t="str">
        <f t="shared" si="87"/>
        <v>N/A</v>
      </c>
      <c r="G1048" s="4" t="str">
        <f t="shared" si="79"/>
        <v>irn.distn.dpr_.all.all.wavg.all.all</v>
      </c>
      <c r="H1048" s="4" t="s">
        <v>253</v>
      </c>
      <c r="I1048" s="4" t="s">
        <v>282</v>
      </c>
      <c r="J1048" s="4" t="s">
        <v>18</v>
      </c>
      <c r="K1048" s="4"/>
      <c r="L1048" s="4"/>
      <c r="M1048" s="4"/>
      <c r="N1048" s="4"/>
      <c r="O1048" s="4" t="s">
        <v>269</v>
      </c>
      <c r="P1048" s="4" t="str">
        <f t="shared" si="80"/>
        <v>ret</v>
      </c>
      <c r="Q1048" s="4"/>
      <c r="R1048" s="4"/>
      <c r="S1048" s="4"/>
      <c r="T1048" s="4" t="s">
        <v>296</v>
      </c>
      <c r="U1048" s="4" t="str">
        <f t="shared" si="88"/>
        <v>wavg</v>
      </c>
      <c r="V1048" s="6"/>
    </row>
    <row r="1049" spans="4:22" x14ac:dyDescent="0.45">
      <c r="D1049" s="54" t="s">
        <v>30</v>
      </c>
      <c r="E1049" s="4" t="str">
        <f t="shared" si="86"/>
        <v>irn.distn.dpr.oth</v>
      </c>
      <c r="F1049" s="4" t="str">
        <f t="shared" si="87"/>
        <v>N/A</v>
      </c>
      <c r="G1049" s="4" t="str">
        <f t="shared" si="79"/>
        <v>irn.distn.dpr_.all.all.wavg.all.all</v>
      </c>
      <c r="H1049" s="4" t="s">
        <v>253</v>
      </c>
      <c r="I1049" s="4" t="s">
        <v>282</v>
      </c>
      <c r="J1049" s="4" t="s">
        <v>18</v>
      </c>
      <c r="K1049" s="4"/>
      <c r="L1049" s="4"/>
      <c r="M1049" s="4"/>
      <c r="N1049" s="4"/>
      <c r="O1049" s="4" t="s">
        <v>30</v>
      </c>
      <c r="P1049" s="4" t="str">
        <f t="shared" si="80"/>
        <v>oth</v>
      </c>
      <c r="Q1049" s="4"/>
      <c r="R1049" s="4"/>
      <c r="S1049" s="4"/>
      <c r="T1049" s="4" t="s">
        <v>296</v>
      </c>
      <c r="U1049" s="4" t="str">
        <f t="shared" si="88"/>
        <v>wavg</v>
      </c>
      <c r="V1049" s="6"/>
    </row>
    <row r="1050" spans="4:22" x14ac:dyDescent="0.45">
      <c r="D1050" s="2"/>
      <c r="E1050" s="2"/>
      <c r="F1050" s="2"/>
      <c r="G1050" s="2" t="str">
        <f>IF(D1050="","",LOWER(_Country_code)&amp;"."&amp;H1050&amp;"."&amp;IF(I1050="","all",I1050)&amp;"_"&amp;J1050&amp;"."&amp;IF(R1050="","all",R1050)&amp;"."&amp;IF(Q1050="","all",Q1050)&amp;"."&amp;IF(U1050="","all",U1050)&amp;"."&amp;IF(K1050="","all",K1050)&amp;"."&amp;IF(V1050="","all",V1050))</f>
        <v/>
      </c>
      <c r="H1050" s="2" t="s">
        <v>18</v>
      </c>
      <c r="I1050" s="2"/>
      <c r="J1050" s="2" t="s">
        <v>18</v>
      </c>
      <c r="K1050" s="2"/>
      <c r="L1050" s="2"/>
      <c r="M1050" s="2"/>
      <c r="N1050" s="2"/>
      <c r="O1050" s="2"/>
      <c r="P1050" s="2" t="str">
        <f>L1050&amp;IF(N1050="",M1050,N1050)&amp;O1050</f>
        <v/>
      </c>
      <c r="Q1050" s="2"/>
      <c r="R1050" s="2"/>
      <c r="S1050" s="2"/>
      <c r="T1050" s="2"/>
      <c r="U1050" s="2" t="str">
        <f>R1050&amp;T1050&amp;S1050</f>
        <v/>
      </c>
      <c r="V1050" s="33"/>
    </row>
    <row r="1051" spans="4:22" x14ac:dyDescent="0.45">
      <c r="D1051" s="54" t="s">
        <v>1258</v>
      </c>
      <c r="E1051" s="4" t="str">
        <f>LOWER(_Country_code)&amp; ".ppic.avi"</f>
        <v>irn.ppic.avi</v>
      </c>
      <c r="F1051" s="4" t="str">
        <f t="shared" si="87"/>
        <v>N/A</v>
      </c>
      <c r="G1051" s="4"/>
      <c r="H1051" s="4" t="s">
        <v>253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6"/>
    </row>
    <row r="1052" spans="4:22" x14ac:dyDescent="0.45">
      <c r="D1052" s="54" t="s">
        <v>1259</v>
      </c>
      <c r="E1052" s="4" t="str">
        <f>LOWER(_Country_code)&amp; ".ppic.foo"</f>
        <v>irn.ppic.foo</v>
      </c>
      <c r="F1052" s="4" t="str">
        <f t="shared" si="87"/>
        <v>N/A</v>
      </c>
      <c r="G1052" s="4"/>
      <c r="H1052" s="4" t="s">
        <v>253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6"/>
    </row>
    <row r="1053" spans="4:22" x14ac:dyDescent="0.45">
      <c r="D1053" s="54" t="s">
        <v>1260</v>
      </c>
      <c r="E1053" s="4" t="str">
        <f>LOWER(_Country_code)&amp; ".ppic.srv"</f>
        <v>irn.ppic.srv</v>
      </c>
      <c r="F1053" s="4" t="str">
        <f t="shared" si="87"/>
        <v>N/A</v>
      </c>
      <c r="G1053" s="4"/>
      <c r="H1053" s="4" t="s">
        <v>253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6"/>
    </row>
    <row r="1054" spans="4:22" x14ac:dyDescent="0.45">
      <c r="D1054" s="54" t="s">
        <v>1261</v>
      </c>
      <c r="E1054" s="4" t="str">
        <f>LOWER(_Country_code)&amp; ".ppic.con"</f>
        <v>irn.ppic.con</v>
      </c>
      <c r="F1054" s="4" t="str">
        <f t="shared" si="87"/>
        <v>N/A</v>
      </c>
      <c r="G1054" s="4"/>
      <c r="H1054" s="4" t="s">
        <v>253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6"/>
    </row>
    <row r="1055" spans="4:22" x14ac:dyDescent="0.45">
      <c r="D1055" s="54" t="s">
        <v>1262</v>
      </c>
      <c r="E1055" s="4" t="str">
        <f>+LOWER(_Country_code)&amp; ".ppic.mac"</f>
        <v>irn.ppic.mac</v>
      </c>
      <c r="F1055" s="4" t="str">
        <f t="shared" si="87"/>
        <v>N/A</v>
      </c>
      <c r="G1055" s="4"/>
      <c r="H1055" s="4" t="s">
        <v>253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6"/>
    </row>
    <row r="1056" spans="4:22" x14ac:dyDescent="0.45">
      <c r="D1056" s="54" t="s">
        <v>1263</v>
      </c>
      <c r="E1056" s="4" t="str">
        <f>LOWER(_Country_code)&amp; ".ppic.irn"</f>
        <v>irn.ppic.irn</v>
      </c>
      <c r="F1056" s="4" t="str">
        <f t="shared" si="87"/>
        <v>N/A</v>
      </c>
      <c r="G1056" s="4"/>
      <c r="H1056" s="4" t="s">
        <v>253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6"/>
    </row>
    <row r="1057" spans="4:22" x14ac:dyDescent="0.45">
      <c r="D1057" s="54" t="s">
        <v>1264</v>
      </c>
      <c r="E1057" s="4" t="str">
        <f>LOWER(_Country_code)&amp; ".ppic.man"</f>
        <v>irn.ppic.man</v>
      </c>
      <c r="F1057" s="4" t="str">
        <f t="shared" si="87"/>
        <v>N/A</v>
      </c>
      <c r="G1057" s="4"/>
      <c r="H1057" s="4" t="s">
        <v>253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6"/>
    </row>
    <row r="1058" spans="4:22" x14ac:dyDescent="0.45">
      <c r="D1058" s="54" t="s">
        <v>1265</v>
      </c>
      <c r="E1058" s="4" t="str">
        <f>LOWER(_Country_code)&amp;".ppic.oth"</f>
        <v>irn.ppic.oth</v>
      </c>
      <c r="F1058" s="4" t="str">
        <f t="shared" si="87"/>
        <v>N/A</v>
      </c>
      <c r="G1058" s="4"/>
      <c r="H1058" s="4" t="s">
        <v>253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6"/>
    </row>
    <row r="1059" spans="4:22" x14ac:dyDescent="0.45">
      <c r="D1059" s="54" t="s">
        <v>1266</v>
      </c>
      <c r="E1059" s="4" t="str">
        <f>LOWER(_Country_code)&amp;".ppic.cem"</f>
        <v>irn.ppic.cem</v>
      </c>
      <c r="F1059" s="4" t="str">
        <f t="shared" si="87"/>
        <v>N/A</v>
      </c>
      <c r="G1059" s="4"/>
      <c r="H1059" s="4" t="s">
        <v>253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6"/>
    </row>
    <row r="1060" spans="4:22" x14ac:dyDescent="0.45">
      <c r="D1060" s="54" t="s">
        <v>1267</v>
      </c>
      <c r="E1060" s="4" t="str">
        <f>LOWER(_Country_code)&amp;".ppic.shi"</f>
        <v>irn.ppic.shi</v>
      </c>
      <c r="F1060" s="4" t="str">
        <f t="shared" si="87"/>
        <v>N/A</v>
      </c>
      <c r="G1060" s="4"/>
      <c r="H1060" s="4" t="s">
        <v>253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6"/>
    </row>
    <row r="1061" spans="4:22" x14ac:dyDescent="0.45">
      <c r="D1061" s="54" t="s">
        <v>1268</v>
      </c>
      <c r="E1061" s="4" t="str">
        <f>LOWER(_Country_code)&amp;".ppic.res"</f>
        <v>irn.ppic.res</v>
      </c>
      <c r="F1061" s="4" t="str">
        <f t="shared" si="87"/>
        <v>N/A</v>
      </c>
      <c r="G1061" s="4"/>
      <c r="H1061" s="4" t="s">
        <v>253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6"/>
    </row>
    <row r="1062" spans="4:22" x14ac:dyDescent="0.45">
      <c r="D1062" s="54" t="s">
        <v>1269</v>
      </c>
      <c r="E1062" s="4" t="str">
        <f>LOWER(_Country_code)&amp;".ppic.fuel"</f>
        <v>irn.ppic.fuel</v>
      </c>
      <c r="F1062" s="4" t="str">
        <f t="shared" si="87"/>
        <v>N/A</v>
      </c>
      <c r="G1062" s="4"/>
      <c r="H1062" s="4" t="s">
        <v>253</v>
      </c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6"/>
    </row>
    <row r="1063" spans="4:22" x14ac:dyDescent="0.45">
      <c r="D1063" s="2"/>
      <c r="E1063" s="2"/>
      <c r="F1063" s="2"/>
      <c r="G1063" s="2"/>
      <c r="H1063" s="2" t="s">
        <v>253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33"/>
    </row>
    <row r="1064" spans="4:22" x14ac:dyDescent="0.45">
      <c r="D1064" s="54" t="s">
        <v>1258</v>
      </c>
      <c r="E1064" s="4" t="str">
        <f>LOWER(_Country_code)&amp; ".outpriin.avi"</f>
        <v>irn.outpriin.avi</v>
      </c>
      <c r="F1064" s="4" t="str">
        <f t="shared" si="87"/>
        <v>N/A</v>
      </c>
      <c r="G1064" s="4"/>
      <c r="H1064" s="4" t="s">
        <v>253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6"/>
    </row>
    <row r="1065" spans="4:22" x14ac:dyDescent="0.45">
      <c r="D1065" s="54" t="s">
        <v>1267</v>
      </c>
      <c r="E1065" s="4" t="str">
        <f>+LOWER(_Country_code)&amp;".outpriin.shi"</f>
        <v>irn.outpriin.shi</v>
      </c>
      <c r="F1065" s="4" t="str">
        <f t="shared" si="87"/>
        <v>N/A</v>
      </c>
      <c r="G1065" s="4"/>
      <c r="H1065" s="4" t="s">
        <v>253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6"/>
    </row>
    <row r="1066" spans="4:22" x14ac:dyDescent="0.45">
      <c r="D1066" s="54" t="s">
        <v>1266</v>
      </c>
      <c r="E1066" s="4" t="str">
        <f>LOWER(_Country_code)&amp;".outpriin.cem"</f>
        <v>irn.outpriin.cem</v>
      </c>
      <c r="F1066" s="4" t="str">
        <f t="shared" si="87"/>
        <v>N/A</v>
      </c>
      <c r="G1066" s="4"/>
      <c r="H1066" s="4" t="s">
        <v>253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6"/>
    </row>
    <row r="1067" spans="4:22" x14ac:dyDescent="0.45">
      <c r="D1067" s="54" t="s">
        <v>1263</v>
      </c>
      <c r="E1067" s="4" t="str">
        <f>LOWER(_Country_code)&amp;".outpriin.irn"</f>
        <v>irn.outpriin.irn</v>
      </c>
      <c r="F1067" s="4" t="str">
        <f t="shared" si="87"/>
        <v>N/A</v>
      </c>
      <c r="G1067" s="4"/>
      <c r="H1067" s="4" t="s">
        <v>253</v>
      </c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6"/>
    </row>
    <row r="1068" spans="4:22" x14ac:dyDescent="0.45">
      <c r="D1068" s="54" t="s">
        <v>1265</v>
      </c>
      <c r="E1068" s="4" t="str">
        <f>LOWER(_Country_code)&amp;".outpriin.oth"</f>
        <v>irn.outpriin.oth</v>
      </c>
      <c r="F1068" s="4" t="str">
        <f t="shared" si="87"/>
        <v>N/A</v>
      </c>
      <c r="G1068" s="4"/>
      <c r="H1068" s="4" t="s">
        <v>253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6"/>
    </row>
    <row r="1069" spans="4:22" x14ac:dyDescent="0.45">
      <c r="D1069" s="54" t="s">
        <v>1264</v>
      </c>
      <c r="E1069" s="4" t="str">
        <f>LOWER(_Country_code)&amp;".outpriin.man"</f>
        <v>irn.outpriin.man</v>
      </c>
      <c r="F1069" s="4" t="str">
        <f t="shared" si="87"/>
        <v>N/A</v>
      </c>
      <c r="G1069" s="4"/>
      <c r="H1069" s="4" t="s">
        <v>253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6"/>
    </row>
    <row r="1070" spans="4:22" x14ac:dyDescent="0.45">
      <c r="D1070" s="54" t="s">
        <v>1259</v>
      </c>
      <c r="E1070" s="4" t="str">
        <f>LOWER(_Country_code)&amp;".outpriin.foo"</f>
        <v>irn.outpriin.foo</v>
      </c>
      <c r="F1070" s="4" t="str">
        <f t="shared" si="87"/>
        <v>N/A</v>
      </c>
      <c r="G1070" s="4"/>
      <c r="H1070" s="4" t="s">
        <v>253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6"/>
    </row>
    <row r="1071" spans="4:22" x14ac:dyDescent="0.45">
      <c r="D1071" s="54" t="s">
        <v>1262</v>
      </c>
      <c r="E1071" s="4" t="str">
        <f>LOWER(_Country_code)&amp;".outpriin.mac"</f>
        <v>irn.outpriin.mac</v>
      </c>
      <c r="F1071" s="4" t="str">
        <f t="shared" si="87"/>
        <v>N/A</v>
      </c>
      <c r="G1071" s="4"/>
      <c r="H1071" s="4" t="s">
        <v>253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6"/>
    </row>
    <row r="1072" spans="4:22" x14ac:dyDescent="0.45">
      <c r="D1072" s="54" t="s">
        <v>1268</v>
      </c>
      <c r="E1072" s="4" t="str">
        <f>LOWER(_Country_code)&amp;".outpriin.res"</f>
        <v>irn.outpriin.res</v>
      </c>
      <c r="F1072" s="4" t="str">
        <f t="shared" si="87"/>
        <v>N/A</v>
      </c>
      <c r="G1072" s="4"/>
      <c r="H1072" s="4" t="s">
        <v>253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6"/>
    </row>
    <row r="1073" spans="4:22" x14ac:dyDescent="0.45">
      <c r="D1073" s="54" t="s">
        <v>1261</v>
      </c>
      <c r="E1073" s="4" t="str">
        <f>LOWER(_Country_code)&amp;".outpriin.con"</f>
        <v>irn.outpriin.con</v>
      </c>
      <c r="F1073" s="4" t="str">
        <f t="shared" si="87"/>
        <v>N/A</v>
      </c>
      <c r="G1073" s="4"/>
      <c r="H1073" s="4" t="s">
        <v>253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6"/>
    </row>
    <row r="1074" spans="4:22" x14ac:dyDescent="0.45">
      <c r="D1074" s="54" t="s">
        <v>1260</v>
      </c>
      <c r="E1074" s="4" t="str">
        <f>LOWER(_Country_code)&amp;".outpriin.srv"</f>
        <v>irn.outpriin.srv</v>
      </c>
      <c r="F1074" s="4" t="str">
        <f t="shared" si="87"/>
        <v>N/A</v>
      </c>
      <c r="G1074" s="4"/>
      <c r="H1074" s="4" t="s">
        <v>253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6"/>
    </row>
    <row r="1075" spans="4:22" x14ac:dyDescent="0.45">
      <c r="D1075" s="2"/>
      <c r="E1075" s="32" t="s">
        <v>293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33"/>
    </row>
    <row r="1076" spans="4:22" x14ac:dyDescent="0.45">
      <c r="D1076" s="54" t="s">
        <v>1270</v>
      </c>
      <c r="E1076" s="4" t="s">
        <v>297</v>
      </c>
      <c r="F1076" s="4" t="str">
        <f>IF(MTAct,E1076&amp;"_"&amp;MSTScenarioID,"N/A")</f>
        <v>N/A</v>
      </c>
      <c r="G1076" s="4"/>
      <c r="H1076" s="4" t="s">
        <v>253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6"/>
    </row>
    <row r="1077" spans="4:22" x14ac:dyDescent="0.45">
      <c r="D1077" s="54" t="s">
        <v>1271</v>
      </c>
      <c r="E1077" s="4" t="str">
        <f>LOWER(_Country_code)&amp;".adjustedpasstrhough"</f>
        <v>irn.adjustedpasstrhough</v>
      </c>
      <c r="F1077" s="4" t="str">
        <f>IF(MTAct,E1077&amp;"_"&amp;MSTScenarioID,"N/A")</f>
        <v>N/A</v>
      </c>
      <c r="G1077" s="4"/>
      <c r="H1077" s="4" t="s">
        <v>253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6"/>
    </row>
    <row r="1078" spans="4:22" x14ac:dyDescent="0.45">
      <c r="D1078" s="2"/>
      <c r="E1078" s="2"/>
      <c r="F1078" s="2"/>
      <c r="G1078" s="2" t="str">
        <f t="shared" si="79"/>
        <v/>
      </c>
      <c r="H1078" s="2" t="s">
        <v>18</v>
      </c>
      <c r="I1078" s="2"/>
      <c r="J1078" s="2" t="s">
        <v>18</v>
      </c>
      <c r="K1078" s="2"/>
      <c r="L1078" s="2"/>
      <c r="M1078" s="2"/>
      <c r="N1078" s="2"/>
      <c r="O1078" s="2"/>
      <c r="P1078" s="2" t="str">
        <f t="shared" si="80"/>
        <v/>
      </c>
      <c r="Q1078" s="2"/>
      <c r="R1078" s="2"/>
      <c r="S1078" s="2"/>
      <c r="T1078" s="2"/>
      <c r="U1078" s="2" t="str">
        <f t="shared" si="88"/>
        <v/>
      </c>
      <c r="V1078" s="33"/>
    </row>
    <row r="1079" spans="4:22" x14ac:dyDescent="0.45">
      <c r="D1079" s="47" t="s">
        <v>1272</v>
      </c>
      <c r="E1079" s="4" t="str">
        <f>LOWER(_Country_code)&amp;".mit.el.inc.ecy.res"</f>
        <v>irn.mit.el.inc.ecy.res</v>
      </c>
      <c r="F1079" s="4" t="str">
        <f>IF(MTAct,E1079&amp;"_"&amp;MSTScenarioID,"N/A")</f>
        <v>N/A</v>
      </c>
      <c r="G1079" s="4" t="str">
        <f t="shared" si="79"/>
        <v>irn.mit.elinc_.all.ecy.all.all.all</v>
      </c>
      <c r="H1079" s="4" t="s">
        <v>19</v>
      </c>
      <c r="I1079" s="4" t="s">
        <v>298</v>
      </c>
      <c r="J1079" s="4" t="s">
        <v>18</v>
      </c>
      <c r="K1079" s="4"/>
      <c r="L1079" s="4"/>
      <c r="M1079" s="4" t="s">
        <v>28</v>
      </c>
      <c r="N1079" s="4"/>
      <c r="O1079" s="4"/>
      <c r="P1079" s="4" t="str">
        <f t="shared" si="80"/>
        <v>res</v>
      </c>
      <c r="Q1079" s="4" t="s">
        <v>101</v>
      </c>
      <c r="R1079" s="4"/>
      <c r="S1079" s="4"/>
      <c r="T1079" s="4"/>
      <c r="U1079" s="4" t="str">
        <f t="shared" si="88"/>
        <v/>
      </c>
      <c r="V1079" s="6"/>
    </row>
    <row r="1080" spans="4:22" x14ac:dyDescent="0.45">
      <c r="D1080" s="47" t="s">
        <v>1273</v>
      </c>
      <c r="E1080" s="4" t="str">
        <f>LOWER(_Country_code)&amp;".mit.el.inc.gso.res"</f>
        <v>irn.mit.el.inc.gso.res</v>
      </c>
      <c r="F1080" s="4" t="str">
        <f>IF(MTAct,E1080&amp;"_"&amp;MSTScenarioID,"N/A")</f>
        <v>N/A</v>
      </c>
      <c r="G1080" s="4" t="str">
        <f t="shared" si="79"/>
        <v>irn.mit.elinc_.all.gso.all.all.all</v>
      </c>
      <c r="H1080" s="4" t="s">
        <v>19</v>
      </c>
      <c r="I1080" s="4" t="s">
        <v>298</v>
      </c>
      <c r="J1080" s="4" t="s">
        <v>18</v>
      </c>
      <c r="K1080" s="4"/>
      <c r="L1080" s="4"/>
      <c r="M1080" s="4" t="s">
        <v>28</v>
      </c>
      <c r="N1080" s="4"/>
      <c r="O1080" s="4"/>
      <c r="P1080" s="4" t="str">
        <f t="shared" si="80"/>
        <v>res</v>
      </c>
      <c r="Q1080" s="4" t="s">
        <v>63</v>
      </c>
      <c r="R1080" s="4"/>
      <c r="S1080" s="4"/>
      <c r="T1080" s="4"/>
      <c r="U1080" s="4" t="str">
        <f t="shared" si="88"/>
        <v/>
      </c>
      <c r="V1080" s="6"/>
    </row>
    <row r="1081" spans="4:22" x14ac:dyDescent="0.45">
      <c r="D1081" s="47" t="s">
        <v>1274</v>
      </c>
      <c r="E1081" s="4" t="str">
        <f>LOWER(_Country_code)&amp;".mit.el.inc.die.res"</f>
        <v>irn.mit.el.inc.die.res</v>
      </c>
      <c r="F1081" s="4" t="str">
        <f>IF(MTAct,E1081&amp;"_"&amp;MSTScenarioID,"N/A")</f>
        <v>N/A</v>
      </c>
      <c r="G1081" s="4" t="str">
        <f t="shared" si="79"/>
        <v>irn.mit.elinc_.all.die.all.all.all</v>
      </c>
      <c r="H1081" s="4" t="s">
        <v>19</v>
      </c>
      <c r="I1081" s="4" t="s">
        <v>298</v>
      </c>
      <c r="J1081" s="4" t="s">
        <v>18</v>
      </c>
      <c r="K1081" s="4"/>
      <c r="L1081" s="4"/>
      <c r="M1081" s="4" t="s">
        <v>28</v>
      </c>
      <c r="N1081" s="4"/>
      <c r="O1081" s="4"/>
      <c r="P1081" s="4" t="str">
        <f t="shared" si="80"/>
        <v>res</v>
      </c>
      <c r="Q1081" s="4" t="s">
        <v>64</v>
      </c>
      <c r="R1081" s="4"/>
      <c r="S1081" s="4"/>
      <c r="T1081" s="4"/>
      <c r="U1081" s="4" t="str">
        <f t="shared" si="88"/>
        <v/>
      </c>
      <c r="V1081" s="6"/>
    </row>
    <row r="1082" spans="4:22" x14ac:dyDescent="0.45">
      <c r="D1082" s="2"/>
      <c r="E1082" s="2"/>
      <c r="F1082" s="2"/>
      <c r="G1082" s="2" t="str">
        <f t="shared" si="79"/>
        <v/>
      </c>
      <c r="H1082" s="2" t="s">
        <v>18</v>
      </c>
      <c r="I1082" s="2"/>
      <c r="J1082" s="2" t="s">
        <v>18</v>
      </c>
      <c r="K1082" s="2"/>
      <c r="L1082" s="2"/>
      <c r="M1082" s="2"/>
      <c r="N1082" s="2"/>
      <c r="O1082" s="2"/>
      <c r="P1082" s="2" t="str">
        <f t="shared" si="80"/>
        <v/>
      </c>
      <c r="Q1082" s="2"/>
      <c r="R1082" s="2"/>
      <c r="S1082" s="2"/>
      <c r="T1082" s="2"/>
      <c r="U1082" s="2" t="str">
        <f t="shared" si="88"/>
        <v/>
      </c>
      <c r="V1082" s="33"/>
    </row>
    <row r="1083" spans="4:22" x14ac:dyDescent="0.45">
      <c r="D1083" s="47" t="s">
        <v>1275</v>
      </c>
      <c r="E1083" s="4" t="s">
        <v>31</v>
      </c>
      <c r="F1083" s="4" t="str">
        <f t="shared" ref="F1083:F1093" si="89">IF(MTAct,E1083&amp;"_"&amp;MSTScenarioID,"N/A")</f>
        <v>N/A</v>
      </c>
      <c r="G1083" s="4" t="str">
        <f t="shared" si="79"/>
        <v>irn.mit.gdpr_.all.all.all.all.all</v>
      </c>
      <c r="H1083" s="4" t="s">
        <v>19</v>
      </c>
      <c r="I1083" s="4" t="s">
        <v>299</v>
      </c>
      <c r="J1083" s="4" t="s">
        <v>18</v>
      </c>
      <c r="K1083" s="4"/>
      <c r="L1083" s="4"/>
      <c r="M1083" s="4"/>
      <c r="N1083" s="4"/>
      <c r="O1083" s="4"/>
      <c r="P1083" s="4" t="str">
        <f t="shared" si="80"/>
        <v/>
      </c>
      <c r="Q1083" s="4"/>
      <c r="R1083" s="4"/>
      <c r="S1083" s="4"/>
      <c r="T1083" s="4"/>
      <c r="U1083" s="4" t="str">
        <f t="shared" si="88"/>
        <v/>
      </c>
      <c r="V1083" s="6"/>
    </row>
    <row r="1084" spans="4:22" x14ac:dyDescent="0.45">
      <c r="D1084" s="47" t="s">
        <v>1276</v>
      </c>
      <c r="E1084" s="4" t="s">
        <v>300</v>
      </c>
      <c r="F1084" s="4" t="str">
        <f t="shared" si="89"/>
        <v>N/A</v>
      </c>
      <c r="G1084" s="4" t="str">
        <f t="shared" si="79"/>
        <v>irn.mit.co2_.all.all.all.all.all</v>
      </c>
      <c r="H1084" s="4" t="s">
        <v>19</v>
      </c>
      <c r="I1084" s="4" t="s">
        <v>58</v>
      </c>
      <c r="J1084" s="4" t="s">
        <v>18</v>
      </c>
      <c r="K1084" s="4"/>
      <c r="L1084" s="4"/>
      <c r="M1084" s="4"/>
      <c r="N1084" s="4" t="s">
        <v>26</v>
      </c>
      <c r="O1084" s="4"/>
      <c r="P1084" s="4" t="str">
        <f t="shared" si="80"/>
        <v>pow</v>
      </c>
      <c r="Q1084" s="4"/>
      <c r="R1084" s="4"/>
      <c r="S1084" s="4"/>
      <c r="T1084" s="4"/>
      <c r="U1084" s="4" t="str">
        <f t="shared" si="88"/>
        <v/>
      </c>
      <c r="V1084" s="6"/>
    </row>
    <row r="1085" spans="4:22" x14ac:dyDescent="0.45">
      <c r="D1085" s="47" t="s">
        <v>1277</v>
      </c>
      <c r="E1085" s="4" t="s">
        <v>58</v>
      </c>
      <c r="F1085" s="4" t="str">
        <f t="shared" si="89"/>
        <v>N/A</v>
      </c>
      <c r="G1085" s="4" t="str">
        <f t="shared" si="79"/>
        <v>irn.mit.co2_.all.all.all.all.all</v>
      </c>
      <c r="H1085" s="4" t="s">
        <v>19</v>
      </c>
      <c r="I1085" s="4" t="s">
        <v>58</v>
      </c>
      <c r="J1085" s="4" t="s">
        <v>18</v>
      </c>
      <c r="K1085" s="4"/>
      <c r="L1085" s="4"/>
      <c r="M1085" s="4"/>
      <c r="N1085" s="4"/>
      <c r="O1085" s="4"/>
      <c r="P1085" s="4" t="str">
        <f t="shared" si="80"/>
        <v/>
      </c>
      <c r="Q1085" s="4"/>
      <c r="R1085" s="4"/>
      <c r="S1085" s="4"/>
      <c r="T1085" s="4"/>
      <c r="U1085" s="4" t="str">
        <f t="shared" si="88"/>
        <v/>
      </c>
      <c r="V1085" s="6"/>
    </row>
    <row r="1086" spans="4:22" x14ac:dyDescent="0.45">
      <c r="D1086" s="47" t="s">
        <v>1278</v>
      </c>
      <c r="E1086" s="4" t="s">
        <v>301</v>
      </c>
      <c r="F1086" s="4" t="str">
        <f t="shared" si="89"/>
        <v>N/A</v>
      </c>
      <c r="G1086" s="4" t="str">
        <f t="shared" si="79"/>
        <v>irn.mit.co2inte_.all.all.all.all.all</v>
      </c>
      <c r="H1086" s="4" t="s">
        <v>19</v>
      </c>
      <c r="I1086" s="4" t="s">
        <v>302</v>
      </c>
      <c r="J1086" s="4" t="s">
        <v>18</v>
      </c>
      <c r="K1086" s="4"/>
      <c r="L1086" s="4"/>
      <c r="M1086" s="4"/>
      <c r="N1086" s="4"/>
      <c r="O1086" s="4"/>
      <c r="P1086" s="4" t="str">
        <f t="shared" si="80"/>
        <v/>
      </c>
      <c r="Q1086" s="4"/>
      <c r="R1086" s="4"/>
      <c r="S1086" s="4"/>
      <c r="T1086" s="4"/>
      <c r="U1086" s="4" t="str">
        <f t="shared" si="88"/>
        <v/>
      </c>
      <c r="V1086" s="6"/>
    </row>
    <row r="1087" spans="4:22" x14ac:dyDescent="0.45">
      <c r="D1087" s="47" t="s">
        <v>1279</v>
      </c>
      <c r="E1087" s="4" t="s">
        <v>168</v>
      </c>
      <c r="F1087" s="4" t="str">
        <f t="shared" si="89"/>
        <v>N/A</v>
      </c>
      <c r="G1087" s="4" t="str">
        <f t="shared" si="79"/>
        <v>irn.mit.elec_.all.all.all.all.all</v>
      </c>
      <c r="H1087" s="4" t="s">
        <v>19</v>
      </c>
      <c r="I1087" s="4" t="s">
        <v>168</v>
      </c>
      <c r="J1087" s="4" t="s">
        <v>18</v>
      </c>
      <c r="K1087" s="4"/>
      <c r="L1087" s="4"/>
      <c r="M1087" s="4"/>
      <c r="N1087" s="4"/>
      <c r="O1087" s="4"/>
      <c r="P1087" s="4" t="str">
        <f t="shared" si="80"/>
        <v/>
      </c>
      <c r="Q1087" s="4"/>
      <c r="R1087" s="4"/>
      <c r="S1087" s="4"/>
      <c r="T1087" s="4"/>
      <c r="U1087" s="4" t="str">
        <f t="shared" si="88"/>
        <v/>
      </c>
      <c r="V1087" s="6"/>
    </row>
    <row r="1088" spans="4:22" x14ac:dyDescent="0.45">
      <c r="D1088" s="47" t="s">
        <v>1280</v>
      </c>
      <c r="E1088" s="4" t="s">
        <v>303</v>
      </c>
      <c r="F1088" s="4" t="str">
        <f t="shared" si="89"/>
        <v>N/A</v>
      </c>
      <c r="G1088" s="4" t="str">
        <f t="shared" si="79"/>
        <v>irn.mit.renprop_.all.all.all.all.all</v>
      </c>
      <c r="H1088" s="4" t="s">
        <v>19</v>
      </c>
      <c r="I1088" s="4" t="s">
        <v>304</v>
      </c>
      <c r="J1088" s="4" t="s">
        <v>18</v>
      </c>
      <c r="K1088" s="4"/>
      <c r="L1088" s="4"/>
      <c r="M1088" s="4"/>
      <c r="N1088" s="4"/>
      <c r="O1088" s="4"/>
      <c r="P1088" s="4" t="str">
        <f t="shared" si="80"/>
        <v/>
      </c>
      <c r="Q1088" s="4"/>
      <c r="R1088" s="4"/>
      <c r="S1088" s="4"/>
      <c r="T1088" s="4"/>
      <c r="U1088" s="4" t="str">
        <f t="shared" si="88"/>
        <v/>
      </c>
      <c r="V1088" s="6"/>
    </row>
    <row r="1089" spans="4:22" x14ac:dyDescent="0.45">
      <c r="D1089" s="47" t="s">
        <v>1281</v>
      </c>
      <c r="E1089" s="4" t="s">
        <v>304</v>
      </c>
      <c r="F1089" s="4" t="str">
        <f t="shared" si="89"/>
        <v>N/A</v>
      </c>
      <c r="G1089" s="4" t="str">
        <f t="shared" si="79"/>
        <v>irn.mit.renprop_.all.all.all.all.all</v>
      </c>
      <c r="H1089" s="4" t="s">
        <v>19</v>
      </c>
      <c r="I1089" s="4" t="s">
        <v>304</v>
      </c>
      <c r="J1089" s="4" t="s">
        <v>18</v>
      </c>
      <c r="K1089" s="4"/>
      <c r="L1089" s="4"/>
      <c r="M1089" s="4"/>
      <c r="N1089" s="4"/>
      <c r="O1089" s="4"/>
      <c r="P1089" s="4" t="str">
        <f t="shared" si="80"/>
        <v/>
      </c>
      <c r="Q1089" s="4"/>
      <c r="R1089" s="4"/>
      <c r="S1089" s="4"/>
      <c r="T1089" s="4"/>
      <c r="U1089" s="4" t="str">
        <f t="shared" si="88"/>
        <v/>
      </c>
      <c r="V1089" s="6"/>
    </row>
    <row r="1090" spans="4:22" x14ac:dyDescent="0.45">
      <c r="D1090" s="47" t="s">
        <v>1282</v>
      </c>
      <c r="E1090" s="4" t="s">
        <v>305</v>
      </c>
      <c r="F1090" s="4" t="str">
        <f t="shared" si="89"/>
        <v>N/A</v>
      </c>
      <c r="G1090" s="4" t="str">
        <f t="shared" ref="G1090:G1156" si="90">IF(D1090="","",LOWER(_Country_code)&amp;"."&amp;H1090&amp;"."&amp;IF(I1090="","all",I1090)&amp;"_"&amp;J1090&amp;"."&amp;IF(R1090="","all",R1090)&amp;"."&amp;IF(Q1090="","all",Q1090)&amp;"."&amp;IF(U1090="","all",U1090)&amp;"."&amp;IF(K1090="","all",K1090)&amp;"."&amp;IF(V1090="","all",V1090))</f>
        <v>irn.mit.co2intp_.all.all.all.all.all</v>
      </c>
      <c r="H1090" s="4" t="s">
        <v>19</v>
      </c>
      <c r="I1090" s="4" t="s">
        <v>306</v>
      </c>
      <c r="J1090" s="4" t="s">
        <v>18</v>
      </c>
      <c r="K1090" s="4"/>
      <c r="L1090" s="4"/>
      <c r="M1090" s="4"/>
      <c r="N1090" s="4"/>
      <c r="O1090" s="4"/>
      <c r="P1090" s="4" t="str">
        <f t="shared" si="80"/>
        <v/>
      </c>
      <c r="Q1090" s="4"/>
      <c r="R1090" s="4"/>
      <c r="S1090" s="4"/>
      <c r="T1090" s="4"/>
      <c r="U1090" s="4" t="str">
        <f t="shared" si="88"/>
        <v/>
      </c>
      <c r="V1090" s="6"/>
    </row>
    <row r="1091" spans="4:22" x14ac:dyDescent="0.45">
      <c r="D1091" s="47" t="s">
        <v>1283</v>
      </c>
      <c r="E1091" s="4" t="str">
        <f>[1]Mitigation!G14153</f>
        <v>irn.mit.tsd.ecy.1</v>
      </c>
      <c r="F1091" s="4" t="str">
        <f t="shared" si="89"/>
        <v>N/A</v>
      </c>
      <c r="G1091" s="4" t="str">
        <f t="shared" si="90"/>
        <v>irn.mit.tsd_.all.ecy.all.all.1</v>
      </c>
      <c r="H1091" s="4" t="s">
        <v>19</v>
      </c>
      <c r="I1091" s="4" t="s">
        <v>307</v>
      </c>
      <c r="J1091" s="4" t="s">
        <v>18</v>
      </c>
      <c r="K1091" s="4"/>
      <c r="L1091" s="4"/>
      <c r="M1091" s="4"/>
      <c r="N1091" s="4" t="s">
        <v>46</v>
      </c>
      <c r="O1091" s="4"/>
      <c r="P1091" s="4" t="str">
        <f t="shared" si="80"/>
        <v>all</v>
      </c>
      <c r="Q1091" s="4" t="s">
        <v>101</v>
      </c>
      <c r="R1091" s="4"/>
      <c r="S1091" s="4"/>
      <c r="T1091" s="4"/>
      <c r="U1091" s="4" t="str">
        <f t="shared" si="88"/>
        <v/>
      </c>
      <c r="V1091" s="6">
        <v>1</v>
      </c>
    </row>
    <row r="1092" spans="4:22" x14ac:dyDescent="0.45">
      <c r="D1092" s="47" t="s">
        <v>1284</v>
      </c>
      <c r="E1092" s="4" t="str">
        <f>[1]Mitigation!G14154</f>
        <v>irn.mit.eou.ecy.1</v>
      </c>
      <c r="F1092" s="4" t="str">
        <f t="shared" si="89"/>
        <v>N/A</v>
      </c>
      <c r="G1092" s="4" t="str">
        <f t="shared" si="90"/>
        <v>irn.mit.eou_.all.ecy.all.all.1</v>
      </c>
      <c r="H1092" s="4" t="s">
        <v>19</v>
      </c>
      <c r="I1092" s="4" t="s">
        <v>308</v>
      </c>
      <c r="J1092" s="4" t="s">
        <v>18</v>
      </c>
      <c r="K1092" s="4"/>
      <c r="L1092" s="4"/>
      <c r="M1092" s="4"/>
      <c r="N1092" s="4" t="s">
        <v>46</v>
      </c>
      <c r="O1092" s="4"/>
      <c r="P1092" s="4" t="str">
        <f t="shared" si="80"/>
        <v>all</v>
      </c>
      <c r="Q1092" s="4" t="s">
        <v>101</v>
      </c>
      <c r="R1092" s="4"/>
      <c r="S1092" s="4"/>
      <c r="T1092" s="4"/>
      <c r="U1092" s="4" t="str">
        <f t="shared" si="88"/>
        <v/>
      </c>
      <c r="V1092" s="6">
        <v>1</v>
      </c>
    </row>
    <row r="1093" spans="4:22" x14ac:dyDescent="0.45">
      <c r="D1093" s="55" t="s">
        <v>1285</v>
      </c>
      <c r="E1093" s="4" t="str">
        <f>[1]Mitigation!G14155</f>
        <v>irn.mit.nxp.ecy.1</v>
      </c>
      <c r="F1093" s="4" t="str">
        <f t="shared" si="89"/>
        <v>N/A</v>
      </c>
      <c r="G1093" s="4" t="str">
        <f t="shared" si="90"/>
        <v>irn.mit.nxp_.all.ecy.all.all.1</v>
      </c>
      <c r="H1093" s="4" t="s">
        <v>19</v>
      </c>
      <c r="I1093" s="4" t="s">
        <v>193</v>
      </c>
      <c r="J1093" s="4" t="s">
        <v>18</v>
      </c>
      <c r="K1093" s="4"/>
      <c r="L1093" s="4"/>
      <c r="M1093" s="4"/>
      <c r="N1093" s="4" t="s">
        <v>46</v>
      </c>
      <c r="O1093" s="4"/>
      <c r="P1093" s="4" t="str">
        <f t="shared" si="80"/>
        <v>all</v>
      </c>
      <c r="Q1093" s="4" t="s">
        <v>101</v>
      </c>
      <c r="R1093" s="4"/>
      <c r="S1093" s="4"/>
      <c r="T1093" s="4"/>
      <c r="U1093" s="4" t="str">
        <f t="shared" si="88"/>
        <v/>
      </c>
      <c r="V1093" s="6">
        <v>1</v>
      </c>
    </row>
    <row r="1094" spans="4:22" x14ac:dyDescent="0.45">
      <c r="D1094" s="2"/>
      <c r="E1094" s="2"/>
      <c r="F1094" s="2"/>
      <c r="G1094" s="2" t="str">
        <f t="shared" si="90"/>
        <v/>
      </c>
      <c r="H1094" s="2" t="s">
        <v>18</v>
      </c>
      <c r="I1094" s="2"/>
      <c r="J1094" s="2" t="s">
        <v>18</v>
      </c>
      <c r="K1094" s="2"/>
      <c r="L1094" s="2"/>
      <c r="M1094" s="2"/>
      <c r="N1094" s="2"/>
      <c r="O1094" s="2"/>
      <c r="P1094" s="2" t="str">
        <f t="shared" si="80"/>
        <v/>
      </c>
      <c r="Q1094" s="2"/>
      <c r="R1094" s="2"/>
      <c r="S1094" s="2"/>
      <c r="T1094" s="2"/>
      <c r="U1094" s="2" t="str">
        <f t="shared" si="88"/>
        <v/>
      </c>
      <c r="V1094" s="33"/>
    </row>
    <row r="1095" spans="4:22" x14ac:dyDescent="0.45">
      <c r="D1095" s="17" t="s">
        <v>1286</v>
      </c>
      <c r="E1095" s="4" t="str">
        <f>[1]Mitigation!H16214</f>
        <v>irn.mit.ec.ele.2019.1</v>
      </c>
      <c r="F1095" s="4" t="str">
        <f t="shared" ref="F1095:F1113" si="91">IF(MTAct,E1095&amp;"_"&amp;MSTScenarioID,"N/A")</f>
        <v>N/A</v>
      </c>
      <c r="G1095" s="4" t="str">
        <f t="shared" si="90"/>
        <v>irn.mit.ec_f.all.ele.2019.all.1</v>
      </c>
      <c r="H1095" s="4" t="s">
        <v>19</v>
      </c>
      <c r="I1095" s="4" t="s">
        <v>309</v>
      </c>
      <c r="J1095" s="4" t="s">
        <v>59</v>
      </c>
      <c r="K1095" s="4"/>
      <c r="L1095" s="4"/>
      <c r="M1095" s="4"/>
      <c r="N1095" s="4"/>
      <c r="O1095" s="4"/>
      <c r="P1095" s="4" t="str">
        <f t="shared" si="80"/>
        <v/>
      </c>
      <c r="Q1095" s="4" t="s">
        <v>181</v>
      </c>
      <c r="R1095" s="4"/>
      <c r="S1095" s="4"/>
      <c r="T1095" s="4">
        <v>2019</v>
      </c>
      <c r="U1095" s="4" t="str">
        <f t="shared" si="88"/>
        <v>2019</v>
      </c>
      <c r="V1095" s="17">
        <v>1</v>
      </c>
    </row>
    <row r="1096" spans="4:22" x14ac:dyDescent="0.45">
      <c r="D1096" s="17" t="s">
        <v>1287</v>
      </c>
      <c r="E1096" s="4" t="str">
        <f>[1]Mitigation!H16215</f>
        <v>irn.mit.ec.coa.2019.1</v>
      </c>
      <c r="F1096" s="4" t="str">
        <f t="shared" si="91"/>
        <v>N/A</v>
      </c>
      <c r="G1096" s="4" t="str">
        <f t="shared" si="90"/>
        <v>irn.mit.ec_f.all.coa.2019.all.1</v>
      </c>
      <c r="H1096" s="4" t="s">
        <v>19</v>
      </c>
      <c r="I1096" s="4" t="s">
        <v>309</v>
      </c>
      <c r="J1096" s="4" t="s">
        <v>59</v>
      </c>
      <c r="K1096" s="4"/>
      <c r="L1096" s="4"/>
      <c r="M1096" s="4"/>
      <c r="N1096" s="4"/>
      <c r="O1096" s="4"/>
      <c r="P1096" s="4" t="str">
        <f t="shared" si="80"/>
        <v/>
      </c>
      <c r="Q1096" s="4" t="s">
        <v>60</v>
      </c>
      <c r="R1096" s="4"/>
      <c r="S1096" s="4"/>
      <c r="T1096" s="4">
        <v>2019</v>
      </c>
      <c r="U1096" s="4" t="str">
        <f t="shared" si="88"/>
        <v>2019</v>
      </c>
      <c r="V1096" s="17">
        <v>1</v>
      </c>
    </row>
    <row r="1097" spans="4:22" x14ac:dyDescent="0.45">
      <c r="D1097" s="17" t="s">
        <v>1288</v>
      </c>
      <c r="E1097" s="4" t="str">
        <f>[1]Mitigation!H16216</f>
        <v>irn.mit.ec.nga.2019.1</v>
      </c>
      <c r="F1097" s="4" t="str">
        <f t="shared" si="91"/>
        <v>N/A</v>
      </c>
      <c r="G1097" s="4" t="str">
        <f t="shared" si="90"/>
        <v>irn.mit.ec_f.all.nga.2019.all.1</v>
      </c>
      <c r="H1097" s="4" t="s">
        <v>19</v>
      </c>
      <c r="I1097" s="4" t="s">
        <v>309</v>
      </c>
      <c r="J1097" s="4" t="s">
        <v>59</v>
      </c>
      <c r="K1097" s="4"/>
      <c r="L1097" s="4"/>
      <c r="M1097" s="4"/>
      <c r="N1097" s="4"/>
      <c r="O1097" s="4"/>
      <c r="P1097" s="4" t="str">
        <f t="shared" si="80"/>
        <v/>
      </c>
      <c r="Q1097" s="4" t="s">
        <v>61</v>
      </c>
      <c r="R1097" s="4"/>
      <c r="S1097" s="4"/>
      <c r="T1097" s="4">
        <v>2019</v>
      </c>
      <c r="U1097" s="4" t="str">
        <f t="shared" si="88"/>
        <v>2019</v>
      </c>
      <c r="V1097" s="17">
        <v>1</v>
      </c>
    </row>
    <row r="1098" spans="4:22" x14ac:dyDescent="0.45">
      <c r="D1098" s="17" t="s">
        <v>1289</v>
      </c>
      <c r="E1098" s="4" t="str">
        <f>[1]Mitigation!H16217</f>
        <v>irn.mit.ec.oop.2019.1</v>
      </c>
      <c r="F1098" s="4" t="str">
        <f t="shared" si="91"/>
        <v>N/A</v>
      </c>
      <c r="G1098" s="4" t="str">
        <f t="shared" si="90"/>
        <v>irn.mit.ec_f.all.oop.2019.all.1</v>
      </c>
      <c r="H1098" s="4" t="s">
        <v>19</v>
      </c>
      <c r="I1098" s="4" t="s">
        <v>309</v>
      </c>
      <c r="J1098" s="4" t="s">
        <v>59</v>
      </c>
      <c r="K1098" s="4"/>
      <c r="L1098" s="4"/>
      <c r="M1098" s="4"/>
      <c r="N1098" s="4"/>
      <c r="O1098" s="4"/>
      <c r="P1098" s="4" t="str">
        <f t="shared" si="80"/>
        <v/>
      </c>
      <c r="Q1098" s="4" t="s">
        <v>113</v>
      </c>
      <c r="R1098" s="4"/>
      <c r="S1098" s="4"/>
      <c r="T1098" s="4">
        <v>2019</v>
      </c>
      <c r="U1098" s="4" t="str">
        <f t="shared" si="88"/>
        <v>2019</v>
      </c>
      <c r="V1098" s="17">
        <v>1</v>
      </c>
    </row>
    <row r="1099" spans="4:22" x14ac:dyDescent="0.45">
      <c r="D1099" s="17" t="s">
        <v>1290</v>
      </c>
      <c r="E1099" s="4" t="str">
        <f>[1]Mitigation!H16218</f>
        <v>irn.mit.ec.gso.2019.1</v>
      </c>
      <c r="F1099" s="4" t="str">
        <f t="shared" si="91"/>
        <v>N/A</v>
      </c>
      <c r="G1099" s="4" t="str">
        <f t="shared" si="90"/>
        <v>irn.mit.ec_f.all.gso.2019.all.1</v>
      </c>
      <c r="H1099" s="4" t="s">
        <v>19</v>
      </c>
      <c r="I1099" s="4" t="s">
        <v>309</v>
      </c>
      <c r="J1099" s="4" t="s">
        <v>59</v>
      </c>
      <c r="K1099" s="4"/>
      <c r="L1099" s="4"/>
      <c r="M1099" s="4"/>
      <c r="N1099" s="4"/>
      <c r="O1099" s="4"/>
      <c r="P1099" s="4" t="str">
        <f t="shared" si="80"/>
        <v/>
      </c>
      <c r="Q1099" s="4" t="s">
        <v>63</v>
      </c>
      <c r="R1099" s="4"/>
      <c r="S1099" s="4"/>
      <c r="T1099" s="4">
        <v>2019</v>
      </c>
      <c r="U1099" s="4" t="str">
        <f t="shared" si="88"/>
        <v>2019</v>
      </c>
      <c r="V1099" s="17">
        <v>1</v>
      </c>
    </row>
    <row r="1100" spans="4:22" x14ac:dyDescent="0.45">
      <c r="D1100" s="17" t="s">
        <v>1291</v>
      </c>
      <c r="E1100" s="4" t="str">
        <f>[1]Mitigation!H16219</f>
        <v>irn.mit.ec.die.2019.1</v>
      </c>
      <c r="F1100" s="4" t="str">
        <f t="shared" si="91"/>
        <v>N/A</v>
      </c>
      <c r="G1100" s="4" t="str">
        <f t="shared" si="90"/>
        <v>irn.mit.ec_f.all.die.2019.all.1</v>
      </c>
      <c r="H1100" s="4" t="s">
        <v>19</v>
      </c>
      <c r="I1100" s="4" t="s">
        <v>309</v>
      </c>
      <c r="J1100" s="4" t="s">
        <v>59</v>
      </c>
      <c r="K1100" s="4"/>
      <c r="L1100" s="4"/>
      <c r="M1100" s="4"/>
      <c r="N1100" s="4"/>
      <c r="O1100" s="4"/>
      <c r="P1100" s="4" t="str">
        <f t="shared" si="80"/>
        <v/>
      </c>
      <c r="Q1100" s="4" t="s">
        <v>64</v>
      </c>
      <c r="R1100" s="4"/>
      <c r="S1100" s="4"/>
      <c r="T1100" s="4">
        <v>2019</v>
      </c>
      <c r="U1100" s="4" t="str">
        <f t="shared" si="88"/>
        <v>2019</v>
      </c>
      <c r="V1100" s="17">
        <v>1</v>
      </c>
    </row>
    <row r="1101" spans="4:22" x14ac:dyDescent="0.45">
      <c r="D1101" s="17" t="s">
        <v>1292</v>
      </c>
      <c r="E1101" s="4" t="str">
        <f>[1]Mitigation!H16220</f>
        <v>irn.mit.ec.ker.2019.1</v>
      </c>
      <c r="F1101" s="4" t="str">
        <f t="shared" si="91"/>
        <v>N/A</v>
      </c>
      <c r="G1101" s="4" t="str">
        <f t="shared" si="90"/>
        <v>irn.mit.ec_f.all.ker.2019.all.1</v>
      </c>
      <c r="H1101" s="4" t="s">
        <v>19</v>
      </c>
      <c r="I1101" s="4" t="s">
        <v>309</v>
      </c>
      <c r="J1101" s="4" t="s">
        <v>59</v>
      </c>
      <c r="K1101" s="4"/>
      <c r="L1101" s="4"/>
      <c r="M1101" s="4"/>
      <c r="N1101" s="4"/>
      <c r="O1101" s="4"/>
      <c r="P1101" s="4" t="str">
        <f t="shared" si="80"/>
        <v/>
      </c>
      <c r="Q1101" s="4" t="s">
        <v>66</v>
      </c>
      <c r="R1101" s="4"/>
      <c r="S1101" s="4"/>
      <c r="T1101" s="4">
        <v>2019</v>
      </c>
      <c r="U1101" s="4" t="str">
        <f t="shared" si="88"/>
        <v>2019</v>
      </c>
      <c r="V1101" s="17">
        <v>1</v>
      </c>
    </row>
    <row r="1102" spans="4:22" x14ac:dyDescent="0.45">
      <c r="D1102" s="17" t="s">
        <v>1293</v>
      </c>
      <c r="E1102" s="4" t="str">
        <f>[1]Mitigation!H16221</f>
        <v>irn.mit.ec.lpg.2019.1</v>
      </c>
      <c r="F1102" s="4" t="str">
        <f t="shared" si="91"/>
        <v>N/A</v>
      </c>
      <c r="G1102" s="4" t="str">
        <f t="shared" si="90"/>
        <v>irn.mit.ec_f.all.lpg.2019.all.1</v>
      </c>
      <c r="H1102" s="4" t="s">
        <v>19</v>
      </c>
      <c r="I1102" s="4" t="s">
        <v>309</v>
      </c>
      <c r="J1102" s="4" t="s">
        <v>59</v>
      </c>
      <c r="K1102" s="4"/>
      <c r="L1102" s="4"/>
      <c r="M1102" s="4"/>
      <c r="N1102" s="4"/>
      <c r="O1102" s="4"/>
      <c r="P1102" s="4" t="str">
        <f t="shared" ref="P1102:P1168" si="92">L1102&amp;IF(N1102="",M1102,N1102)&amp;O1102</f>
        <v/>
      </c>
      <c r="Q1102" s="4" t="s">
        <v>65</v>
      </c>
      <c r="R1102" s="4"/>
      <c r="S1102" s="4"/>
      <c r="T1102" s="4">
        <v>2019</v>
      </c>
      <c r="U1102" s="4" t="str">
        <f t="shared" si="88"/>
        <v>2019</v>
      </c>
      <c r="V1102" s="17">
        <v>1</v>
      </c>
    </row>
    <row r="1103" spans="4:22" x14ac:dyDescent="0.45">
      <c r="D1103" s="17" t="s">
        <v>1294</v>
      </c>
      <c r="E1103" s="4" t="str">
        <f>[1]Mitigation!H16222</f>
        <v>irn.mit.ec.jfu.2019.1</v>
      </c>
      <c r="F1103" s="4" t="str">
        <f t="shared" si="91"/>
        <v>N/A</v>
      </c>
      <c r="G1103" s="4" t="str">
        <f t="shared" si="90"/>
        <v>irn.mit.ec_f.all.jfu.2019.all.1</v>
      </c>
      <c r="H1103" s="4" t="s">
        <v>19</v>
      </c>
      <c r="I1103" s="4" t="s">
        <v>309</v>
      </c>
      <c r="J1103" s="4" t="s">
        <v>59</v>
      </c>
      <c r="K1103" s="4"/>
      <c r="L1103" s="4"/>
      <c r="M1103" s="4"/>
      <c r="N1103" s="4"/>
      <c r="O1103" s="4"/>
      <c r="P1103" s="4" t="str">
        <f t="shared" si="92"/>
        <v/>
      </c>
      <c r="Q1103" s="4" t="s">
        <v>180</v>
      </c>
      <c r="R1103" s="4"/>
      <c r="S1103" s="4"/>
      <c r="T1103" s="4">
        <v>2019</v>
      </c>
      <c r="U1103" s="4" t="str">
        <f t="shared" si="88"/>
        <v>2019</v>
      </c>
      <c r="V1103" s="17">
        <v>1</v>
      </c>
    </row>
    <row r="1104" spans="4:22" x14ac:dyDescent="0.45">
      <c r="D1104" s="17" t="s">
        <v>1295</v>
      </c>
      <c r="E1104" s="4" t="str">
        <f>[1]Mitigation!H16223</f>
        <v>irn.mit.ec.wnd.2019.1</v>
      </c>
      <c r="F1104" s="4" t="str">
        <f t="shared" si="91"/>
        <v>N/A</v>
      </c>
      <c r="G1104" s="4" t="str">
        <f t="shared" si="90"/>
        <v>irn.mit.ec_f.all.wnd.2019.all.1</v>
      </c>
      <c r="H1104" s="4" t="s">
        <v>19</v>
      </c>
      <c r="I1104" s="4" t="s">
        <v>309</v>
      </c>
      <c r="J1104" s="4" t="s">
        <v>59</v>
      </c>
      <c r="K1104" s="4"/>
      <c r="L1104" s="4"/>
      <c r="M1104" s="4"/>
      <c r="N1104" s="4"/>
      <c r="O1104" s="4"/>
      <c r="P1104" s="4" t="str">
        <f t="shared" si="92"/>
        <v/>
      </c>
      <c r="Q1104" s="4" t="s">
        <v>170</v>
      </c>
      <c r="R1104" s="4"/>
      <c r="S1104" s="4"/>
      <c r="T1104" s="4">
        <v>2019</v>
      </c>
      <c r="U1104" s="4" t="str">
        <f t="shared" si="88"/>
        <v>2019</v>
      </c>
      <c r="V1104" s="17">
        <v>1</v>
      </c>
    </row>
    <row r="1105" spans="4:22" x14ac:dyDescent="0.45">
      <c r="D1105" s="17" t="s">
        <v>1296</v>
      </c>
      <c r="E1105" s="4" t="str">
        <f>[1]Mitigation!H16224</f>
        <v>irn.mit.ec.sol.2019.1</v>
      </c>
      <c r="F1105" s="4" t="str">
        <f t="shared" si="91"/>
        <v>N/A</v>
      </c>
      <c r="G1105" s="4" t="str">
        <f t="shared" si="90"/>
        <v>irn.mit.ec_f.all.sol.2019.all.1</v>
      </c>
      <c r="H1105" s="4" t="s">
        <v>19</v>
      </c>
      <c r="I1105" s="4" t="s">
        <v>309</v>
      </c>
      <c r="J1105" s="4" t="s">
        <v>59</v>
      </c>
      <c r="K1105" s="4"/>
      <c r="L1105" s="4"/>
      <c r="M1105" s="4"/>
      <c r="N1105" s="4"/>
      <c r="O1105" s="4"/>
      <c r="P1105" s="4" t="str">
        <f t="shared" si="92"/>
        <v/>
      </c>
      <c r="Q1105" s="4" t="s">
        <v>171</v>
      </c>
      <c r="R1105" s="4"/>
      <c r="S1105" s="4"/>
      <c r="T1105" s="4">
        <v>2019</v>
      </c>
      <c r="U1105" s="4" t="str">
        <f t="shared" si="88"/>
        <v>2019</v>
      </c>
      <c r="V1105" s="17">
        <v>1</v>
      </c>
    </row>
    <row r="1106" spans="4:22" x14ac:dyDescent="0.45">
      <c r="D1106" s="17" t="s">
        <v>1297</v>
      </c>
      <c r="E1106" s="4" t="str">
        <f>[1]Mitigation!H16225</f>
        <v>irn.mit.ec.hyd.2019.1</v>
      </c>
      <c r="F1106" s="4" t="str">
        <f t="shared" si="91"/>
        <v>N/A</v>
      </c>
      <c r="G1106" s="4" t="str">
        <f t="shared" si="90"/>
        <v>irn.mit.ec_f.all.hyd.2019.all.1</v>
      </c>
      <c r="H1106" s="4" t="s">
        <v>19</v>
      </c>
      <c r="I1106" s="4" t="s">
        <v>309</v>
      </c>
      <c r="J1106" s="4" t="s">
        <v>59</v>
      </c>
      <c r="K1106" s="4"/>
      <c r="L1106" s="4"/>
      <c r="M1106" s="4"/>
      <c r="N1106" s="4"/>
      <c r="O1106" s="4"/>
      <c r="P1106" s="4" t="str">
        <f t="shared" si="92"/>
        <v/>
      </c>
      <c r="Q1106" s="4" t="s">
        <v>172</v>
      </c>
      <c r="R1106" s="4"/>
      <c r="S1106" s="4"/>
      <c r="T1106" s="4">
        <v>2019</v>
      </c>
      <c r="U1106" s="4" t="str">
        <f t="shared" si="88"/>
        <v>2019</v>
      </c>
      <c r="V1106" s="17">
        <v>1</v>
      </c>
    </row>
    <row r="1107" spans="4:22" x14ac:dyDescent="0.45">
      <c r="D1107" s="17" t="s">
        <v>1298</v>
      </c>
      <c r="E1107" s="4" t="str">
        <f>[1]Mitigation!H16226</f>
        <v>irn.mit.ec.ore.2019.1</v>
      </c>
      <c r="F1107" s="4" t="str">
        <f t="shared" si="91"/>
        <v>N/A</v>
      </c>
      <c r="G1107" s="4" t="str">
        <f t="shared" si="90"/>
        <v>irn.mit.ec_f.all.ore.2019.all.1</v>
      </c>
      <c r="H1107" s="4" t="s">
        <v>19</v>
      </c>
      <c r="I1107" s="4" t="s">
        <v>309</v>
      </c>
      <c r="J1107" s="4" t="s">
        <v>59</v>
      </c>
      <c r="K1107" s="4"/>
      <c r="L1107" s="4"/>
      <c r="M1107" s="4"/>
      <c r="N1107" s="4"/>
      <c r="O1107" s="4"/>
      <c r="P1107" s="4" t="str">
        <f t="shared" si="92"/>
        <v/>
      </c>
      <c r="Q1107" s="4" t="s">
        <v>173</v>
      </c>
      <c r="R1107" s="4"/>
      <c r="S1107" s="4"/>
      <c r="T1107" s="4">
        <v>2019</v>
      </c>
      <c r="U1107" s="4" t="str">
        <f t="shared" si="88"/>
        <v>2019</v>
      </c>
      <c r="V1107" s="17">
        <v>1</v>
      </c>
    </row>
    <row r="1108" spans="4:22" x14ac:dyDescent="0.45">
      <c r="D1108" s="17" t="s">
        <v>1299</v>
      </c>
      <c r="E1108" s="4" t="str">
        <f>[1]Mitigation!H16227</f>
        <v>irn.mit.ec.nuc.2019.1</v>
      </c>
      <c r="F1108" s="4" t="str">
        <f t="shared" si="91"/>
        <v>N/A</v>
      </c>
      <c r="G1108" s="4" t="str">
        <f t="shared" si="90"/>
        <v>irn.mit.ec_f.all.nuc.2019.all.1</v>
      </c>
      <c r="H1108" s="4" t="s">
        <v>19</v>
      </c>
      <c r="I1108" s="4" t="s">
        <v>309</v>
      </c>
      <c r="J1108" s="4" t="s">
        <v>59</v>
      </c>
      <c r="K1108" s="4"/>
      <c r="L1108" s="4"/>
      <c r="M1108" s="4"/>
      <c r="N1108" s="4"/>
      <c r="O1108" s="4"/>
      <c r="P1108" s="4" t="str">
        <f t="shared" si="92"/>
        <v/>
      </c>
      <c r="Q1108" s="4" t="s">
        <v>160</v>
      </c>
      <c r="R1108" s="4"/>
      <c r="S1108" s="4"/>
      <c r="T1108" s="4">
        <v>2019</v>
      </c>
      <c r="U1108" s="4" t="str">
        <f t="shared" ref="U1108:U1174" si="93">R1108&amp;T1108&amp;S1108</f>
        <v>2019</v>
      </c>
      <c r="V1108" s="17">
        <v>1</v>
      </c>
    </row>
    <row r="1109" spans="4:22" x14ac:dyDescent="0.45">
      <c r="D1109" s="17" t="s">
        <v>1300</v>
      </c>
      <c r="E1109" s="4" t="str">
        <f>[1]Mitigation!H16228</f>
        <v>irn.mit.ec.bio.2019.1</v>
      </c>
      <c r="F1109" s="4" t="str">
        <f t="shared" si="91"/>
        <v>N/A</v>
      </c>
      <c r="G1109" s="4" t="str">
        <f t="shared" si="90"/>
        <v>irn.mit.ec_f.all.bio.2019.all.1</v>
      </c>
      <c r="H1109" s="4" t="s">
        <v>19</v>
      </c>
      <c r="I1109" s="4" t="s">
        <v>309</v>
      </c>
      <c r="J1109" s="4" t="s">
        <v>59</v>
      </c>
      <c r="K1109" s="4"/>
      <c r="L1109" s="4"/>
      <c r="M1109" s="4"/>
      <c r="N1109" s="4"/>
      <c r="O1109" s="4"/>
      <c r="P1109" s="4" t="str">
        <f t="shared" si="92"/>
        <v/>
      </c>
      <c r="Q1109" s="4" t="s">
        <v>162</v>
      </c>
      <c r="R1109" s="4"/>
      <c r="S1109" s="4"/>
      <c r="T1109" s="4">
        <v>2019</v>
      </c>
      <c r="U1109" s="4" t="str">
        <f t="shared" si="93"/>
        <v>2019</v>
      </c>
      <c r="V1109" s="17">
        <v>1</v>
      </c>
    </row>
    <row r="1110" spans="4:22" x14ac:dyDescent="0.45">
      <c r="D1110" s="17" t="s">
        <v>1301</v>
      </c>
      <c r="E1110" s="4" t="str">
        <f>[1]Mitigation!H16229</f>
        <v>irn.mit.ec.bgs.2019.1</v>
      </c>
      <c r="F1110" s="4" t="str">
        <f t="shared" si="91"/>
        <v>N/A</v>
      </c>
      <c r="G1110" s="4" t="str">
        <f t="shared" si="90"/>
        <v>irn.mit.ec_f.all.bgs.2019.all.1</v>
      </c>
      <c r="H1110" s="4" t="s">
        <v>19</v>
      </c>
      <c r="I1110" s="4" t="s">
        <v>309</v>
      </c>
      <c r="J1110" s="4" t="s">
        <v>59</v>
      </c>
      <c r="K1110" s="4"/>
      <c r="L1110" s="4"/>
      <c r="M1110" s="4"/>
      <c r="N1110" s="4"/>
      <c r="O1110" s="4"/>
      <c r="P1110" s="4" t="str">
        <f t="shared" si="92"/>
        <v/>
      </c>
      <c r="Q1110" s="4" t="s">
        <v>310</v>
      </c>
      <c r="R1110" s="4"/>
      <c r="S1110" s="4"/>
      <c r="T1110" s="4">
        <v>2019</v>
      </c>
      <c r="U1110" s="4" t="str">
        <f t="shared" si="93"/>
        <v>2019</v>
      </c>
      <c r="V1110" s="17">
        <v>1</v>
      </c>
    </row>
    <row r="1111" spans="4:22" x14ac:dyDescent="0.45">
      <c r="D1111" s="17" t="s">
        <v>1302</v>
      </c>
      <c r="E1111" s="4" t="str">
        <f>[1]Mitigation!H16230</f>
        <v>irn.mit.ec.bdi.2019.1</v>
      </c>
      <c r="F1111" s="4" t="str">
        <f t="shared" si="91"/>
        <v>N/A</v>
      </c>
      <c r="G1111" s="4" t="str">
        <f t="shared" si="90"/>
        <v>irn.mit.ec_f.all.bdi.2019.all.1</v>
      </c>
      <c r="H1111" s="4" t="s">
        <v>19</v>
      </c>
      <c r="I1111" s="4" t="s">
        <v>309</v>
      </c>
      <c r="J1111" s="4" t="s">
        <v>59</v>
      </c>
      <c r="K1111" s="4"/>
      <c r="L1111" s="4"/>
      <c r="M1111" s="4"/>
      <c r="N1111" s="4"/>
      <c r="O1111" s="4"/>
      <c r="P1111" s="4" t="str">
        <f t="shared" si="92"/>
        <v/>
      </c>
      <c r="Q1111" s="4" t="s">
        <v>311</v>
      </c>
      <c r="R1111" s="4"/>
      <c r="S1111" s="4"/>
      <c r="T1111" s="4">
        <v>2019</v>
      </c>
      <c r="U1111" s="4" t="str">
        <f t="shared" si="93"/>
        <v>2019</v>
      </c>
      <c r="V1111" s="17">
        <v>1</v>
      </c>
    </row>
    <row r="1112" spans="4:22" x14ac:dyDescent="0.45">
      <c r="D1112" s="17" t="s">
        <v>1303</v>
      </c>
      <c r="E1112" s="4" t="str">
        <f>[1]Mitigation!H16231</f>
        <v>irn.mit.ec.obf.2019.1</v>
      </c>
      <c r="F1112" s="4" t="str">
        <f t="shared" si="91"/>
        <v>N/A</v>
      </c>
      <c r="G1112" s="4" t="str">
        <f t="shared" si="90"/>
        <v>irn.mit.ec_f.all.obf.2019.all.1</v>
      </c>
      <c r="H1112" s="4" t="s">
        <v>19</v>
      </c>
      <c r="I1112" s="4" t="s">
        <v>309</v>
      </c>
      <c r="J1112" s="4" t="s">
        <v>59</v>
      </c>
      <c r="K1112" s="4"/>
      <c r="L1112" s="4"/>
      <c r="M1112" s="4"/>
      <c r="N1112" s="4"/>
      <c r="O1112" s="4"/>
      <c r="P1112" s="4" t="str">
        <f t="shared" si="92"/>
        <v/>
      </c>
      <c r="Q1112" s="4" t="s">
        <v>312</v>
      </c>
      <c r="R1112" s="4"/>
      <c r="S1112" s="4"/>
      <c r="T1112" s="4">
        <v>2019</v>
      </c>
      <c r="U1112" s="4" t="str">
        <f t="shared" si="93"/>
        <v>2019</v>
      </c>
      <c r="V1112" s="17">
        <v>1</v>
      </c>
    </row>
    <row r="1113" spans="4:22" x14ac:dyDescent="0.45">
      <c r="D1113" s="17" t="s">
        <v>1304</v>
      </c>
      <c r="E1113" s="4" t="str">
        <f>[1]Mitigation!H16232</f>
        <v>irn.mit.ec.heat.2019.1</v>
      </c>
      <c r="F1113" s="4" t="str">
        <f t="shared" si="91"/>
        <v>N/A</v>
      </c>
      <c r="G1113" s="4" t="str">
        <f t="shared" si="90"/>
        <v>irn.mit.ec_f.all.heat.2019.all.1</v>
      </c>
      <c r="H1113" s="4" t="s">
        <v>19</v>
      </c>
      <c r="I1113" s="4" t="s">
        <v>309</v>
      </c>
      <c r="J1113" s="4" t="s">
        <v>59</v>
      </c>
      <c r="K1113" s="4"/>
      <c r="L1113" s="4"/>
      <c r="M1113" s="4"/>
      <c r="N1113" s="4"/>
      <c r="O1113" s="4"/>
      <c r="P1113" s="4" t="str">
        <f t="shared" si="92"/>
        <v/>
      </c>
      <c r="Q1113" s="4" t="s">
        <v>313</v>
      </c>
      <c r="R1113" s="4"/>
      <c r="S1113" s="4"/>
      <c r="T1113" s="4">
        <v>2019</v>
      </c>
      <c r="U1113" s="4" t="str">
        <f t="shared" si="93"/>
        <v>2019</v>
      </c>
      <c r="V1113" s="17">
        <v>1</v>
      </c>
    </row>
    <row r="1114" spans="4:22" x14ac:dyDescent="0.45">
      <c r="D1114" s="2"/>
      <c r="E1114" s="2"/>
      <c r="F1114" s="2"/>
      <c r="G1114" s="2" t="str">
        <f t="shared" si="90"/>
        <v/>
      </c>
      <c r="H1114" s="2" t="s">
        <v>18</v>
      </c>
      <c r="I1114" s="2"/>
      <c r="J1114" s="2" t="s">
        <v>18</v>
      </c>
      <c r="K1114" s="2"/>
      <c r="L1114" s="2"/>
      <c r="M1114" s="2"/>
      <c r="N1114" s="2"/>
      <c r="O1114" s="2"/>
      <c r="P1114" s="2" t="str">
        <f t="shared" si="92"/>
        <v/>
      </c>
      <c r="Q1114" s="2"/>
      <c r="R1114" s="2"/>
      <c r="S1114" s="2"/>
      <c r="T1114" s="2"/>
      <c r="U1114" s="2" t="str">
        <f t="shared" si="93"/>
        <v/>
      </c>
      <c r="V1114" s="2"/>
    </row>
    <row r="1115" spans="4:22" x14ac:dyDescent="0.45">
      <c r="D1115" s="17" t="s">
        <v>1305</v>
      </c>
      <c r="E1115" s="4" t="str">
        <f>[1]Mitigation!H14232</f>
        <v>irn.mit.elec.twh.sel.tot.ecy.1</v>
      </c>
      <c r="F1115" s="4" t="str">
        <f>IF(MTAct,E1115&amp;"_"&amp;MSTScenarioID,"N/A")</f>
        <v>N/A</v>
      </c>
      <c r="G1115" s="4" t="str">
        <f t="shared" si="90"/>
        <v>irn.mit.all_.all.all.all.all.all</v>
      </c>
      <c r="H1115" s="4" t="s">
        <v>19</v>
      </c>
      <c r="I1115" s="4"/>
      <c r="J1115" s="4" t="s">
        <v>18</v>
      </c>
      <c r="K1115" s="4"/>
      <c r="L1115" s="4"/>
      <c r="M1115" s="4"/>
      <c r="N1115" s="4"/>
      <c r="O1115" s="4"/>
      <c r="P1115" s="4" t="str">
        <f t="shared" si="92"/>
        <v/>
      </c>
      <c r="Q1115" s="4"/>
      <c r="R1115" s="4"/>
      <c r="S1115" s="4"/>
      <c r="T1115" s="4"/>
      <c r="U1115" s="4" t="str">
        <f t="shared" si="93"/>
        <v/>
      </c>
      <c r="V1115" s="17"/>
    </row>
    <row r="1116" spans="4:22" x14ac:dyDescent="0.45">
      <c r="D1116" s="17" t="s">
        <v>1306</v>
      </c>
      <c r="E1116" s="4" t="str">
        <f>[1]Mitigation!H14240</f>
        <v>irn.mit.elec.twh.sel.tot.ecy.2</v>
      </c>
      <c r="F1116" s="4" t="str">
        <f>IF(MTAct,E1116&amp;"_"&amp;MSTScenarioID,"N/A")</f>
        <v>N/A</v>
      </c>
      <c r="G1116" s="4" t="str">
        <f t="shared" si="90"/>
        <v>irn.mit.all_.all.all.all.all.all</v>
      </c>
      <c r="H1116" s="4" t="s">
        <v>19</v>
      </c>
      <c r="I1116" s="4"/>
      <c r="J1116" s="4" t="s">
        <v>18</v>
      </c>
      <c r="K1116" s="4"/>
      <c r="L1116" s="4"/>
      <c r="M1116" s="4"/>
      <c r="N1116" s="4"/>
      <c r="O1116" s="4"/>
      <c r="P1116" s="4" t="str">
        <f t="shared" si="92"/>
        <v/>
      </c>
      <c r="Q1116" s="4"/>
      <c r="R1116" s="4"/>
      <c r="S1116" s="4"/>
      <c r="T1116" s="4"/>
      <c r="U1116" s="4" t="str">
        <f t="shared" si="93"/>
        <v/>
      </c>
      <c r="V1116" s="17"/>
    </row>
    <row r="1117" spans="4:22" x14ac:dyDescent="0.45">
      <c r="D1117" s="2"/>
      <c r="E1117" s="2"/>
      <c r="F1117" s="2"/>
      <c r="G1117" s="2"/>
      <c r="H1117" s="2" t="s">
        <v>18</v>
      </c>
      <c r="I1117" s="2"/>
      <c r="J1117" s="2" t="s">
        <v>18</v>
      </c>
      <c r="K1117" s="2"/>
      <c r="L1117" s="2"/>
      <c r="M1117" s="2"/>
      <c r="N1117" s="2"/>
      <c r="O1117" s="2"/>
      <c r="P1117" s="2" t="str">
        <f>L1117&amp;IF(N1117="",M1117,N1117)&amp;O1117</f>
        <v/>
      </c>
      <c r="Q1117" s="2"/>
      <c r="R1117" s="2"/>
      <c r="S1117" s="2"/>
      <c r="T1117" s="2"/>
      <c r="U1117" s="2" t="str">
        <f>R1117&amp;T1117&amp;S1117</f>
        <v/>
      </c>
      <c r="V1117" s="2"/>
    </row>
    <row r="1118" spans="4:22" x14ac:dyDescent="0.45">
      <c r="D1118" s="36" t="s">
        <v>1307</v>
      </c>
      <c r="E1118" s="35">
        <f>[1]Mitigation!H3432</f>
        <v>0</v>
      </c>
      <c r="F1118" s="35" t="str">
        <f>IF(MTAct,E1118&amp;"_"&amp;MSTScenarioID,"N/A")</f>
        <v>N/A</v>
      </c>
      <c r="G1118" s="35" t="str">
        <f>IF(D1118="","",LOWER(_Country_code)&amp;"."&amp;H1118&amp;"."&amp;IF(I1118="","all",I1118)&amp;"_"&amp;J1118&amp;"."&amp;IF(R1118="","all",R1118)&amp;"."&amp;IF(Q1118="","all",Q1118)&amp;"."&amp;IF(U1118="","all",U1118)&amp;"."&amp;IF(K1118="","all",K1118)&amp;"."&amp;IF(V1118="","all",V1118))</f>
        <v>irn.mit.cap_.all.all.all.MWe.all</v>
      </c>
      <c r="H1118" s="35" t="s">
        <v>19</v>
      </c>
      <c r="I1118" s="35" t="s">
        <v>314</v>
      </c>
      <c r="J1118" s="35"/>
      <c r="K1118" s="35" t="s">
        <v>315</v>
      </c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6"/>
    </row>
    <row r="1119" spans="4:22" x14ac:dyDescent="0.45">
      <c r="D1119" s="36" t="s">
        <v>1308</v>
      </c>
      <c r="E1119" s="35" t="str">
        <f>[1]Mitigation!H3456</f>
        <v>irn.mit.mancap.pow.tot.t.1</v>
      </c>
      <c r="F1119" s="35" t="str">
        <f>IF(MTAct,E1119&amp;"_"&amp;MSTScenarioID,"N/A")</f>
        <v>N/A</v>
      </c>
      <c r="G1119" s="35" t="str">
        <f>IF(D1119="","",LOWER(_Country_code)&amp;"."&amp;H1119&amp;"."&amp;IF(I1119="","all",I1119)&amp;"_"&amp;J1119&amp;"."&amp;IF(R1119="","all",R1119)&amp;"."&amp;IF(Q1119="","all",Q1119)&amp;"."&amp;IF(U1119="","all",U1119)&amp;"."&amp;IF(K1119="","all",K1119)&amp;"."&amp;IF(V1119="","all",V1119))</f>
        <v>irn.mit.effcap_.all.all.all.MWe.all</v>
      </c>
      <c r="H1119" s="35" t="s">
        <v>19</v>
      </c>
      <c r="I1119" s="35" t="s">
        <v>316</v>
      </c>
      <c r="J1119" s="35"/>
      <c r="K1119" s="35" t="s">
        <v>315</v>
      </c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6"/>
    </row>
    <row r="1120" spans="4:22" x14ac:dyDescent="0.45">
      <c r="D1120" s="2"/>
      <c r="E1120" s="2"/>
      <c r="F1120" s="2"/>
      <c r="G1120" s="2" t="str">
        <f t="shared" si="90"/>
        <v/>
      </c>
      <c r="H1120" s="2" t="s">
        <v>18</v>
      </c>
      <c r="I1120" s="2"/>
      <c r="J1120" s="2" t="s">
        <v>18</v>
      </c>
      <c r="K1120" s="2"/>
      <c r="L1120" s="2"/>
      <c r="M1120" s="2"/>
      <c r="N1120" s="2"/>
      <c r="O1120" s="2"/>
      <c r="P1120" s="2" t="str">
        <f t="shared" si="92"/>
        <v/>
      </c>
      <c r="Q1120" s="2"/>
      <c r="R1120" s="2"/>
      <c r="S1120" s="2"/>
      <c r="T1120" s="2"/>
      <c r="U1120" s="2" t="str">
        <f t="shared" si="93"/>
        <v/>
      </c>
      <c r="V1120" s="2"/>
    </row>
    <row r="1121" spans="4:22" x14ac:dyDescent="0.45">
      <c r="D1121" s="17" t="s">
        <v>1309</v>
      </c>
      <c r="E1121" s="4" t="str">
        <f>[1]Mitigation!G14250</f>
        <v>irn.mit.nim.pow.coa.t.1</v>
      </c>
      <c r="F1121" s="4" t="str">
        <f t="shared" ref="F1121:F1156" si="94">IF(MTAct,E1121&amp;"_"&amp;MSTScenarioID,"N/A")</f>
        <v>N/A</v>
      </c>
      <c r="G1121" s="4" t="str">
        <f t="shared" si="90"/>
        <v>irn.mit.nni_.t.coa.t.all.1</v>
      </c>
      <c r="H1121" s="4" t="s">
        <v>19</v>
      </c>
      <c r="I1121" s="4" t="s">
        <v>317</v>
      </c>
      <c r="J1121" s="4" t="s">
        <v>18</v>
      </c>
      <c r="K1121" s="4"/>
      <c r="L1121" s="4"/>
      <c r="M1121" s="4"/>
      <c r="N1121" s="4" t="s">
        <v>26</v>
      </c>
      <c r="O1121" s="4"/>
      <c r="P1121" s="4" t="str">
        <f t="shared" si="92"/>
        <v>pow</v>
      </c>
      <c r="Q1121" s="4" t="s">
        <v>60</v>
      </c>
      <c r="R1121" s="4" t="s">
        <v>69</v>
      </c>
      <c r="S1121" s="4"/>
      <c r="T1121" s="4"/>
      <c r="U1121" s="4" t="str">
        <f t="shared" si="93"/>
        <v>t</v>
      </c>
      <c r="V1121" s="17">
        <v>1</v>
      </c>
    </row>
    <row r="1122" spans="4:22" x14ac:dyDescent="0.45">
      <c r="D1122" s="17" t="s">
        <v>1310</v>
      </c>
      <c r="E1122" s="4" t="str">
        <f>[1]Mitigation!G14251</f>
        <v>irn.mit.nim.pow.nga.t.1</v>
      </c>
      <c r="F1122" s="4" t="str">
        <f t="shared" si="94"/>
        <v>N/A</v>
      </c>
      <c r="G1122" s="4" t="str">
        <f t="shared" si="90"/>
        <v>irn.mit.nni_.t.nga.t.all.1</v>
      </c>
      <c r="H1122" s="4" t="s">
        <v>19</v>
      </c>
      <c r="I1122" s="4" t="s">
        <v>317</v>
      </c>
      <c r="J1122" s="4" t="s">
        <v>18</v>
      </c>
      <c r="K1122" s="4"/>
      <c r="L1122" s="4"/>
      <c r="M1122" s="4"/>
      <c r="N1122" s="4" t="s">
        <v>26</v>
      </c>
      <c r="O1122" s="4"/>
      <c r="P1122" s="4" t="str">
        <f t="shared" si="92"/>
        <v>pow</v>
      </c>
      <c r="Q1122" s="4" t="s">
        <v>61</v>
      </c>
      <c r="R1122" s="4" t="s">
        <v>69</v>
      </c>
      <c r="S1122" s="4"/>
      <c r="T1122" s="4"/>
      <c r="U1122" s="4" t="str">
        <f t="shared" si="93"/>
        <v>t</v>
      </c>
      <c r="V1122" s="17">
        <v>1</v>
      </c>
    </row>
    <row r="1123" spans="4:22" x14ac:dyDescent="0.45">
      <c r="D1123" s="17" t="s">
        <v>1311</v>
      </c>
      <c r="E1123" s="4" t="str">
        <f>[1]Mitigation!G14252</f>
        <v>irn.mit.nim.pow.oop.t.1</v>
      </c>
      <c r="F1123" s="4" t="str">
        <f t="shared" si="94"/>
        <v>N/A</v>
      </c>
      <c r="G1123" s="4" t="str">
        <f t="shared" si="90"/>
        <v>irn.mit.nni_.t.oop.t.all.1</v>
      </c>
      <c r="H1123" s="4" t="s">
        <v>19</v>
      </c>
      <c r="I1123" s="4" t="s">
        <v>317</v>
      </c>
      <c r="J1123" s="4" t="s">
        <v>18</v>
      </c>
      <c r="K1123" s="4"/>
      <c r="L1123" s="4"/>
      <c r="M1123" s="4"/>
      <c r="N1123" s="4" t="s">
        <v>26</v>
      </c>
      <c r="O1123" s="4"/>
      <c r="P1123" s="4" t="str">
        <f t="shared" si="92"/>
        <v>pow</v>
      </c>
      <c r="Q1123" s="4" t="s">
        <v>113</v>
      </c>
      <c r="R1123" s="4" t="s">
        <v>69</v>
      </c>
      <c r="S1123" s="4"/>
      <c r="T1123" s="4"/>
      <c r="U1123" s="4" t="str">
        <f t="shared" si="93"/>
        <v>t</v>
      </c>
      <c r="V1123" s="17">
        <v>1</v>
      </c>
    </row>
    <row r="1124" spans="4:22" x14ac:dyDescent="0.45">
      <c r="D1124" s="17" t="s">
        <v>1312</v>
      </c>
      <c r="E1124" s="4" t="str">
        <f>[1]Mitigation!G14253</f>
        <v>irn.mit.nim.pow.nuc.t.1</v>
      </c>
      <c r="F1124" s="4" t="str">
        <f t="shared" si="94"/>
        <v>N/A</v>
      </c>
      <c r="G1124" s="4" t="str">
        <f t="shared" si="90"/>
        <v>irn.mit.nni_.t.nuc.t.all.1</v>
      </c>
      <c r="H1124" s="4" t="s">
        <v>19</v>
      </c>
      <c r="I1124" s="4" t="s">
        <v>317</v>
      </c>
      <c r="J1124" s="4" t="s">
        <v>18</v>
      </c>
      <c r="K1124" s="4"/>
      <c r="L1124" s="4"/>
      <c r="M1124" s="4"/>
      <c r="N1124" s="4" t="s">
        <v>26</v>
      </c>
      <c r="O1124" s="4"/>
      <c r="P1124" s="4" t="str">
        <f t="shared" si="92"/>
        <v>pow</v>
      </c>
      <c r="Q1124" s="4" t="s">
        <v>160</v>
      </c>
      <c r="R1124" s="4" t="s">
        <v>69</v>
      </c>
      <c r="S1124" s="4"/>
      <c r="T1124" s="4"/>
      <c r="U1124" s="4" t="str">
        <f t="shared" si="93"/>
        <v>t</v>
      </c>
      <c r="V1124" s="17">
        <v>1</v>
      </c>
    </row>
    <row r="1125" spans="4:22" x14ac:dyDescent="0.45">
      <c r="D1125" s="17" t="s">
        <v>1313</v>
      </c>
      <c r="E1125" s="4" t="str">
        <f>[1]Mitigation!G14254</f>
        <v>irn.mit.nim.pow.wnd.t.1</v>
      </c>
      <c r="F1125" s="4" t="str">
        <f t="shared" si="94"/>
        <v>N/A</v>
      </c>
      <c r="G1125" s="4" t="str">
        <f t="shared" si="90"/>
        <v>irn.mit.nni_.t.wnd.t.all.1</v>
      </c>
      <c r="H1125" s="4" t="s">
        <v>19</v>
      </c>
      <c r="I1125" s="4" t="s">
        <v>317</v>
      </c>
      <c r="J1125" s="4" t="s">
        <v>18</v>
      </c>
      <c r="K1125" s="4"/>
      <c r="L1125" s="4"/>
      <c r="M1125" s="4"/>
      <c r="N1125" s="4" t="s">
        <v>26</v>
      </c>
      <c r="O1125" s="4"/>
      <c r="P1125" s="4" t="str">
        <f t="shared" si="92"/>
        <v>pow</v>
      </c>
      <c r="Q1125" s="4" t="s">
        <v>170</v>
      </c>
      <c r="R1125" s="4" t="s">
        <v>69</v>
      </c>
      <c r="S1125" s="4"/>
      <c r="T1125" s="4"/>
      <c r="U1125" s="4" t="str">
        <f t="shared" si="93"/>
        <v>t</v>
      </c>
      <c r="V1125" s="17">
        <v>1</v>
      </c>
    </row>
    <row r="1126" spans="4:22" x14ac:dyDescent="0.45">
      <c r="D1126" s="17" t="s">
        <v>1314</v>
      </c>
      <c r="E1126" s="4" t="str">
        <f>[1]Mitigation!G14255</f>
        <v>irn.mit.nim.pow.sol.t.1</v>
      </c>
      <c r="F1126" s="4" t="str">
        <f t="shared" si="94"/>
        <v>N/A</v>
      </c>
      <c r="G1126" s="4" t="str">
        <f t="shared" si="90"/>
        <v>irn.mit.nni_.t.sol.t.all.1</v>
      </c>
      <c r="H1126" s="4" t="s">
        <v>19</v>
      </c>
      <c r="I1126" s="4" t="s">
        <v>317</v>
      </c>
      <c r="J1126" s="4" t="s">
        <v>18</v>
      </c>
      <c r="K1126" s="4"/>
      <c r="L1126" s="4"/>
      <c r="M1126" s="4"/>
      <c r="N1126" s="4" t="s">
        <v>26</v>
      </c>
      <c r="O1126" s="4"/>
      <c r="P1126" s="4" t="str">
        <f t="shared" si="92"/>
        <v>pow</v>
      </c>
      <c r="Q1126" s="4" t="s">
        <v>171</v>
      </c>
      <c r="R1126" s="4" t="s">
        <v>69</v>
      </c>
      <c r="S1126" s="4"/>
      <c r="T1126" s="4"/>
      <c r="U1126" s="4" t="str">
        <f t="shared" si="93"/>
        <v>t</v>
      </c>
      <c r="V1126" s="17">
        <v>1</v>
      </c>
    </row>
    <row r="1127" spans="4:22" x14ac:dyDescent="0.45">
      <c r="D1127" s="17" t="s">
        <v>1315</v>
      </c>
      <c r="E1127" s="4" t="str">
        <f>[1]Mitigation!G14256</f>
        <v>irn.mit.nim.pow.hyd.t.1</v>
      </c>
      <c r="F1127" s="4" t="str">
        <f t="shared" si="94"/>
        <v>N/A</v>
      </c>
      <c r="G1127" s="4" t="str">
        <f t="shared" si="90"/>
        <v>irn.mit.nni_.t.hyd.t.all.1</v>
      </c>
      <c r="H1127" s="4" t="s">
        <v>19</v>
      </c>
      <c r="I1127" s="4" t="s">
        <v>317</v>
      </c>
      <c r="J1127" s="4" t="s">
        <v>18</v>
      </c>
      <c r="K1127" s="4"/>
      <c r="L1127" s="4"/>
      <c r="M1127" s="4"/>
      <c r="N1127" s="4" t="s">
        <v>26</v>
      </c>
      <c r="O1127" s="4"/>
      <c r="P1127" s="4" t="str">
        <f t="shared" si="92"/>
        <v>pow</v>
      </c>
      <c r="Q1127" s="4" t="s">
        <v>172</v>
      </c>
      <c r="R1127" s="4" t="s">
        <v>69</v>
      </c>
      <c r="S1127" s="4"/>
      <c r="T1127" s="4"/>
      <c r="U1127" s="4" t="str">
        <f t="shared" si="93"/>
        <v>t</v>
      </c>
      <c r="V1127" s="17">
        <v>1</v>
      </c>
    </row>
    <row r="1128" spans="4:22" x14ac:dyDescent="0.45">
      <c r="D1128" s="17" t="s">
        <v>1316</v>
      </c>
      <c r="E1128" s="4" t="str">
        <f>[1]Mitigation!G14257</f>
        <v>irn.mit.nim.pow.ore.t.1</v>
      </c>
      <c r="F1128" s="4" t="str">
        <f t="shared" si="94"/>
        <v>N/A</v>
      </c>
      <c r="G1128" s="4" t="str">
        <f t="shared" si="90"/>
        <v>irn.mit.nni_.t.ore.t.all.1</v>
      </c>
      <c r="H1128" s="4" t="s">
        <v>19</v>
      </c>
      <c r="I1128" s="4" t="s">
        <v>317</v>
      </c>
      <c r="J1128" s="4" t="s">
        <v>18</v>
      </c>
      <c r="K1128" s="4"/>
      <c r="L1128" s="4"/>
      <c r="M1128" s="4"/>
      <c r="N1128" s="4" t="s">
        <v>26</v>
      </c>
      <c r="O1128" s="4"/>
      <c r="P1128" s="4" t="str">
        <f t="shared" si="92"/>
        <v>pow</v>
      </c>
      <c r="Q1128" s="4" t="s">
        <v>173</v>
      </c>
      <c r="R1128" s="4" t="s">
        <v>69</v>
      </c>
      <c r="S1128" s="4"/>
      <c r="T1128" s="4"/>
      <c r="U1128" s="4" t="str">
        <f t="shared" si="93"/>
        <v>t</v>
      </c>
      <c r="V1128" s="17">
        <v>1</v>
      </c>
    </row>
    <row r="1129" spans="4:22" x14ac:dyDescent="0.45">
      <c r="D1129" s="17" t="s">
        <v>1317</v>
      </c>
      <c r="E1129" s="4" t="str">
        <f>[1]Mitigation!G14258</f>
        <v>irn.mit.nim.pow.bio.t.1</v>
      </c>
      <c r="F1129" s="4" t="str">
        <f t="shared" si="94"/>
        <v>N/A</v>
      </c>
      <c r="G1129" s="4" t="str">
        <f t="shared" si="90"/>
        <v>irn.mit.nni_.t.bio.t.all.1</v>
      </c>
      <c r="H1129" s="4" t="s">
        <v>19</v>
      </c>
      <c r="I1129" s="4" t="s">
        <v>317</v>
      </c>
      <c r="J1129" s="4" t="s">
        <v>18</v>
      </c>
      <c r="K1129" s="4"/>
      <c r="L1129" s="4"/>
      <c r="M1129" s="4"/>
      <c r="N1129" s="4" t="s">
        <v>26</v>
      </c>
      <c r="O1129" s="4"/>
      <c r="P1129" s="4" t="str">
        <f t="shared" si="92"/>
        <v>pow</v>
      </c>
      <c r="Q1129" s="4" t="s">
        <v>162</v>
      </c>
      <c r="R1129" s="4" t="s">
        <v>69</v>
      </c>
      <c r="S1129" s="4"/>
      <c r="T1129" s="4"/>
      <c r="U1129" s="4" t="str">
        <f t="shared" si="93"/>
        <v>t</v>
      </c>
      <c r="V1129" s="17">
        <v>1</v>
      </c>
    </row>
    <row r="1130" spans="4:22" x14ac:dyDescent="0.45">
      <c r="D1130" s="17" t="s">
        <v>1318</v>
      </c>
      <c r="E1130" s="4" t="str">
        <f>[1]Mitigation!G14260</f>
        <v>irn.mit.nim.pow.coa.t.2</v>
      </c>
      <c r="F1130" s="4" t="str">
        <f t="shared" si="94"/>
        <v>N/A</v>
      </c>
      <c r="G1130" s="4" t="str">
        <f t="shared" si="90"/>
        <v>irn.mit.nni_.t.coa.t.all.2</v>
      </c>
      <c r="H1130" s="4" t="s">
        <v>19</v>
      </c>
      <c r="I1130" s="4" t="s">
        <v>317</v>
      </c>
      <c r="J1130" s="4" t="s">
        <v>18</v>
      </c>
      <c r="K1130" s="4"/>
      <c r="L1130" s="4"/>
      <c r="M1130" s="4"/>
      <c r="N1130" s="4" t="s">
        <v>26</v>
      </c>
      <c r="O1130" s="4"/>
      <c r="P1130" s="4" t="str">
        <f t="shared" si="92"/>
        <v>pow</v>
      </c>
      <c r="Q1130" s="4" t="s">
        <v>60</v>
      </c>
      <c r="R1130" s="4" t="s">
        <v>69</v>
      </c>
      <c r="S1130" s="4"/>
      <c r="T1130" s="4"/>
      <c r="U1130" s="4" t="str">
        <f t="shared" si="93"/>
        <v>t</v>
      </c>
      <c r="V1130" s="17">
        <v>2</v>
      </c>
    </row>
    <row r="1131" spans="4:22" x14ac:dyDescent="0.45">
      <c r="D1131" s="17" t="s">
        <v>1319</v>
      </c>
      <c r="E1131" s="4" t="str">
        <f>[1]Mitigation!G14261</f>
        <v>irn.mit.nim.pow.nga.t.2</v>
      </c>
      <c r="F1131" s="4" t="str">
        <f t="shared" si="94"/>
        <v>N/A</v>
      </c>
      <c r="G1131" s="4" t="str">
        <f t="shared" si="90"/>
        <v>irn.mit.nni_.t.nga.t.all.2</v>
      </c>
      <c r="H1131" s="4" t="s">
        <v>19</v>
      </c>
      <c r="I1131" s="4" t="s">
        <v>317</v>
      </c>
      <c r="J1131" s="4" t="s">
        <v>18</v>
      </c>
      <c r="K1131" s="4"/>
      <c r="L1131" s="4"/>
      <c r="M1131" s="4"/>
      <c r="N1131" s="4" t="s">
        <v>26</v>
      </c>
      <c r="O1131" s="4"/>
      <c r="P1131" s="4" t="str">
        <f t="shared" si="92"/>
        <v>pow</v>
      </c>
      <c r="Q1131" s="4" t="s">
        <v>61</v>
      </c>
      <c r="R1131" s="4" t="s">
        <v>69</v>
      </c>
      <c r="S1131" s="4"/>
      <c r="T1131" s="4"/>
      <c r="U1131" s="4" t="str">
        <f t="shared" si="93"/>
        <v>t</v>
      </c>
      <c r="V1131" s="17">
        <v>2</v>
      </c>
    </row>
    <row r="1132" spans="4:22" x14ac:dyDescent="0.45">
      <c r="D1132" s="17" t="s">
        <v>1320</v>
      </c>
      <c r="E1132" s="4" t="str">
        <f>[1]Mitigation!G14262</f>
        <v>irn.mit.nim.pow.oop.t.2</v>
      </c>
      <c r="F1132" s="4" t="str">
        <f t="shared" si="94"/>
        <v>N/A</v>
      </c>
      <c r="G1132" s="4" t="str">
        <f t="shared" si="90"/>
        <v>irn.mit.nni_.t.oop.t.all.2</v>
      </c>
      <c r="H1132" s="4" t="s">
        <v>19</v>
      </c>
      <c r="I1132" s="4" t="s">
        <v>317</v>
      </c>
      <c r="J1132" s="4" t="s">
        <v>18</v>
      </c>
      <c r="K1132" s="4"/>
      <c r="L1132" s="4"/>
      <c r="M1132" s="4"/>
      <c r="N1132" s="4" t="s">
        <v>26</v>
      </c>
      <c r="O1132" s="4"/>
      <c r="P1132" s="4" t="str">
        <f t="shared" si="92"/>
        <v>pow</v>
      </c>
      <c r="Q1132" s="4" t="s">
        <v>113</v>
      </c>
      <c r="R1132" s="4" t="s">
        <v>69</v>
      </c>
      <c r="S1132" s="4"/>
      <c r="T1132" s="4"/>
      <c r="U1132" s="4" t="str">
        <f t="shared" si="93"/>
        <v>t</v>
      </c>
      <c r="V1132" s="17">
        <v>2</v>
      </c>
    </row>
    <row r="1133" spans="4:22" x14ac:dyDescent="0.45">
      <c r="D1133" s="17" t="s">
        <v>1321</v>
      </c>
      <c r="E1133" s="4" t="str">
        <f>[1]Mitigation!G14263</f>
        <v>irn.mit.nim.pow.nuc.t.2</v>
      </c>
      <c r="F1133" s="4" t="str">
        <f t="shared" si="94"/>
        <v>N/A</v>
      </c>
      <c r="G1133" s="4" t="str">
        <f t="shared" si="90"/>
        <v>irn.mit.nni_.t.nuc.t.all.2</v>
      </c>
      <c r="H1133" s="4" t="s">
        <v>19</v>
      </c>
      <c r="I1133" s="4" t="s">
        <v>317</v>
      </c>
      <c r="J1133" s="4" t="s">
        <v>18</v>
      </c>
      <c r="K1133" s="4"/>
      <c r="L1133" s="4"/>
      <c r="M1133" s="4"/>
      <c r="N1133" s="4" t="s">
        <v>26</v>
      </c>
      <c r="O1133" s="4"/>
      <c r="P1133" s="4" t="str">
        <f t="shared" si="92"/>
        <v>pow</v>
      </c>
      <c r="Q1133" s="4" t="s">
        <v>160</v>
      </c>
      <c r="R1133" s="4" t="s">
        <v>69</v>
      </c>
      <c r="S1133" s="4"/>
      <c r="T1133" s="4"/>
      <c r="U1133" s="4" t="str">
        <f t="shared" si="93"/>
        <v>t</v>
      </c>
      <c r="V1133" s="17">
        <v>2</v>
      </c>
    </row>
    <row r="1134" spans="4:22" x14ac:dyDescent="0.45">
      <c r="D1134" s="17" t="s">
        <v>1322</v>
      </c>
      <c r="E1134" s="4" t="str">
        <f>[1]Mitigation!G14264</f>
        <v>irn.mit.nim.pow.wnd.t.2</v>
      </c>
      <c r="F1134" s="4" t="str">
        <f t="shared" si="94"/>
        <v>N/A</v>
      </c>
      <c r="G1134" s="4" t="str">
        <f t="shared" si="90"/>
        <v>irn.mit.nni_.t.wnd.t.all.2</v>
      </c>
      <c r="H1134" s="4" t="s">
        <v>19</v>
      </c>
      <c r="I1134" s="4" t="s">
        <v>317</v>
      </c>
      <c r="J1134" s="4" t="s">
        <v>18</v>
      </c>
      <c r="K1134" s="4"/>
      <c r="L1134" s="4"/>
      <c r="M1134" s="4"/>
      <c r="N1134" s="4" t="s">
        <v>26</v>
      </c>
      <c r="O1134" s="4"/>
      <c r="P1134" s="4" t="str">
        <f t="shared" si="92"/>
        <v>pow</v>
      </c>
      <c r="Q1134" s="4" t="s">
        <v>170</v>
      </c>
      <c r="R1134" s="4" t="s">
        <v>69</v>
      </c>
      <c r="S1134" s="4"/>
      <c r="T1134" s="4"/>
      <c r="U1134" s="4" t="str">
        <f t="shared" si="93"/>
        <v>t</v>
      </c>
      <c r="V1134" s="17">
        <v>2</v>
      </c>
    </row>
    <row r="1135" spans="4:22" x14ac:dyDescent="0.45">
      <c r="D1135" s="17" t="s">
        <v>1323</v>
      </c>
      <c r="E1135" s="4" t="str">
        <f>[1]Mitigation!G14265</f>
        <v>irn.mit.nim.pow.sol.t.2</v>
      </c>
      <c r="F1135" s="4" t="str">
        <f t="shared" si="94"/>
        <v>N/A</v>
      </c>
      <c r="G1135" s="4" t="str">
        <f t="shared" si="90"/>
        <v>irn.mit.nni_.t.sol.t.all.2</v>
      </c>
      <c r="H1135" s="4" t="s">
        <v>19</v>
      </c>
      <c r="I1135" s="4" t="s">
        <v>317</v>
      </c>
      <c r="J1135" s="4" t="s">
        <v>18</v>
      </c>
      <c r="K1135" s="4"/>
      <c r="L1135" s="4"/>
      <c r="M1135" s="4"/>
      <c r="N1135" s="4" t="s">
        <v>26</v>
      </c>
      <c r="O1135" s="4"/>
      <c r="P1135" s="4" t="str">
        <f t="shared" si="92"/>
        <v>pow</v>
      </c>
      <c r="Q1135" s="4" t="s">
        <v>171</v>
      </c>
      <c r="R1135" s="4" t="s">
        <v>69</v>
      </c>
      <c r="S1135" s="4"/>
      <c r="T1135" s="4"/>
      <c r="U1135" s="4" t="str">
        <f t="shared" si="93"/>
        <v>t</v>
      </c>
      <c r="V1135" s="17">
        <v>2</v>
      </c>
    </row>
    <row r="1136" spans="4:22" x14ac:dyDescent="0.45">
      <c r="D1136" s="17" t="s">
        <v>1324</v>
      </c>
      <c r="E1136" s="4" t="str">
        <f>[1]Mitigation!G14266</f>
        <v>irn.mit.nim.pow.hyd.t.2</v>
      </c>
      <c r="F1136" s="4" t="str">
        <f t="shared" si="94"/>
        <v>N/A</v>
      </c>
      <c r="G1136" s="4" t="str">
        <f t="shared" si="90"/>
        <v>irn.mit.nni_.t.hyd.t.all.2</v>
      </c>
      <c r="H1136" s="4" t="s">
        <v>19</v>
      </c>
      <c r="I1136" s="4" t="s">
        <v>317</v>
      </c>
      <c r="J1136" s="4" t="s">
        <v>18</v>
      </c>
      <c r="K1136" s="4"/>
      <c r="L1136" s="4"/>
      <c r="M1136" s="4"/>
      <c r="N1136" s="4" t="s">
        <v>26</v>
      </c>
      <c r="O1136" s="4"/>
      <c r="P1136" s="4" t="str">
        <f t="shared" si="92"/>
        <v>pow</v>
      </c>
      <c r="Q1136" s="4" t="s">
        <v>172</v>
      </c>
      <c r="R1136" s="4" t="s">
        <v>69</v>
      </c>
      <c r="S1136" s="4"/>
      <c r="T1136" s="4"/>
      <c r="U1136" s="4" t="str">
        <f t="shared" si="93"/>
        <v>t</v>
      </c>
      <c r="V1136" s="17">
        <v>2</v>
      </c>
    </row>
    <row r="1137" spans="4:22" x14ac:dyDescent="0.45">
      <c r="D1137" s="17" t="s">
        <v>1325</v>
      </c>
      <c r="E1137" s="4" t="str">
        <f>[1]Mitigation!G14267</f>
        <v>irn.mit.nim.pow.ore.t.2</v>
      </c>
      <c r="F1137" s="4" t="str">
        <f t="shared" si="94"/>
        <v>N/A</v>
      </c>
      <c r="G1137" s="4" t="str">
        <f t="shared" si="90"/>
        <v>irn.mit.nni_.t.ore.t.all.2</v>
      </c>
      <c r="H1137" s="4" t="s">
        <v>19</v>
      </c>
      <c r="I1137" s="4" t="s">
        <v>317</v>
      </c>
      <c r="J1137" s="4" t="s">
        <v>18</v>
      </c>
      <c r="K1137" s="4"/>
      <c r="L1137" s="4"/>
      <c r="M1137" s="4"/>
      <c r="N1137" s="4" t="s">
        <v>26</v>
      </c>
      <c r="O1137" s="4"/>
      <c r="P1137" s="4" t="str">
        <f t="shared" si="92"/>
        <v>pow</v>
      </c>
      <c r="Q1137" s="4" t="s">
        <v>173</v>
      </c>
      <c r="R1137" s="4" t="s">
        <v>69</v>
      </c>
      <c r="S1137" s="4"/>
      <c r="T1137" s="4"/>
      <c r="U1137" s="4" t="str">
        <f t="shared" si="93"/>
        <v>t</v>
      </c>
      <c r="V1137" s="17">
        <v>2</v>
      </c>
    </row>
    <row r="1138" spans="4:22" x14ac:dyDescent="0.45">
      <c r="D1138" s="36" t="s">
        <v>1326</v>
      </c>
      <c r="E1138" s="35" t="str">
        <f>[1]Mitigation!G14268</f>
        <v>irn.mit.nim.pow.bio.t.2</v>
      </c>
      <c r="F1138" s="35" t="str">
        <f t="shared" si="94"/>
        <v>N/A</v>
      </c>
      <c r="G1138" s="35" t="str">
        <f t="shared" si="90"/>
        <v>irn.mit.nni_.t.bio.t.all.2</v>
      </c>
      <c r="H1138" s="35" t="s">
        <v>19</v>
      </c>
      <c r="I1138" s="35" t="s">
        <v>317</v>
      </c>
      <c r="J1138" s="35" t="s">
        <v>18</v>
      </c>
      <c r="K1138" s="35"/>
      <c r="L1138" s="35"/>
      <c r="M1138" s="35"/>
      <c r="N1138" s="35" t="s">
        <v>26</v>
      </c>
      <c r="O1138" s="35"/>
      <c r="P1138" s="35" t="str">
        <f t="shared" si="92"/>
        <v>pow</v>
      </c>
      <c r="Q1138" s="35" t="s">
        <v>162</v>
      </c>
      <c r="R1138" s="35" t="s">
        <v>69</v>
      </c>
      <c r="S1138" s="35"/>
      <c r="T1138" s="35"/>
      <c r="U1138" s="35" t="str">
        <f t="shared" si="93"/>
        <v>t</v>
      </c>
      <c r="V1138" s="36">
        <v>2</v>
      </c>
    </row>
    <row r="1139" spans="4:22" x14ac:dyDescent="0.45">
      <c r="D1139" s="36" t="s">
        <v>1327</v>
      </c>
      <c r="E1139" s="35" t="str">
        <f>[1]Mitigation!G14271</f>
        <v>irn.mit.nid.pow.coa.t.1</v>
      </c>
      <c r="F1139" s="35" t="str">
        <f t="shared" si="94"/>
        <v>N/A</v>
      </c>
      <c r="G1139" s="35" t="str">
        <f t="shared" si="90"/>
        <v>irn.mit.all_.all.all.all.all.all</v>
      </c>
      <c r="H1139" s="35" t="s">
        <v>19</v>
      </c>
      <c r="I1139" s="35"/>
      <c r="J1139" s="35" t="s">
        <v>18</v>
      </c>
      <c r="K1139" s="35"/>
      <c r="L1139" s="35"/>
      <c r="M1139" s="35"/>
      <c r="N1139" s="35"/>
      <c r="O1139" s="35"/>
      <c r="P1139" s="35" t="str">
        <f t="shared" si="92"/>
        <v/>
      </c>
      <c r="Q1139" s="35"/>
      <c r="R1139" s="35"/>
      <c r="S1139" s="35"/>
      <c r="T1139" s="35"/>
      <c r="U1139" s="35" t="str">
        <f t="shared" si="93"/>
        <v/>
      </c>
      <c r="V1139" s="36"/>
    </row>
    <row r="1140" spans="4:22" x14ac:dyDescent="0.45">
      <c r="D1140" s="36" t="s">
        <v>1328</v>
      </c>
      <c r="E1140" s="35" t="str">
        <f>[1]Mitigation!G14272</f>
        <v>irn.mit.nid.pow.nga.t.1</v>
      </c>
      <c r="F1140" s="35" t="str">
        <f t="shared" si="94"/>
        <v>N/A</v>
      </c>
      <c r="G1140" s="35" t="str">
        <f t="shared" si="90"/>
        <v>irn.mit.all_.all.all.all.all.all</v>
      </c>
      <c r="H1140" s="35" t="s">
        <v>19</v>
      </c>
      <c r="I1140" s="35"/>
      <c r="J1140" s="35" t="s">
        <v>18</v>
      </c>
      <c r="K1140" s="35"/>
      <c r="L1140" s="35"/>
      <c r="M1140" s="35"/>
      <c r="N1140" s="35"/>
      <c r="O1140" s="35"/>
      <c r="P1140" s="35" t="str">
        <f t="shared" si="92"/>
        <v/>
      </c>
      <c r="Q1140" s="35"/>
      <c r="R1140" s="35"/>
      <c r="S1140" s="35"/>
      <c r="T1140" s="35"/>
      <c r="U1140" s="35" t="str">
        <f t="shared" si="93"/>
        <v/>
      </c>
      <c r="V1140" s="36"/>
    </row>
    <row r="1141" spans="4:22" x14ac:dyDescent="0.45">
      <c r="D1141" s="36" t="s">
        <v>1329</v>
      </c>
      <c r="E1141" s="35" t="str">
        <f>[1]Mitigation!G14273</f>
        <v>irn.mit.nid.pow.oop.t.1</v>
      </c>
      <c r="F1141" s="35" t="str">
        <f t="shared" si="94"/>
        <v>N/A</v>
      </c>
      <c r="G1141" s="35" t="str">
        <f t="shared" si="90"/>
        <v>irn.mit.all_.all.all.all.all.all</v>
      </c>
      <c r="H1141" s="35" t="s">
        <v>19</v>
      </c>
      <c r="I1141" s="35"/>
      <c r="J1141" s="35" t="s">
        <v>18</v>
      </c>
      <c r="K1141" s="35"/>
      <c r="L1141" s="35"/>
      <c r="M1141" s="35"/>
      <c r="N1141" s="35"/>
      <c r="O1141" s="35"/>
      <c r="P1141" s="35" t="str">
        <f t="shared" si="92"/>
        <v/>
      </c>
      <c r="Q1141" s="35"/>
      <c r="R1141" s="35"/>
      <c r="S1141" s="35"/>
      <c r="T1141" s="35"/>
      <c r="U1141" s="35" t="str">
        <f t="shared" si="93"/>
        <v/>
      </c>
      <c r="V1141" s="36"/>
    </row>
    <row r="1142" spans="4:22" x14ac:dyDescent="0.45">
      <c r="D1142" s="36" t="s">
        <v>1330</v>
      </c>
      <c r="E1142" s="35" t="str">
        <f>[1]Mitigation!G14274</f>
        <v>irn.mit.nid.pow.nuc.t.1</v>
      </c>
      <c r="F1142" s="35" t="str">
        <f t="shared" si="94"/>
        <v>N/A</v>
      </c>
      <c r="G1142" s="35" t="str">
        <f t="shared" si="90"/>
        <v>irn.mit.all_.all.all.all.all.all</v>
      </c>
      <c r="H1142" s="35" t="s">
        <v>19</v>
      </c>
      <c r="I1142" s="35"/>
      <c r="J1142" s="35" t="s">
        <v>18</v>
      </c>
      <c r="K1142" s="35"/>
      <c r="L1142" s="35"/>
      <c r="M1142" s="35"/>
      <c r="N1142" s="35"/>
      <c r="O1142" s="35"/>
      <c r="P1142" s="35" t="str">
        <f t="shared" si="92"/>
        <v/>
      </c>
      <c r="Q1142" s="35"/>
      <c r="R1142" s="35"/>
      <c r="S1142" s="35"/>
      <c r="T1142" s="35"/>
      <c r="U1142" s="35" t="str">
        <f t="shared" si="93"/>
        <v/>
      </c>
      <c r="V1142" s="36"/>
    </row>
    <row r="1143" spans="4:22" x14ac:dyDescent="0.45">
      <c r="D1143" s="36" t="s">
        <v>1331</v>
      </c>
      <c r="E1143" s="35" t="str">
        <f>[1]Mitigation!G14275</f>
        <v>irn.mit.nid.pow.wnd.t.1</v>
      </c>
      <c r="F1143" s="35" t="str">
        <f t="shared" si="94"/>
        <v>N/A</v>
      </c>
      <c r="G1143" s="35" t="str">
        <f t="shared" si="90"/>
        <v>irn.mit.all_.all.all.all.all.all</v>
      </c>
      <c r="H1143" s="35" t="s">
        <v>19</v>
      </c>
      <c r="I1143" s="35"/>
      <c r="J1143" s="35" t="s">
        <v>18</v>
      </c>
      <c r="K1143" s="35"/>
      <c r="L1143" s="35"/>
      <c r="M1143" s="35"/>
      <c r="N1143" s="35"/>
      <c r="O1143" s="35"/>
      <c r="P1143" s="35" t="str">
        <f t="shared" si="92"/>
        <v/>
      </c>
      <c r="Q1143" s="35"/>
      <c r="R1143" s="35"/>
      <c r="S1143" s="35"/>
      <c r="T1143" s="35"/>
      <c r="U1143" s="35" t="str">
        <f t="shared" si="93"/>
        <v/>
      </c>
      <c r="V1143" s="36"/>
    </row>
    <row r="1144" spans="4:22" x14ac:dyDescent="0.45">
      <c r="D1144" s="36" t="s">
        <v>1332</v>
      </c>
      <c r="E1144" s="35" t="str">
        <f>[1]Mitigation!G14276</f>
        <v>irn.mit.nid.pow.sol.t.1</v>
      </c>
      <c r="F1144" s="35" t="str">
        <f t="shared" si="94"/>
        <v>N/A</v>
      </c>
      <c r="G1144" s="35" t="str">
        <f t="shared" si="90"/>
        <v>irn.mit.all_.all.all.all.all.all</v>
      </c>
      <c r="H1144" s="35" t="s">
        <v>19</v>
      </c>
      <c r="I1144" s="35"/>
      <c r="J1144" s="35" t="s">
        <v>18</v>
      </c>
      <c r="K1144" s="35"/>
      <c r="L1144" s="35"/>
      <c r="M1144" s="35"/>
      <c r="N1144" s="35"/>
      <c r="O1144" s="35"/>
      <c r="P1144" s="35" t="str">
        <f t="shared" si="92"/>
        <v/>
      </c>
      <c r="Q1144" s="35"/>
      <c r="R1144" s="35"/>
      <c r="S1144" s="35"/>
      <c r="T1144" s="35"/>
      <c r="U1144" s="35" t="str">
        <f t="shared" si="93"/>
        <v/>
      </c>
      <c r="V1144" s="36"/>
    </row>
    <row r="1145" spans="4:22" x14ac:dyDescent="0.45">
      <c r="D1145" s="36" t="s">
        <v>1333</v>
      </c>
      <c r="E1145" s="35" t="str">
        <f>[1]Mitigation!G14277</f>
        <v>irn.mit.nid.pow.hyd.t.1</v>
      </c>
      <c r="F1145" s="35" t="str">
        <f t="shared" si="94"/>
        <v>N/A</v>
      </c>
      <c r="G1145" s="35" t="str">
        <f t="shared" si="90"/>
        <v>irn.mit.all_.all.all.all.all.all</v>
      </c>
      <c r="H1145" s="35" t="s">
        <v>19</v>
      </c>
      <c r="I1145" s="35"/>
      <c r="J1145" s="35" t="s">
        <v>18</v>
      </c>
      <c r="K1145" s="35"/>
      <c r="L1145" s="35"/>
      <c r="M1145" s="35"/>
      <c r="N1145" s="35"/>
      <c r="O1145" s="35"/>
      <c r="P1145" s="35" t="str">
        <f t="shared" si="92"/>
        <v/>
      </c>
      <c r="Q1145" s="35"/>
      <c r="R1145" s="35"/>
      <c r="S1145" s="35"/>
      <c r="T1145" s="35"/>
      <c r="U1145" s="35" t="str">
        <f t="shared" si="93"/>
        <v/>
      </c>
      <c r="V1145" s="36"/>
    </row>
    <row r="1146" spans="4:22" x14ac:dyDescent="0.45">
      <c r="D1146" s="36" t="s">
        <v>1334</v>
      </c>
      <c r="E1146" s="35" t="str">
        <f>[1]Mitigation!G14278</f>
        <v>irn.mit.nid.pow.ore.t.1</v>
      </c>
      <c r="F1146" s="35" t="str">
        <f t="shared" si="94"/>
        <v>N/A</v>
      </c>
      <c r="G1146" s="35" t="str">
        <f t="shared" si="90"/>
        <v>irn.mit.all_.all.all.all.all.all</v>
      </c>
      <c r="H1146" s="35" t="s">
        <v>19</v>
      </c>
      <c r="I1146" s="35"/>
      <c r="J1146" s="35" t="s">
        <v>18</v>
      </c>
      <c r="K1146" s="35"/>
      <c r="L1146" s="35"/>
      <c r="M1146" s="35"/>
      <c r="N1146" s="35"/>
      <c r="O1146" s="35"/>
      <c r="P1146" s="35" t="str">
        <f t="shared" si="92"/>
        <v/>
      </c>
      <c r="Q1146" s="35"/>
      <c r="R1146" s="35"/>
      <c r="S1146" s="35"/>
      <c r="T1146" s="35"/>
      <c r="U1146" s="35" t="str">
        <f t="shared" si="93"/>
        <v/>
      </c>
      <c r="V1146" s="36"/>
    </row>
    <row r="1147" spans="4:22" x14ac:dyDescent="0.45">
      <c r="D1147" s="36" t="s">
        <v>1335</v>
      </c>
      <c r="E1147" s="35" t="str">
        <f>[1]Mitigation!G14279</f>
        <v>irn.mit.nid.pow.bio.t.1</v>
      </c>
      <c r="F1147" s="35" t="str">
        <f t="shared" si="94"/>
        <v>N/A</v>
      </c>
      <c r="G1147" s="35" t="str">
        <f t="shared" si="90"/>
        <v>irn.mit.all_.all.all.all.all.all</v>
      </c>
      <c r="H1147" s="35" t="s">
        <v>19</v>
      </c>
      <c r="I1147" s="35"/>
      <c r="J1147" s="35" t="s">
        <v>18</v>
      </c>
      <c r="K1147" s="35"/>
      <c r="L1147" s="35"/>
      <c r="M1147" s="35"/>
      <c r="N1147" s="35"/>
      <c r="O1147" s="35"/>
      <c r="P1147" s="35" t="str">
        <f t="shared" si="92"/>
        <v/>
      </c>
      <c r="Q1147" s="35"/>
      <c r="R1147" s="35"/>
      <c r="S1147" s="35"/>
      <c r="T1147" s="35"/>
      <c r="U1147" s="35" t="str">
        <f t="shared" si="93"/>
        <v/>
      </c>
      <c r="V1147" s="36"/>
    </row>
    <row r="1148" spans="4:22" x14ac:dyDescent="0.45">
      <c r="D1148" s="36" t="s">
        <v>1336</v>
      </c>
      <c r="E1148" s="35" t="str">
        <f>[1]Mitigation!G14281</f>
        <v>irn.mit.nid.pow.coa.t.2</v>
      </c>
      <c r="F1148" s="35" t="str">
        <f t="shared" si="94"/>
        <v>N/A</v>
      </c>
      <c r="G1148" s="35" t="str">
        <f t="shared" si="90"/>
        <v>irn.mit.all_.all.all.all.all.all</v>
      </c>
      <c r="H1148" s="35" t="s">
        <v>19</v>
      </c>
      <c r="I1148" s="35"/>
      <c r="J1148" s="35" t="s">
        <v>18</v>
      </c>
      <c r="K1148" s="35"/>
      <c r="L1148" s="35"/>
      <c r="M1148" s="35"/>
      <c r="N1148" s="35"/>
      <c r="O1148" s="35"/>
      <c r="P1148" s="35" t="str">
        <f t="shared" si="92"/>
        <v/>
      </c>
      <c r="Q1148" s="35"/>
      <c r="R1148" s="35"/>
      <c r="S1148" s="35"/>
      <c r="T1148" s="35"/>
      <c r="U1148" s="35" t="str">
        <f t="shared" si="93"/>
        <v/>
      </c>
      <c r="V1148" s="36"/>
    </row>
    <row r="1149" spans="4:22" x14ac:dyDescent="0.45">
      <c r="D1149" s="36" t="s">
        <v>1337</v>
      </c>
      <c r="E1149" s="35" t="str">
        <f>[1]Mitigation!G14282</f>
        <v>irn.mit.nid.pow.nga.t.2</v>
      </c>
      <c r="F1149" s="35" t="str">
        <f t="shared" si="94"/>
        <v>N/A</v>
      </c>
      <c r="G1149" s="35" t="str">
        <f t="shared" si="90"/>
        <v>irn.mit.all_.all.all.all.all.all</v>
      </c>
      <c r="H1149" s="35" t="s">
        <v>19</v>
      </c>
      <c r="I1149" s="35"/>
      <c r="J1149" s="35" t="s">
        <v>18</v>
      </c>
      <c r="K1149" s="35"/>
      <c r="L1149" s="35"/>
      <c r="M1149" s="35"/>
      <c r="N1149" s="35"/>
      <c r="O1149" s="35"/>
      <c r="P1149" s="35" t="str">
        <f t="shared" si="92"/>
        <v/>
      </c>
      <c r="Q1149" s="35"/>
      <c r="R1149" s="35"/>
      <c r="S1149" s="35"/>
      <c r="T1149" s="35"/>
      <c r="U1149" s="35" t="str">
        <f t="shared" si="93"/>
        <v/>
      </c>
      <c r="V1149" s="36"/>
    </row>
    <row r="1150" spans="4:22" x14ac:dyDescent="0.45">
      <c r="D1150" s="36" t="s">
        <v>1338</v>
      </c>
      <c r="E1150" s="35" t="str">
        <f>[1]Mitigation!G14283</f>
        <v>irn.mit.nid.pow.oop.t.2</v>
      </c>
      <c r="F1150" s="35" t="str">
        <f t="shared" si="94"/>
        <v>N/A</v>
      </c>
      <c r="G1150" s="35" t="str">
        <f t="shared" si="90"/>
        <v>irn.mit.all_.all.all.all.all.all</v>
      </c>
      <c r="H1150" s="35" t="s">
        <v>19</v>
      </c>
      <c r="I1150" s="35"/>
      <c r="J1150" s="35" t="s">
        <v>18</v>
      </c>
      <c r="K1150" s="35"/>
      <c r="L1150" s="35"/>
      <c r="M1150" s="35"/>
      <c r="N1150" s="35"/>
      <c r="O1150" s="35"/>
      <c r="P1150" s="35" t="str">
        <f t="shared" si="92"/>
        <v/>
      </c>
      <c r="Q1150" s="35"/>
      <c r="R1150" s="35"/>
      <c r="S1150" s="35"/>
      <c r="T1150" s="35"/>
      <c r="U1150" s="35" t="str">
        <f t="shared" si="93"/>
        <v/>
      </c>
      <c r="V1150" s="36"/>
    </row>
    <row r="1151" spans="4:22" x14ac:dyDescent="0.45">
      <c r="D1151" s="36" t="s">
        <v>1339</v>
      </c>
      <c r="E1151" s="35" t="str">
        <f>[1]Mitigation!G14284</f>
        <v>irn.mit.nid.pow.nuc.t.2</v>
      </c>
      <c r="F1151" s="35" t="str">
        <f t="shared" si="94"/>
        <v>N/A</v>
      </c>
      <c r="G1151" s="35" t="str">
        <f t="shared" si="90"/>
        <v>irn.mit.all_.all.all.all.all.all</v>
      </c>
      <c r="H1151" s="35" t="s">
        <v>19</v>
      </c>
      <c r="I1151" s="35"/>
      <c r="J1151" s="35" t="s">
        <v>18</v>
      </c>
      <c r="K1151" s="35"/>
      <c r="L1151" s="35"/>
      <c r="M1151" s="35"/>
      <c r="N1151" s="35"/>
      <c r="O1151" s="35"/>
      <c r="P1151" s="35" t="str">
        <f t="shared" si="92"/>
        <v/>
      </c>
      <c r="Q1151" s="35"/>
      <c r="R1151" s="35"/>
      <c r="S1151" s="35"/>
      <c r="T1151" s="35"/>
      <c r="U1151" s="35" t="str">
        <f t="shared" si="93"/>
        <v/>
      </c>
      <c r="V1151" s="36"/>
    </row>
    <row r="1152" spans="4:22" x14ac:dyDescent="0.45">
      <c r="D1152" s="36" t="s">
        <v>1340</v>
      </c>
      <c r="E1152" s="35" t="str">
        <f>[1]Mitigation!G14285</f>
        <v>irn.mit.nid.pow.wnd.t.2</v>
      </c>
      <c r="F1152" s="35" t="str">
        <f t="shared" si="94"/>
        <v>N/A</v>
      </c>
      <c r="G1152" s="35" t="str">
        <f t="shared" si="90"/>
        <v>irn.mit.all_.all.all.all.all.all</v>
      </c>
      <c r="H1152" s="35" t="s">
        <v>19</v>
      </c>
      <c r="I1152" s="35"/>
      <c r="J1152" s="35" t="s">
        <v>18</v>
      </c>
      <c r="K1152" s="35"/>
      <c r="L1152" s="35"/>
      <c r="M1152" s="35"/>
      <c r="N1152" s="35"/>
      <c r="O1152" s="35"/>
      <c r="P1152" s="35" t="str">
        <f t="shared" si="92"/>
        <v/>
      </c>
      <c r="Q1152" s="35"/>
      <c r="R1152" s="35"/>
      <c r="S1152" s="35"/>
      <c r="T1152" s="35"/>
      <c r="U1152" s="35" t="str">
        <f t="shared" si="93"/>
        <v/>
      </c>
      <c r="V1152" s="36"/>
    </row>
    <row r="1153" spans="4:22" x14ac:dyDescent="0.45">
      <c r="D1153" s="36" t="s">
        <v>1341</v>
      </c>
      <c r="E1153" s="35" t="str">
        <f>[1]Mitigation!G14286</f>
        <v>irn.mit.nid.pow.sol.t.2</v>
      </c>
      <c r="F1153" s="35" t="str">
        <f t="shared" si="94"/>
        <v>N/A</v>
      </c>
      <c r="G1153" s="35" t="str">
        <f t="shared" si="90"/>
        <v>irn.mit.all_.all.all.all.all.all</v>
      </c>
      <c r="H1153" s="35" t="s">
        <v>19</v>
      </c>
      <c r="I1153" s="35"/>
      <c r="J1153" s="35" t="s">
        <v>18</v>
      </c>
      <c r="K1153" s="35"/>
      <c r="L1153" s="35"/>
      <c r="M1153" s="35"/>
      <c r="N1153" s="35"/>
      <c r="O1153" s="35"/>
      <c r="P1153" s="35" t="str">
        <f t="shared" si="92"/>
        <v/>
      </c>
      <c r="Q1153" s="35"/>
      <c r="R1153" s="35"/>
      <c r="S1153" s="35"/>
      <c r="T1153" s="35"/>
      <c r="U1153" s="35" t="str">
        <f t="shared" si="93"/>
        <v/>
      </c>
      <c r="V1153" s="36"/>
    </row>
    <row r="1154" spans="4:22" x14ac:dyDescent="0.45">
      <c r="D1154" s="36" t="s">
        <v>1342</v>
      </c>
      <c r="E1154" s="35" t="str">
        <f>[1]Mitigation!G14287</f>
        <v>irn.mit.nid.pow.hyd.t.2</v>
      </c>
      <c r="F1154" s="35" t="str">
        <f t="shared" si="94"/>
        <v>N/A</v>
      </c>
      <c r="G1154" s="35" t="str">
        <f t="shared" si="90"/>
        <v>irn.mit.all_.all.all.all.all.all</v>
      </c>
      <c r="H1154" s="35" t="s">
        <v>19</v>
      </c>
      <c r="I1154" s="35"/>
      <c r="J1154" s="35" t="s">
        <v>18</v>
      </c>
      <c r="K1154" s="35"/>
      <c r="L1154" s="35"/>
      <c r="M1154" s="35"/>
      <c r="N1154" s="35"/>
      <c r="O1154" s="35"/>
      <c r="P1154" s="35" t="str">
        <f t="shared" si="92"/>
        <v/>
      </c>
      <c r="Q1154" s="35"/>
      <c r="R1154" s="35"/>
      <c r="S1154" s="35"/>
      <c r="T1154" s="35"/>
      <c r="U1154" s="35" t="str">
        <f t="shared" si="93"/>
        <v/>
      </c>
      <c r="V1154" s="36"/>
    </row>
    <row r="1155" spans="4:22" x14ac:dyDescent="0.45">
      <c r="D1155" s="36" t="s">
        <v>1343</v>
      </c>
      <c r="E1155" s="35" t="str">
        <f>[1]Mitigation!G14288</f>
        <v>irn.mit.nid.pow.ore.t.2</v>
      </c>
      <c r="F1155" s="35" t="str">
        <f t="shared" si="94"/>
        <v>N/A</v>
      </c>
      <c r="G1155" s="35" t="str">
        <f t="shared" si="90"/>
        <v>irn.mit.all_.all.all.all.all.all</v>
      </c>
      <c r="H1155" s="35" t="s">
        <v>19</v>
      </c>
      <c r="I1155" s="35"/>
      <c r="J1155" s="35" t="s">
        <v>18</v>
      </c>
      <c r="K1155" s="35"/>
      <c r="L1155" s="35"/>
      <c r="M1155" s="35"/>
      <c r="N1155" s="35"/>
      <c r="O1155" s="35"/>
      <c r="P1155" s="35" t="str">
        <f t="shared" si="92"/>
        <v/>
      </c>
      <c r="Q1155" s="35"/>
      <c r="R1155" s="35"/>
      <c r="S1155" s="35"/>
      <c r="T1155" s="35"/>
      <c r="U1155" s="35" t="str">
        <f t="shared" si="93"/>
        <v/>
      </c>
      <c r="V1155" s="36"/>
    </row>
    <row r="1156" spans="4:22" x14ac:dyDescent="0.45">
      <c r="D1156" s="36" t="s">
        <v>1344</v>
      </c>
      <c r="E1156" s="35" t="str">
        <f>[1]Mitigation!G14289</f>
        <v>irn.mit.nid.pow.bio.t.2</v>
      </c>
      <c r="F1156" s="35" t="str">
        <f t="shared" si="94"/>
        <v>N/A</v>
      </c>
      <c r="G1156" s="35" t="str">
        <f t="shared" si="90"/>
        <v>irn.mit.all_.all.all.all.all.all</v>
      </c>
      <c r="H1156" s="35" t="s">
        <v>19</v>
      </c>
      <c r="I1156" s="35"/>
      <c r="J1156" s="35" t="s">
        <v>18</v>
      </c>
      <c r="K1156" s="35"/>
      <c r="L1156" s="35"/>
      <c r="M1156" s="35"/>
      <c r="N1156" s="35"/>
      <c r="O1156" s="35"/>
      <c r="P1156" s="35" t="str">
        <f t="shared" si="92"/>
        <v/>
      </c>
      <c r="Q1156" s="35"/>
      <c r="R1156" s="35"/>
      <c r="S1156" s="35"/>
      <c r="T1156" s="35"/>
      <c r="U1156" s="35" t="str">
        <f t="shared" si="93"/>
        <v/>
      </c>
      <c r="V1156" s="36"/>
    </row>
    <row r="1157" spans="4:22" x14ac:dyDescent="0.45">
      <c r="D1157" s="2"/>
      <c r="E1157" s="2"/>
      <c r="F1157" s="2"/>
      <c r="G1157" s="2" t="str">
        <f t="shared" ref="G1157:G1216" si="95">IF(D1157="","",LOWER(_Country_code)&amp;"."&amp;H1157&amp;"."&amp;IF(I1157="","all",I1157)&amp;"_"&amp;J1157&amp;"."&amp;IF(R1157="","all",R1157)&amp;"."&amp;IF(Q1157="","all",Q1157)&amp;"."&amp;IF(U1157="","all",U1157)&amp;"."&amp;IF(K1157="","all",K1157)&amp;"."&amp;IF(V1157="","all",V1157))</f>
        <v/>
      </c>
      <c r="H1157" s="2" t="s">
        <v>18</v>
      </c>
      <c r="I1157" s="2"/>
      <c r="J1157" s="2" t="s">
        <v>18</v>
      </c>
      <c r="K1157" s="2"/>
      <c r="L1157" s="2"/>
      <c r="M1157" s="2"/>
      <c r="N1157" s="2"/>
      <c r="O1157" s="2"/>
      <c r="P1157" s="2" t="str">
        <f t="shared" si="92"/>
        <v/>
      </c>
      <c r="Q1157" s="2"/>
      <c r="R1157" s="2"/>
      <c r="S1157" s="2"/>
      <c r="T1157" s="2"/>
      <c r="U1157" s="2" t="str">
        <f t="shared" si="93"/>
        <v/>
      </c>
      <c r="V1157" s="2"/>
    </row>
    <row r="1158" spans="4:22" x14ac:dyDescent="0.45">
      <c r="D1158" s="17" t="str">
        <f>[1]Mitigation!D16101</f>
        <v>Inflation index, 2021 = 100</v>
      </c>
      <c r="E1158" s="4" t="str">
        <f>[1]Mitigation!H16101</f>
        <v>inflation</v>
      </c>
      <c r="F1158" s="4" t="str">
        <f t="shared" ref="F1158:F1169" si="96">IF(MTAct,E1158&amp;"_"&amp;MSTScenarioID,"N/A")</f>
        <v>N/A</v>
      </c>
      <c r="G1158" s="4" t="str">
        <f t="shared" si="95"/>
        <v>irn.mit.inflation_.all.all.all.index.all</v>
      </c>
      <c r="H1158" s="4" t="s">
        <v>19</v>
      </c>
      <c r="I1158" s="4" t="s">
        <v>318</v>
      </c>
      <c r="J1158" s="4" t="s">
        <v>18</v>
      </c>
      <c r="K1158" s="4" t="s">
        <v>79</v>
      </c>
      <c r="L1158" s="4"/>
      <c r="M1158" s="4"/>
      <c r="N1158" s="4"/>
      <c r="O1158" s="4"/>
      <c r="P1158" s="4" t="str">
        <f t="shared" si="92"/>
        <v/>
      </c>
      <c r="Q1158" s="4"/>
      <c r="R1158" s="4"/>
      <c r="S1158" s="4"/>
      <c r="T1158" s="4"/>
      <c r="U1158" s="4" t="str">
        <f t="shared" si="93"/>
        <v/>
      </c>
      <c r="V1158" s="37"/>
    </row>
    <row r="1159" spans="4:22" x14ac:dyDescent="0.45">
      <c r="D1159" s="17" t="str">
        <f>[1]Mitigation!D16102</f>
        <v>VAT rate</v>
      </c>
      <c r="E1159" s="4" t="str">
        <f>[1]Mitigation!H16102</f>
        <v>vat</v>
      </c>
      <c r="F1159" s="4" t="str">
        <f t="shared" si="96"/>
        <v>N/A</v>
      </c>
      <c r="G1159" s="4" t="str">
        <f t="shared" si="95"/>
        <v>irn.mit.vat_.all.all.all.pc.all</v>
      </c>
      <c r="H1159" s="4" t="s">
        <v>19</v>
      </c>
      <c r="I1159" s="4" t="s">
        <v>116</v>
      </c>
      <c r="J1159" s="4" t="s">
        <v>18</v>
      </c>
      <c r="K1159" s="4" t="s">
        <v>21</v>
      </c>
      <c r="L1159" s="4"/>
      <c r="M1159" s="4"/>
      <c r="N1159" s="4"/>
      <c r="O1159" s="4"/>
      <c r="P1159" s="4" t="str">
        <f t="shared" si="92"/>
        <v/>
      </c>
      <c r="Q1159" s="4"/>
      <c r="R1159" s="4"/>
      <c r="S1159" s="4"/>
      <c r="T1159" s="4"/>
      <c r="U1159" s="4" t="str">
        <f t="shared" si="93"/>
        <v/>
      </c>
      <c r="V1159" s="37"/>
    </row>
    <row r="1160" spans="4:22" x14ac:dyDescent="0.45">
      <c r="D1160" s="17" t="str">
        <f>[1]Mitigation!D16103</f>
        <v>Crude Oil forecast - international</v>
      </c>
      <c r="E1160" s="4" t="str">
        <f>[1]Mitigation!H16103</f>
        <v>realoilbbl</v>
      </c>
      <c r="F1160" s="4" t="str">
        <f t="shared" si="96"/>
        <v>N/A</v>
      </c>
      <c r="G1160" s="4" t="str">
        <f t="shared" si="95"/>
        <v>irn.mit.realoilbbl_.all.all.all.usdbbl.all</v>
      </c>
      <c r="H1160" s="4" t="s">
        <v>19</v>
      </c>
      <c r="I1160" s="4" t="s">
        <v>319</v>
      </c>
      <c r="J1160" s="4" t="s">
        <v>18</v>
      </c>
      <c r="K1160" s="4" t="s">
        <v>320</v>
      </c>
      <c r="L1160" s="4"/>
      <c r="M1160" s="4"/>
      <c r="N1160" s="4"/>
      <c r="O1160" s="4"/>
      <c r="P1160" s="4" t="str">
        <f t="shared" si="92"/>
        <v/>
      </c>
      <c r="Q1160" s="4"/>
      <c r="R1160" s="4"/>
      <c r="S1160" s="4"/>
      <c r="T1160" s="4"/>
      <c r="U1160" s="4" t="str">
        <f t="shared" si="93"/>
        <v/>
      </c>
      <c r="V1160" s="37"/>
    </row>
    <row r="1161" spans="4:22" x14ac:dyDescent="0.45">
      <c r="D1161" s="17" t="str">
        <f>[1]Mitigation!D16104</f>
        <v>Coal forecast  - international</v>
      </c>
      <c r="E1161" s="4" t="str">
        <f>[1]Mitigation!H16104</f>
        <v>realcoalton</v>
      </c>
      <c r="F1161" s="4" t="str">
        <f t="shared" si="96"/>
        <v>N/A</v>
      </c>
      <c r="G1161" s="4" t="str">
        <f t="shared" si="95"/>
        <v>irn.mit.realcoalton_.all.all.all.usdton.all</v>
      </c>
      <c r="H1161" s="4" t="s">
        <v>19</v>
      </c>
      <c r="I1161" s="4" t="s">
        <v>321</v>
      </c>
      <c r="J1161" s="4" t="s">
        <v>18</v>
      </c>
      <c r="K1161" s="4" t="s">
        <v>322</v>
      </c>
      <c r="L1161" s="4"/>
      <c r="M1161" s="4"/>
      <c r="N1161" s="4"/>
      <c r="O1161" s="4"/>
      <c r="P1161" s="4" t="str">
        <f t="shared" si="92"/>
        <v/>
      </c>
      <c r="Q1161" s="4"/>
      <c r="R1161" s="4"/>
      <c r="S1161" s="4"/>
      <c r="T1161" s="4"/>
      <c r="U1161" s="4" t="str">
        <f t="shared" si="93"/>
        <v/>
      </c>
      <c r="V1161" s="37"/>
    </row>
    <row r="1162" spans="4:22" x14ac:dyDescent="0.45">
      <c r="D1162" s="17" t="str">
        <f>[1]Mitigation!D16105</f>
        <v>Natural gas forecast - international</v>
      </c>
      <c r="E1162" s="4" t="str">
        <f>[1]Mitigation!H16105</f>
        <v>realngammbtu</v>
      </c>
      <c r="F1162" s="4" t="str">
        <f t="shared" si="96"/>
        <v>N/A</v>
      </c>
      <c r="G1162" s="4" t="str">
        <f t="shared" si="95"/>
        <v>irn.mit.realngammbtu_.all.all.all.usdbbbtu.all</v>
      </c>
      <c r="H1162" s="4" t="s">
        <v>19</v>
      </c>
      <c r="I1162" s="4" t="s">
        <v>323</v>
      </c>
      <c r="J1162" s="4" t="s">
        <v>18</v>
      </c>
      <c r="K1162" s="4" t="s">
        <v>324</v>
      </c>
      <c r="L1162" s="4"/>
      <c r="M1162" s="4"/>
      <c r="N1162" s="4"/>
      <c r="O1162" s="4"/>
      <c r="P1162" s="4" t="str">
        <f t="shared" si="92"/>
        <v/>
      </c>
      <c r="Q1162" s="4"/>
      <c r="R1162" s="4"/>
      <c r="S1162" s="4"/>
      <c r="T1162" s="4"/>
      <c r="U1162" s="4" t="str">
        <f t="shared" si="93"/>
        <v/>
      </c>
      <c r="V1162" s="37"/>
    </row>
    <row r="1163" spans="4:22" x14ac:dyDescent="0.45">
      <c r="D1163" s="17" t="str">
        <f>[1]Mitigation!D16106</f>
        <v>Crude Oil forecast - international</v>
      </c>
      <c r="E1163" s="4" t="str">
        <f>[1]Mitigation!H16106</f>
        <v>realoilglobal</v>
      </c>
      <c r="F1163" s="4" t="str">
        <f t="shared" si="96"/>
        <v>N/A</v>
      </c>
      <c r="G1163" s="4" t="str">
        <f t="shared" si="95"/>
        <v>irn.mit.realoilglobal_.all.all.all.usdbbl.all</v>
      </c>
      <c r="H1163" s="4" t="s">
        <v>19</v>
      </c>
      <c r="I1163" s="4" t="s">
        <v>325</v>
      </c>
      <c r="J1163" s="4" t="s">
        <v>18</v>
      </c>
      <c r="K1163" s="4" t="s">
        <v>320</v>
      </c>
      <c r="L1163" s="4"/>
      <c r="M1163" s="4"/>
      <c r="N1163" s="4"/>
      <c r="O1163" s="4"/>
      <c r="P1163" s="4" t="str">
        <f t="shared" si="92"/>
        <v/>
      </c>
      <c r="Q1163" s="4"/>
      <c r="R1163" s="4"/>
      <c r="S1163" s="4"/>
      <c r="T1163" s="4"/>
      <c r="U1163" s="4" t="str">
        <f t="shared" si="93"/>
        <v/>
      </c>
      <c r="V1163" s="37"/>
    </row>
    <row r="1164" spans="4:22" x14ac:dyDescent="0.45">
      <c r="D1164" s="17" t="str">
        <f>[1]Mitigation!D16107</f>
        <v>Coal forecast  - international</v>
      </c>
      <c r="E1164" s="4" t="str">
        <f>[1]Mitigation!H16107</f>
        <v>reacoalglobal</v>
      </c>
      <c r="F1164" s="4" t="str">
        <f t="shared" si="96"/>
        <v>N/A</v>
      </c>
      <c r="G1164" s="4" t="str">
        <f t="shared" si="95"/>
        <v>irn.mit.reacoalglobal_.all.all.all.usdton.all</v>
      </c>
      <c r="H1164" s="4" t="s">
        <v>19</v>
      </c>
      <c r="I1164" s="4" t="s">
        <v>326</v>
      </c>
      <c r="J1164" s="4" t="s">
        <v>18</v>
      </c>
      <c r="K1164" s="4" t="s">
        <v>322</v>
      </c>
      <c r="L1164" s="4"/>
      <c r="M1164" s="4"/>
      <c r="N1164" s="4"/>
      <c r="O1164" s="4"/>
      <c r="P1164" s="4" t="str">
        <f t="shared" si="92"/>
        <v/>
      </c>
      <c r="Q1164" s="4"/>
      <c r="R1164" s="4"/>
      <c r="S1164" s="4"/>
      <c r="T1164" s="4"/>
      <c r="U1164" s="4" t="str">
        <f t="shared" si="93"/>
        <v/>
      </c>
      <c r="V1164" s="37"/>
    </row>
    <row r="1165" spans="4:22" x14ac:dyDescent="0.45">
      <c r="D1165" s="17" t="str">
        <f>[1]Mitigation!D16108</f>
        <v>Natural gas forecast - international</v>
      </c>
      <c r="E1165" s="4" t="str">
        <f>[1]Mitigation!H16108</f>
        <v>realngaglobal</v>
      </c>
      <c r="F1165" s="4" t="str">
        <f t="shared" si="96"/>
        <v>N/A</v>
      </c>
      <c r="G1165" s="4" t="str">
        <f t="shared" si="95"/>
        <v>irn.mit.realngaglobal_.all.all.all.usdbbbtu.all</v>
      </c>
      <c r="H1165" s="4" t="s">
        <v>19</v>
      </c>
      <c r="I1165" s="4" t="s">
        <v>327</v>
      </c>
      <c r="J1165" s="4" t="s">
        <v>18</v>
      </c>
      <c r="K1165" s="4" t="s">
        <v>324</v>
      </c>
      <c r="L1165" s="4"/>
      <c r="M1165" s="4"/>
      <c r="N1165" s="4"/>
      <c r="O1165" s="4"/>
      <c r="P1165" s="4" t="str">
        <f t="shared" si="92"/>
        <v/>
      </c>
      <c r="Q1165" s="4"/>
      <c r="R1165" s="4"/>
      <c r="S1165" s="4"/>
      <c r="T1165" s="4"/>
      <c r="U1165" s="4" t="str">
        <f t="shared" si="93"/>
        <v/>
      </c>
      <c r="V1165" s="37"/>
    </row>
    <row r="1166" spans="4:22" x14ac:dyDescent="0.45">
      <c r="D1166" s="17" t="str">
        <f>[1]Mitigation!D16109</f>
        <v>For gasoline mark-up</v>
      </c>
      <c r="E1166" s="4" t="str">
        <f>[1]Mitigation!H16109</f>
        <v>forgasolinemarkup</v>
      </c>
      <c r="F1166" s="4" t="str">
        <f t="shared" si="96"/>
        <v>N/A</v>
      </c>
      <c r="G1166" s="4" t="str">
        <f t="shared" si="95"/>
        <v>irn.mit.forgasolinemarkup_.all.all.all.usdpl.all</v>
      </c>
      <c r="H1166" s="4" t="s">
        <v>19</v>
      </c>
      <c r="I1166" s="4" t="s">
        <v>328</v>
      </c>
      <c r="J1166" s="4" t="s">
        <v>18</v>
      </c>
      <c r="K1166" s="4" t="s">
        <v>329</v>
      </c>
      <c r="L1166" s="4"/>
      <c r="M1166" s="4"/>
      <c r="N1166" s="4"/>
      <c r="O1166" s="4"/>
      <c r="P1166" s="4" t="str">
        <f t="shared" si="92"/>
        <v/>
      </c>
      <c r="Q1166" s="4"/>
      <c r="R1166" s="4"/>
      <c r="S1166" s="4"/>
      <c r="T1166" s="4"/>
      <c r="U1166" s="4" t="str">
        <f t="shared" si="93"/>
        <v/>
      </c>
      <c r="V1166" s="37"/>
    </row>
    <row r="1167" spans="4:22" x14ac:dyDescent="0.45">
      <c r="D1167" s="17" t="str">
        <f>[1]Mitigation!D16110</f>
        <v>For diesel mark-up</v>
      </c>
      <c r="E1167" s="4" t="str">
        <f>[1]Mitigation!H16110</f>
        <v>fordieselmarkup</v>
      </c>
      <c r="F1167" s="4" t="str">
        <f t="shared" si="96"/>
        <v>N/A</v>
      </c>
      <c r="G1167" s="4" t="str">
        <f t="shared" si="95"/>
        <v>irn.mit.fordieselmarkup_.all.all.all.usdpl.all</v>
      </c>
      <c r="H1167" s="4" t="s">
        <v>19</v>
      </c>
      <c r="I1167" s="4" t="s">
        <v>330</v>
      </c>
      <c r="J1167" s="4" t="s">
        <v>18</v>
      </c>
      <c r="K1167" s="4" t="s">
        <v>329</v>
      </c>
      <c r="L1167" s="4"/>
      <c r="M1167" s="4"/>
      <c r="N1167" s="4"/>
      <c r="O1167" s="4"/>
      <c r="P1167" s="4" t="str">
        <f t="shared" si="92"/>
        <v/>
      </c>
      <c r="Q1167" s="4"/>
      <c r="R1167" s="4"/>
      <c r="S1167" s="4"/>
      <c r="T1167" s="4"/>
      <c r="U1167" s="4" t="str">
        <f t="shared" si="93"/>
        <v/>
      </c>
      <c r="V1167" s="37"/>
    </row>
    <row r="1168" spans="4:22" x14ac:dyDescent="0.45">
      <c r="D1168" s="17" t="str">
        <f>[1]Mitigation!D16112</f>
        <v>For kerosene mark-up</v>
      </c>
      <c r="E1168" s="4" t="str">
        <f>[1]Mitigation!H16112</f>
        <v>forkerosenemarkup</v>
      </c>
      <c r="F1168" s="4" t="str">
        <f t="shared" si="96"/>
        <v>N/A</v>
      </c>
      <c r="G1168" s="4" t="str">
        <f t="shared" si="95"/>
        <v>irn.mit.forkerosenemarkup_.all.all.all.usdpl.all</v>
      </c>
      <c r="H1168" s="4" t="s">
        <v>19</v>
      </c>
      <c r="I1168" s="4" t="s">
        <v>331</v>
      </c>
      <c r="J1168" s="4" t="s">
        <v>18</v>
      </c>
      <c r="K1168" s="4" t="s">
        <v>329</v>
      </c>
      <c r="L1168" s="4"/>
      <c r="M1168" s="4"/>
      <c r="N1168" s="4"/>
      <c r="O1168" s="4"/>
      <c r="P1168" s="4" t="str">
        <f t="shared" si="92"/>
        <v/>
      </c>
      <c r="Q1168" s="4"/>
      <c r="R1168" s="4"/>
      <c r="S1168" s="4"/>
      <c r="T1168" s="4"/>
      <c r="U1168" s="4" t="str">
        <f t="shared" si="93"/>
        <v/>
      </c>
      <c r="V1168" s="37"/>
    </row>
    <row r="1169" spans="4:22" x14ac:dyDescent="0.45">
      <c r="D1169" s="17" t="str">
        <f>[1]Mitigation!D16111</f>
        <v>For LPG mark-up</v>
      </c>
      <c r="E1169" s="4" t="str">
        <f>[1]Mitigation!H16111</f>
        <v>forglpgmarkup</v>
      </c>
      <c r="F1169" s="4" t="str">
        <f t="shared" si="96"/>
        <v>N/A</v>
      </c>
      <c r="G1169" s="4" t="str">
        <f t="shared" si="95"/>
        <v>irn.mit.forglpgmarkup_.all.all.all.usdpl.all</v>
      </c>
      <c r="H1169" s="4" t="s">
        <v>19</v>
      </c>
      <c r="I1169" s="4" t="s">
        <v>332</v>
      </c>
      <c r="J1169" s="4" t="s">
        <v>18</v>
      </c>
      <c r="K1169" s="4" t="s">
        <v>329</v>
      </c>
      <c r="L1169" s="4"/>
      <c r="M1169" s="4"/>
      <c r="N1169" s="4"/>
      <c r="O1169" s="4"/>
      <c r="P1169" s="4" t="str">
        <f t="shared" ref="P1169:P1232" si="97">L1169&amp;IF(N1169="",M1169,N1169)&amp;O1169</f>
        <v/>
      </c>
      <c r="Q1169" s="4"/>
      <c r="R1169" s="4"/>
      <c r="S1169" s="4"/>
      <c r="T1169" s="4"/>
      <c r="U1169" s="4" t="str">
        <f t="shared" si="93"/>
        <v/>
      </c>
      <c r="V1169" s="37"/>
    </row>
    <row r="1170" spans="4:22" x14ac:dyDescent="0.45">
      <c r="D1170" s="2"/>
      <c r="E1170" s="2"/>
      <c r="F1170" s="2"/>
      <c r="G1170" s="2" t="str">
        <f t="shared" si="95"/>
        <v/>
      </c>
      <c r="H1170" s="2" t="s">
        <v>18</v>
      </c>
      <c r="I1170" s="2"/>
      <c r="J1170" s="2" t="s">
        <v>18</v>
      </c>
      <c r="K1170" s="2"/>
      <c r="L1170" s="2"/>
      <c r="M1170" s="2"/>
      <c r="N1170" s="2"/>
      <c r="O1170" s="2"/>
      <c r="P1170" s="2" t="str">
        <f t="shared" si="97"/>
        <v/>
      </c>
      <c r="Q1170" s="2"/>
      <c r="R1170" s="2"/>
      <c r="S1170" s="2"/>
      <c r="T1170" s="2"/>
      <c r="U1170" s="2" t="str">
        <f t="shared" si="93"/>
        <v/>
      </c>
      <c r="V1170" s="2"/>
    </row>
    <row r="1171" spans="4:22" x14ac:dyDescent="0.45">
      <c r="D1171" s="17" t="s">
        <v>1345</v>
      </c>
      <c r="E1171" s="4" t="str">
        <f>[1]Mitigation!H16114</f>
        <v>irn.mit.mu1.coa.res.1</v>
      </c>
      <c r="F1171" s="4" t="str">
        <f t="shared" ref="F1171:F1214" si="98">IF(MTAct,E1171&amp;"_"&amp;MSTScenarioID,"N/A")</f>
        <v>N/A</v>
      </c>
      <c r="G1171" s="4" t="str">
        <f t="shared" si="95"/>
        <v>irn.mit.all_.all.all.all.all.all</v>
      </c>
      <c r="H1171" s="4" t="s">
        <v>19</v>
      </c>
      <c r="I1171" s="4"/>
      <c r="J1171" s="4" t="s">
        <v>18</v>
      </c>
      <c r="K1171" s="4"/>
      <c r="L1171" s="4"/>
      <c r="M1171" s="4"/>
      <c r="N1171" s="4"/>
      <c r="O1171" s="4"/>
      <c r="P1171" s="4" t="str">
        <f t="shared" si="97"/>
        <v/>
      </c>
      <c r="Q1171" s="4"/>
      <c r="R1171" s="4"/>
      <c r="S1171" s="4"/>
      <c r="T1171" s="4"/>
      <c r="U1171" s="4" t="str">
        <f t="shared" si="93"/>
        <v/>
      </c>
      <c r="V1171" s="37"/>
    </row>
    <row r="1172" spans="4:22" x14ac:dyDescent="0.45">
      <c r="D1172" s="56" t="s">
        <v>1346</v>
      </c>
      <c r="E1172" s="4" t="str">
        <f>[1]Mitigation!H16115</f>
        <v>irn.mit.mu1.coa.ind.1</v>
      </c>
      <c r="F1172" s="4" t="str">
        <f t="shared" si="98"/>
        <v>N/A</v>
      </c>
      <c r="G1172" s="4" t="str">
        <f t="shared" si="95"/>
        <v>irn.mit.all_.all.all.all.all.all</v>
      </c>
      <c r="H1172" s="4" t="s">
        <v>19</v>
      </c>
      <c r="I1172" s="4"/>
      <c r="J1172" s="4" t="s">
        <v>18</v>
      </c>
      <c r="K1172" s="4"/>
      <c r="L1172" s="4"/>
      <c r="M1172" s="4"/>
      <c r="N1172" s="4"/>
      <c r="O1172" s="4"/>
      <c r="P1172" s="4" t="str">
        <f t="shared" si="97"/>
        <v/>
      </c>
      <c r="Q1172" s="4"/>
      <c r="R1172" s="4"/>
      <c r="S1172" s="4"/>
      <c r="T1172" s="4"/>
      <c r="U1172" s="4" t="str">
        <f t="shared" si="93"/>
        <v/>
      </c>
      <c r="V1172" s="37"/>
    </row>
    <row r="1173" spans="4:22" x14ac:dyDescent="0.45">
      <c r="D1173" s="17" t="s">
        <v>1347</v>
      </c>
      <c r="E1173" s="4" t="str">
        <f>[1]Mitigation!H16116</f>
        <v>irn.mit.mu1.nga.pow.1</v>
      </c>
      <c r="F1173" s="4" t="str">
        <f t="shared" si="98"/>
        <v>N/A</v>
      </c>
      <c r="G1173" s="4" t="str">
        <f t="shared" si="95"/>
        <v>irn.mit.mu1_.all.all.all.all.1</v>
      </c>
      <c r="H1173" s="4" t="s">
        <v>19</v>
      </c>
      <c r="I1173" s="4" t="s">
        <v>333</v>
      </c>
      <c r="J1173" s="4" t="s">
        <v>18</v>
      </c>
      <c r="K1173" s="4"/>
      <c r="L1173" s="4"/>
      <c r="M1173" s="4"/>
      <c r="N1173" s="4"/>
      <c r="O1173" s="4"/>
      <c r="P1173" s="4" t="str">
        <f t="shared" si="97"/>
        <v/>
      </c>
      <c r="Q1173" s="4"/>
      <c r="R1173" s="4"/>
      <c r="S1173" s="4"/>
      <c r="T1173" s="4"/>
      <c r="U1173" s="4" t="str">
        <f t="shared" si="93"/>
        <v/>
      </c>
      <c r="V1173" s="37">
        <v>1</v>
      </c>
    </row>
    <row r="1174" spans="4:22" x14ac:dyDescent="0.45">
      <c r="D1174" s="17" t="s">
        <v>1348</v>
      </c>
      <c r="E1174" s="4" t="str">
        <f>[1]Mitigation!H16117</f>
        <v>irn.mit.mu1.nga.res.1</v>
      </c>
      <c r="F1174" s="4" t="str">
        <f t="shared" si="98"/>
        <v>N/A</v>
      </c>
      <c r="G1174" s="4" t="str">
        <f t="shared" si="95"/>
        <v>irn.mit.mu1_.all.all.all.all.1</v>
      </c>
      <c r="H1174" s="4" t="s">
        <v>19</v>
      </c>
      <c r="I1174" s="4" t="s">
        <v>333</v>
      </c>
      <c r="J1174" s="4" t="s">
        <v>18</v>
      </c>
      <c r="K1174" s="4"/>
      <c r="L1174" s="4"/>
      <c r="M1174" s="4"/>
      <c r="N1174" s="4"/>
      <c r="O1174" s="4"/>
      <c r="P1174" s="4" t="str">
        <f t="shared" si="97"/>
        <v/>
      </c>
      <c r="Q1174" s="4"/>
      <c r="R1174" s="4"/>
      <c r="S1174" s="4"/>
      <c r="T1174" s="4"/>
      <c r="U1174" s="4" t="str">
        <f t="shared" si="93"/>
        <v/>
      </c>
      <c r="V1174" s="37">
        <v>1</v>
      </c>
    </row>
    <row r="1175" spans="4:22" x14ac:dyDescent="0.45">
      <c r="D1175" s="17" t="s">
        <v>1349</v>
      </c>
      <c r="E1175" s="4" t="str">
        <f>[1]Mitigation!H16118</f>
        <v>irn.mit.mu1.nga.ind.1</v>
      </c>
      <c r="F1175" s="4" t="str">
        <f t="shared" si="98"/>
        <v>N/A</v>
      </c>
      <c r="G1175" s="4" t="str">
        <f t="shared" si="95"/>
        <v>irn.mit.mu1_.all.all.all.all.1</v>
      </c>
      <c r="H1175" s="4" t="s">
        <v>19</v>
      </c>
      <c r="I1175" s="4" t="s">
        <v>333</v>
      </c>
      <c r="J1175" s="4" t="s">
        <v>18</v>
      </c>
      <c r="K1175" s="4"/>
      <c r="L1175" s="4"/>
      <c r="M1175" s="4"/>
      <c r="N1175" s="4"/>
      <c r="O1175" s="4"/>
      <c r="P1175" s="4" t="str">
        <f t="shared" si="97"/>
        <v/>
      </c>
      <c r="Q1175" s="4"/>
      <c r="R1175" s="4"/>
      <c r="S1175" s="4"/>
      <c r="T1175" s="4"/>
      <c r="U1175" s="4" t="str">
        <f t="shared" ref="U1175:U1238" si="99">R1175&amp;T1175&amp;S1175</f>
        <v/>
      </c>
      <c r="V1175" s="37">
        <v>1</v>
      </c>
    </row>
    <row r="1176" spans="4:22" x14ac:dyDescent="0.45">
      <c r="D1176" s="17" t="s">
        <v>1350</v>
      </c>
      <c r="E1176" s="4" t="str">
        <f>[1]Mitigation!H16119</f>
        <v>irn.mit.mu1.gso.all.1</v>
      </c>
      <c r="F1176" s="4" t="str">
        <f t="shared" si="98"/>
        <v>N/A</v>
      </c>
      <c r="G1176" s="4" t="str">
        <f t="shared" si="95"/>
        <v>irn.mit.mu1_.all.all.all.all.1</v>
      </c>
      <c r="H1176" s="4" t="s">
        <v>19</v>
      </c>
      <c r="I1176" s="4" t="s">
        <v>333</v>
      </c>
      <c r="J1176" s="4" t="s">
        <v>18</v>
      </c>
      <c r="K1176" s="4"/>
      <c r="L1176" s="4"/>
      <c r="M1176" s="4"/>
      <c r="N1176" s="4"/>
      <c r="O1176" s="4"/>
      <c r="P1176" s="4" t="str">
        <f t="shared" si="97"/>
        <v/>
      </c>
      <c r="Q1176" s="4"/>
      <c r="R1176" s="4"/>
      <c r="S1176" s="4"/>
      <c r="T1176" s="4"/>
      <c r="U1176" s="4" t="str">
        <f t="shared" si="99"/>
        <v/>
      </c>
      <c r="V1176" s="37">
        <v>1</v>
      </c>
    </row>
    <row r="1177" spans="4:22" x14ac:dyDescent="0.45">
      <c r="D1177" s="17" t="s">
        <v>1351</v>
      </c>
      <c r="E1177" s="4" t="str">
        <f>[1]Mitigation!H16120</f>
        <v>irn.mit.mu1.die.all.1</v>
      </c>
      <c r="F1177" s="4" t="str">
        <f t="shared" si="98"/>
        <v>N/A</v>
      </c>
      <c r="G1177" s="4" t="str">
        <f t="shared" si="95"/>
        <v>irn.mit.mu1_.all.all.all.all.1</v>
      </c>
      <c r="H1177" s="4" t="s">
        <v>19</v>
      </c>
      <c r="I1177" s="4" t="s">
        <v>333</v>
      </c>
      <c r="J1177" s="4" t="s">
        <v>18</v>
      </c>
      <c r="K1177" s="4"/>
      <c r="L1177" s="4"/>
      <c r="M1177" s="4"/>
      <c r="N1177" s="4"/>
      <c r="O1177" s="4"/>
      <c r="P1177" s="4" t="str">
        <f t="shared" si="97"/>
        <v/>
      </c>
      <c r="Q1177" s="4"/>
      <c r="R1177" s="4"/>
      <c r="S1177" s="4"/>
      <c r="T1177" s="4"/>
      <c r="U1177" s="4" t="str">
        <f t="shared" si="99"/>
        <v/>
      </c>
      <c r="V1177" s="37">
        <v>1</v>
      </c>
    </row>
    <row r="1178" spans="4:22" x14ac:dyDescent="0.45">
      <c r="D1178" s="17" t="s">
        <v>1352</v>
      </c>
      <c r="E1178" s="4" t="str">
        <f>[1]Mitigation!H16121</f>
        <v>irn.mit.mu1.lpg.all.1</v>
      </c>
      <c r="F1178" s="4" t="str">
        <f t="shared" si="98"/>
        <v>N/A</v>
      </c>
      <c r="G1178" s="4" t="str">
        <f t="shared" si="95"/>
        <v>irn.mit.mu1_.all.all.all.all.1</v>
      </c>
      <c r="H1178" s="4" t="s">
        <v>19</v>
      </c>
      <c r="I1178" s="4" t="s">
        <v>333</v>
      </c>
      <c r="J1178" s="4" t="s">
        <v>18</v>
      </c>
      <c r="K1178" s="4"/>
      <c r="L1178" s="4"/>
      <c r="M1178" s="4"/>
      <c r="N1178" s="4"/>
      <c r="O1178" s="4"/>
      <c r="P1178" s="4" t="str">
        <f t="shared" si="97"/>
        <v/>
      </c>
      <c r="Q1178" s="4"/>
      <c r="R1178" s="4"/>
      <c r="S1178" s="4"/>
      <c r="T1178" s="4"/>
      <c r="U1178" s="4" t="str">
        <f t="shared" si="99"/>
        <v/>
      </c>
      <c r="V1178" s="37">
        <v>1</v>
      </c>
    </row>
    <row r="1179" spans="4:22" x14ac:dyDescent="0.45">
      <c r="D1179" s="17" t="s">
        <v>1353</v>
      </c>
      <c r="E1179" s="4" t="str">
        <f>[1]Mitigation!H16122</f>
        <v>irn.mit.mu1.ker.all.1</v>
      </c>
      <c r="F1179" s="4" t="str">
        <f t="shared" si="98"/>
        <v>N/A</v>
      </c>
      <c r="G1179" s="4" t="str">
        <f t="shared" si="95"/>
        <v>irn.mit.mu1_.all.all.all.all.1</v>
      </c>
      <c r="H1179" s="4" t="s">
        <v>19</v>
      </c>
      <c r="I1179" s="4" t="s">
        <v>333</v>
      </c>
      <c r="J1179" s="4" t="s">
        <v>18</v>
      </c>
      <c r="K1179" s="4"/>
      <c r="L1179" s="4"/>
      <c r="M1179" s="4"/>
      <c r="N1179" s="4"/>
      <c r="O1179" s="4"/>
      <c r="P1179" s="4" t="str">
        <f t="shared" si="97"/>
        <v/>
      </c>
      <c r="Q1179" s="4"/>
      <c r="R1179" s="4"/>
      <c r="S1179" s="4"/>
      <c r="T1179" s="4"/>
      <c r="U1179" s="4" t="str">
        <f t="shared" si="99"/>
        <v/>
      </c>
      <c r="V1179" s="37">
        <v>1</v>
      </c>
    </row>
    <row r="1180" spans="4:22" x14ac:dyDescent="0.45">
      <c r="D1180" s="17" t="s">
        <v>1354</v>
      </c>
      <c r="E1180" s="4" t="str">
        <f>[1]Mitigation!H16123</f>
        <v>irn.mit.mu1.oop.all.1</v>
      </c>
      <c r="F1180" s="4" t="str">
        <f t="shared" si="98"/>
        <v>N/A</v>
      </c>
      <c r="G1180" s="4" t="str">
        <f t="shared" si="95"/>
        <v>irn.mit.mu1_.all.all.all.all.1</v>
      </c>
      <c r="H1180" s="4" t="s">
        <v>19</v>
      </c>
      <c r="I1180" s="4" t="s">
        <v>333</v>
      </c>
      <c r="J1180" s="4" t="s">
        <v>18</v>
      </c>
      <c r="K1180" s="4"/>
      <c r="L1180" s="4"/>
      <c r="M1180" s="4"/>
      <c r="N1180" s="4"/>
      <c r="O1180" s="4"/>
      <c r="P1180" s="4" t="str">
        <f t="shared" si="97"/>
        <v/>
      </c>
      <c r="Q1180" s="4"/>
      <c r="R1180" s="4"/>
      <c r="S1180" s="4"/>
      <c r="T1180" s="4"/>
      <c r="U1180" s="4" t="str">
        <f t="shared" si="99"/>
        <v/>
      </c>
      <c r="V1180" s="37">
        <v>1</v>
      </c>
    </row>
    <row r="1181" spans="4:22" x14ac:dyDescent="0.45">
      <c r="D1181" s="17" t="s">
        <v>1355</v>
      </c>
      <c r="E1181" s="4" t="str">
        <f>[1]Mitigation!H16124</f>
        <v>irn.mit.mu1.bio.all.1</v>
      </c>
      <c r="F1181" s="4" t="str">
        <f t="shared" si="98"/>
        <v>N/A</v>
      </c>
      <c r="G1181" s="4" t="str">
        <f t="shared" si="95"/>
        <v>irn.mit.mu1_.all.all.all.all.1</v>
      </c>
      <c r="H1181" s="4" t="s">
        <v>19</v>
      </c>
      <c r="I1181" s="4" t="s">
        <v>333</v>
      </c>
      <c r="J1181" s="4" t="s">
        <v>18</v>
      </c>
      <c r="K1181" s="4"/>
      <c r="L1181" s="4"/>
      <c r="M1181" s="4"/>
      <c r="N1181" s="4"/>
      <c r="O1181" s="4"/>
      <c r="P1181" s="4" t="str">
        <f t="shared" si="97"/>
        <v/>
      </c>
      <c r="Q1181" s="4"/>
      <c r="R1181" s="4"/>
      <c r="S1181" s="4"/>
      <c r="T1181" s="4"/>
      <c r="U1181" s="4" t="str">
        <f t="shared" si="99"/>
        <v/>
      </c>
      <c r="V1181" s="37">
        <v>1</v>
      </c>
    </row>
    <row r="1182" spans="4:22" x14ac:dyDescent="0.45">
      <c r="D1182" s="17" t="s">
        <v>1356</v>
      </c>
      <c r="E1182" s="4" t="str">
        <f>[1]Mitigation!H16125</f>
        <v>irn.mit.mu2.coa.pow.1</v>
      </c>
      <c r="F1182" s="4" t="str">
        <f t="shared" si="98"/>
        <v>N/A</v>
      </c>
      <c r="G1182" s="4" t="str">
        <f t="shared" si="95"/>
        <v>irn.mit.mu2_.a.coa.a.all.1</v>
      </c>
      <c r="H1182" s="4" t="s">
        <v>19</v>
      </c>
      <c r="I1182" s="4" t="s">
        <v>334</v>
      </c>
      <c r="J1182" s="4" t="s">
        <v>18</v>
      </c>
      <c r="K1182" s="4"/>
      <c r="L1182" s="4"/>
      <c r="M1182" s="4" t="s">
        <v>26</v>
      </c>
      <c r="N1182" s="4"/>
      <c r="O1182" s="4"/>
      <c r="P1182" s="4" t="str">
        <f t="shared" si="97"/>
        <v>pow</v>
      </c>
      <c r="Q1182" s="4" t="s">
        <v>60</v>
      </c>
      <c r="R1182" s="4" t="s">
        <v>194</v>
      </c>
      <c r="S1182" s="4"/>
      <c r="T1182" s="4"/>
      <c r="U1182" s="4" t="str">
        <f t="shared" si="99"/>
        <v>a</v>
      </c>
      <c r="V1182" s="37">
        <v>1</v>
      </c>
    </row>
    <row r="1183" spans="4:22" x14ac:dyDescent="0.45">
      <c r="D1183" s="17" t="str">
        <f>[1]Mitigation!D16126</f>
        <v>Markup2 (pretax to Retail Price) coa - res</v>
      </c>
      <c r="E1183" s="4" t="str">
        <f>[1]Mitigation!H16126</f>
        <v>irn.mit.mu2.coa.res.1</v>
      </c>
      <c r="F1183" s="4" t="str">
        <f t="shared" si="98"/>
        <v>N/A</v>
      </c>
      <c r="G1183" s="4" t="str">
        <f t="shared" si="95"/>
        <v>irn.mit.mu2_.a.coa.a.all.1</v>
      </c>
      <c r="H1183" s="4" t="s">
        <v>19</v>
      </c>
      <c r="I1183" s="4" t="s">
        <v>334</v>
      </c>
      <c r="J1183" s="4" t="s">
        <v>18</v>
      </c>
      <c r="K1183" s="4"/>
      <c r="L1183" s="4"/>
      <c r="M1183" s="4" t="s">
        <v>28</v>
      </c>
      <c r="N1183" s="4"/>
      <c r="O1183" s="4"/>
      <c r="P1183" s="4" t="str">
        <f t="shared" si="97"/>
        <v>res</v>
      </c>
      <c r="Q1183" s="4" t="s">
        <v>60</v>
      </c>
      <c r="R1183" s="4" t="s">
        <v>194</v>
      </c>
      <c r="S1183" s="4"/>
      <c r="T1183" s="4"/>
      <c r="U1183" s="4" t="str">
        <f t="shared" si="99"/>
        <v>a</v>
      </c>
      <c r="V1183" s="37">
        <v>1</v>
      </c>
    </row>
    <row r="1184" spans="4:22" x14ac:dyDescent="0.45">
      <c r="D1184" s="17" t="str">
        <f>[1]Mitigation!D16127</f>
        <v>Markup2 (pretax to Retail Price) coa - ind</v>
      </c>
      <c r="E1184" s="4" t="str">
        <f>[1]Mitigation!H16127</f>
        <v>irn.mit.mu2.coa.ind.1</v>
      </c>
      <c r="F1184" s="4" t="str">
        <f t="shared" si="98"/>
        <v>N/A</v>
      </c>
      <c r="G1184" s="4" t="str">
        <f t="shared" si="95"/>
        <v>irn.mit.mu2_.a.coa.a.all.1</v>
      </c>
      <c r="H1184" s="4" t="s">
        <v>19</v>
      </c>
      <c r="I1184" s="4" t="s">
        <v>334</v>
      </c>
      <c r="J1184" s="4" t="s">
        <v>18</v>
      </c>
      <c r="K1184" s="4"/>
      <c r="L1184" s="4"/>
      <c r="M1184" s="4" t="s">
        <v>29</v>
      </c>
      <c r="N1184" s="4"/>
      <c r="O1184" s="4"/>
      <c r="P1184" s="4" t="str">
        <f t="shared" si="97"/>
        <v>ind</v>
      </c>
      <c r="Q1184" s="4" t="s">
        <v>60</v>
      </c>
      <c r="R1184" s="4" t="s">
        <v>194</v>
      </c>
      <c r="S1184" s="4"/>
      <c r="T1184" s="4"/>
      <c r="U1184" s="4" t="str">
        <f t="shared" si="99"/>
        <v>a</v>
      </c>
      <c r="V1184" s="37">
        <v>1</v>
      </c>
    </row>
    <row r="1185" spans="4:22" x14ac:dyDescent="0.45">
      <c r="D1185" s="17" t="str">
        <f>[1]Mitigation!D16128</f>
        <v>Markup2 (pretax to Retail Price) nga - pow</v>
      </c>
      <c r="E1185" s="4" t="str">
        <f>[1]Mitigation!H16128</f>
        <v>irn.mit.mu2.nga.pow.1</v>
      </c>
      <c r="F1185" s="4" t="str">
        <f t="shared" si="98"/>
        <v>N/A</v>
      </c>
      <c r="G1185" s="4" t="str">
        <f t="shared" si="95"/>
        <v>irn.mit.mu2_.a.nga.a.all.1</v>
      </c>
      <c r="H1185" s="4" t="s">
        <v>19</v>
      </c>
      <c r="I1185" s="4" t="s">
        <v>334</v>
      </c>
      <c r="J1185" s="4" t="s">
        <v>18</v>
      </c>
      <c r="K1185" s="4"/>
      <c r="L1185" s="4"/>
      <c r="M1185" s="4" t="s">
        <v>26</v>
      </c>
      <c r="N1185" s="4"/>
      <c r="O1185" s="4"/>
      <c r="P1185" s="4" t="str">
        <f t="shared" si="97"/>
        <v>pow</v>
      </c>
      <c r="Q1185" s="4" t="s">
        <v>61</v>
      </c>
      <c r="R1185" s="4" t="s">
        <v>194</v>
      </c>
      <c r="S1185" s="4"/>
      <c r="T1185" s="4"/>
      <c r="U1185" s="4" t="str">
        <f t="shared" si="99"/>
        <v>a</v>
      </c>
      <c r="V1185" s="37">
        <v>1</v>
      </c>
    </row>
    <row r="1186" spans="4:22" x14ac:dyDescent="0.45">
      <c r="D1186" s="17" t="str">
        <f>[1]Mitigation!D16129</f>
        <v>Markup2 (pretax to Retail Price) nga - res</v>
      </c>
      <c r="E1186" s="4" t="str">
        <f>[1]Mitigation!H16129</f>
        <v>irn.mit.mu2.nga.res.1</v>
      </c>
      <c r="F1186" s="4" t="str">
        <f t="shared" si="98"/>
        <v>N/A</v>
      </c>
      <c r="G1186" s="4" t="str">
        <f t="shared" si="95"/>
        <v>irn.mit.mu2_.a.nga.a.all.1</v>
      </c>
      <c r="H1186" s="4" t="s">
        <v>19</v>
      </c>
      <c r="I1186" s="4" t="s">
        <v>334</v>
      </c>
      <c r="J1186" s="4" t="s">
        <v>18</v>
      </c>
      <c r="K1186" s="4"/>
      <c r="L1186" s="4"/>
      <c r="M1186" s="4" t="s">
        <v>28</v>
      </c>
      <c r="N1186" s="4"/>
      <c r="O1186" s="4"/>
      <c r="P1186" s="4" t="str">
        <f t="shared" si="97"/>
        <v>res</v>
      </c>
      <c r="Q1186" s="4" t="s">
        <v>61</v>
      </c>
      <c r="R1186" s="4" t="s">
        <v>194</v>
      </c>
      <c r="S1186" s="4"/>
      <c r="T1186" s="4"/>
      <c r="U1186" s="4" t="str">
        <f t="shared" si="99"/>
        <v>a</v>
      </c>
      <c r="V1186" s="37">
        <v>1</v>
      </c>
    </row>
    <row r="1187" spans="4:22" x14ac:dyDescent="0.45">
      <c r="D1187" s="17" t="str">
        <f>[1]Mitigation!D16130</f>
        <v>Markup2 (pretax to Retail Price) nga - ind</v>
      </c>
      <c r="E1187" s="4" t="str">
        <f>[1]Mitigation!H16130</f>
        <v>irn.mit.mu2.nga.ind.1</v>
      </c>
      <c r="F1187" s="4" t="str">
        <f t="shared" si="98"/>
        <v>N/A</v>
      </c>
      <c r="G1187" s="4" t="str">
        <f t="shared" si="95"/>
        <v>irn.mit.mu2_.a.nga.a.all.1</v>
      </c>
      <c r="H1187" s="4" t="s">
        <v>19</v>
      </c>
      <c r="I1187" s="4" t="s">
        <v>334</v>
      </c>
      <c r="J1187" s="4" t="s">
        <v>18</v>
      </c>
      <c r="K1187" s="4"/>
      <c r="L1187" s="4"/>
      <c r="M1187" s="4" t="s">
        <v>29</v>
      </c>
      <c r="N1187" s="4"/>
      <c r="O1187" s="4"/>
      <c r="P1187" s="4" t="str">
        <f t="shared" si="97"/>
        <v>ind</v>
      </c>
      <c r="Q1187" s="4" t="s">
        <v>61</v>
      </c>
      <c r="R1187" s="4" t="s">
        <v>194</v>
      </c>
      <c r="S1187" s="4"/>
      <c r="T1187" s="4"/>
      <c r="U1187" s="4" t="str">
        <f t="shared" si="99"/>
        <v>a</v>
      </c>
      <c r="V1187" s="37">
        <v>1</v>
      </c>
    </row>
    <row r="1188" spans="4:22" x14ac:dyDescent="0.45">
      <c r="D1188" s="17" t="str">
        <f>[1]Mitigation!D16131</f>
        <v>Markup2 (pretax to Retail Price) gso - all</v>
      </c>
      <c r="E1188" s="4" t="str">
        <f>[1]Mitigation!H16131</f>
        <v>irn.mit.mu2.gso.all.1</v>
      </c>
      <c r="F1188" s="4" t="str">
        <f t="shared" si="98"/>
        <v>N/A</v>
      </c>
      <c r="G1188" s="4" t="str">
        <f t="shared" si="95"/>
        <v>irn.mit.mu2_.a.gso.a.all.1</v>
      </c>
      <c r="H1188" s="4" t="s">
        <v>19</v>
      </c>
      <c r="I1188" s="4" t="s">
        <v>334</v>
      </c>
      <c r="J1188" s="4" t="s">
        <v>18</v>
      </c>
      <c r="K1188" s="4"/>
      <c r="L1188" s="4"/>
      <c r="M1188" s="4"/>
      <c r="N1188" s="4" t="s">
        <v>46</v>
      </c>
      <c r="O1188" s="4"/>
      <c r="P1188" s="4" t="str">
        <f t="shared" si="97"/>
        <v>all</v>
      </c>
      <c r="Q1188" s="4" t="s">
        <v>63</v>
      </c>
      <c r="R1188" s="4" t="s">
        <v>194</v>
      </c>
      <c r="S1188" s="4"/>
      <c r="T1188" s="4"/>
      <c r="U1188" s="4" t="str">
        <f t="shared" si="99"/>
        <v>a</v>
      </c>
      <c r="V1188" s="37">
        <v>1</v>
      </c>
    </row>
    <row r="1189" spans="4:22" x14ac:dyDescent="0.45">
      <c r="D1189" s="17" t="str">
        <f>[1]Mitigation!D16132</f>
        <v>Markup2 (pretax to Retail Price) die - all</v>
      </c>
      <c r="E1189" s="4" t="str">
        <f>[1]Mitigation!H16132</f>
        <v>irn.mit.mu2.die.all.1</v>
      </c>
      <c r="F1189" s="4" t="str">
        <f t="shared" si="98"/>
        <v>N/A</v>
      </c>
      <c r="G1189" s="4" t="str">
        <f t="shared" si="95"/>
        <v>irn.mit.mu2_.a.die.a.all.1</v>
      </c>
      <c r="H1189" s="4" t="s">
        <v>19</v>
      </c>
      <c r="I1189" s="4" t="s">
        <v>334</v>
      </c>
      <c r="J1189" s="4" t="s">
        <v>18</v>
      </c>
      <c r="K1189" s="4"/>
      <c r="L1189" s="4"/>
      <c r="M1189" s="4"/>
      <c r="N1189" s="4" t="s">
        <v>46</v>
      </c>
      <c r="O1189" s="4"/>
      <c r="P1189" s="4" t="str">
        <f t="shared" si="97"/>
        <v>all</v>
      </c>
      <c r="Q1189" s="4" t="s">
        <v>64</v>
      </c>
      <c r="R1189" s="4" t="s">
        <v>194</v>
      </c>
      <c r="S1189" s="4"/>
      <c r="T1189" s="4"/>
      <c r="U1189" s="4" t="str">
        <f t="shared" si="99"/>
        <v>a</v>
      </c>
      <c r="V1189" s="37">
        <v>1</v>
      </c>
    </row>
    <row r="1190" spans="4:22" x14ac:dyDescent="0.45">
      <c r="D1190" s="17" t="str">
        <f>[1]Mitigation!D16133</f>
        <v>Markup2 (pretax to Retail Price) lpg - all</v>
      </c>
      <c r="E1190" s="4" t="str">
        <f>[1]Mitigation!H16133</f>
        <v>irn.mit.mu2.lpg.all.1</v>
      </c>
      <c r="F1190" s="4" t="str">
        <f t="shared" si="98"/>
        <v>N/A</v>
      </c>
      <c r="G1190" s="4" t="str">
        <f t="shared" si="95"/>
        <v>irn.mit.mu2_.a.lpg.a.all.1</v>
      </c>
      <c r="H1190" s="4" t="s">
        <v>19</v>
      </c>
      <c r="I1190" s="4" t="s">
        <v>334</v>
      </c>
      <c r="J1190" s="4" t="s">
        <v>18</v>
      </c>
      <c r="K1190" s="4"/>
      <c r="L1190" s="4"/>
      <c r="M1190" s="4"/>
      <c r="N1190" s="4" t="s">
        <v>46</v>
      </c>
      <c r="O1190" s="4"/>
      <c r="P1190" s="4" t="str">
        <f t="shared" si="97"/>
        <v>all</v>
      </c>
      <c r="Q1190" s="4" t="s">
        <v>65</v>
      </c>
      <c r="R1190" s="4" t="s">
        <v>194</v>
      </c>
      <c r="S1190" s="4"/>
      <c r="T1190" s="4"/>
      <c r="U1190" s="4" t="str">
        <f t="shared" si="99"/>
        <v>a</v>
      </c>
      <c r="V1190" s="37">
        <v>1</v>
      </c>
    </row>
    <row r="1191" spans="4:22" x14ac:dyDescent="0.45">
      <c r="D1191" s="17" t="str">
        <f>[1]Mitigation!D16134</f>
        <v>Markup2 (pretax to Retail Price) ker - all</v>
      </c>
      <c r="E1191" s="4" t="str">
        <f>[1]Mitigation!H16134</f>
        <v>irn.mit.mu2.ker.all.1</v>
      </c>
      <c r="F1191" s="4" t="str">
        <f t="shared" si="98"/>
        <v>N/A</v>
      </c>
      <c r="G1191" s="4" t="str">
        <f t="shared" si="95"/>
        <v>irn.mit.mu2_.a.ker.a.all.1</v>
      </c>
      <c r="H1191" s="4" t="s">
        <v>19</v>
      </c>
      <c r="I1191" s="4" t="s">
        <v>334</v>
      </c>
      <c r="J1191" s="4" t="s">
        <v>18</v>
      </c>
      <c r="K1191" s="4"/>
      <c r="L1191" s="4"/>
      <c r="M1191" s="4"/>
      <c r="N1191" s="4" t="s">
        <v>46</v>
      </c>
      <c r="O1191" s="4"/>
      <c r="P1191" s="4" t="str">
        <f t="shared" si="97"/>
        <v>all</v>
      </c>
      <c r="Q1191" s="4" t="s">
        <v>66</v>
      </c>
      <c r="R1191" s="4" t="s">
        <v>194</v>
      </c>
      <c r="S1191" s="4"/>
      <c r="T1191" s="4"/>
      <c r="U1191" s="4" t="str">
        <f t="shared" si="99"/>
        <v>a</v>
      </c>
      <c r="V1191" s="37">
        <v>1</v>
      </c>
    </row>
    <row r="1192" spans="4:22" x14ac:dyDescent="0.45">
      <c r="D1192" s="17" t="str">
        <f>[1]Mitigation!D16135</f>
        <v>Markup2 (pretax to Retail Price) oop - all</v>
      </c>
      <c r="E1192" s="4" t="str">
        <f>[1]Mitigation!H16135</f>
        <v>irn.mit.mu2.oop.all.1</v>
      </c>
      <c r="F1192" s="4" t="str">
        <f t="shared" si="98"/>
        <v>N/A</v>
      </c>
      <c r="G1192" s="4" t="str">
        <f t="shared" si="95"/>
        <v>irn.mit.mu2_.a.oop.a.all.1</v>
      </c>
      <c r="H1192" s="4" t="s">
        <v>19</v>
      </c>
      <c r="I1192" s="4" t="s">
        <v>334</v>
      </c>
      <c r="J1192" s="4" t="s">
        <v>18</v>
      </c>
      <c r="K1192" s="4"/>
      <c r="L1192" s="4"/>
      <c r="M1192" s="4"/>
      <c r="N1192" s="4" t="s">
        <v>46</v>
      </c>
      <c r="O1192" s="4"/>
      <c r="P1192" s="4" t="str">
        <f t="shared" si="97"/>
        <v>all</v>
      </c>
      <c r="Q1192" s="4" t="s">
        <v>113</v>
      </c>
      <c r="R1192" s="4" t="s">
        <v>194</v>
      </c>
      <c r="S1192" s="4"/>
      <c r="T1192" s="4"/>
      <c r="U1192" s="4" t="str">
        <f t="shared" si="99"/>
        <v>a</v>
      </c>
      <c r="V1192" s="37">
        <v>1</v>
      </c>
    </row>
    <row r="1193" spans="4:22" x14ac:dyDescent="0.45">
      <c r="D1193" s="17" t="str">
        <f>[1]Mitigation!D16136</f>
        <v>Markup2 (pretax to Retail Price) bio - all</v>
      </c>
      <c r="E1193" s="4" t="str">
        <f>[1]Mitigation!H16136</f>
        <v>irn.mit.mu2.bio.all.1</v>
      </c>
      <c r="F1193" s="4" t="str">
        <f t="shared" si="98"/>
        <v>N/A</v>
      </c>
      <c r="G1193" s="4" t="str">
        <f t="shared" si="95"/>
        <v>irn.mit.mu2_.a.bio.a.all.1</v>
      </c>
      <c r="H1193" s="4" t="s">
        <v>19</v>
      </c>
      <c r="I1193" s="4" t="s">
        <v>334</v>
      </c>
      <c r="J1193" s="4" t="s">
        <v>18</v>
      </c>
      <c r="K1193" s="4"/>
      <c r="L1193" s="4"/>
      <c r="M1193" s="4"/>
      <c r="N1193" s="4" t="s">
        <v>46</v>
      </c>
      <c r="O1193" s="4"/>
      <c r="P1193" s="4" t="str">
        <f t="shared" si="97"/>
        <v>all</v>
      </c>
      <c r="Q1193" s="4" t="s">
        <v>162</v>
      </c>
      <c r="R1193" s="4" t="s">
        <v>194</v>
      </c>
      <c r="S1193" s="4"/>
      <c r="T1193" s="4"/>
      <c r="U1193" s="4" t="str">
        <f t="shared" si="99"/>
        <v>a</v>
      </c>
      <c r="V1193" s="37">
        <v>1</v>
      </c>
    </row>
    <row r="1194" spans="4:22" x14ac:dyDescent="0.45">
      <c r="D1194" s="17" t="str">
        <f>[1]Mitigation!D16137</f>
        <v>Forecasted Pretax Price - coa - pow</v>
      </c>
      <c r="E1194" s="4" t="str">
        <f>[1]Mitigation!H16137</f>
        <v>irn.mit.sp.coa.pow.1</v>
      </c>
      <c r="F1194" s="4" t="str">
        <f t="shared" si="98"/>
        <v>N/A</v>
      </c>
      <c r="G1194" s="4" t="str">
        <f t="shared" si="95"/>
        <v>irn.mit.sp_.a.coa.a.all.1</v>
      </c>
      <c r="H1194" s="4" t="s">
        <v>19</v>
      </c>
      <c r="I1194" s="4" t="s">
        <v>112</v>
      </c>
      <c r="J1194" s="4" t="s">
        <v>18</v>
      </c>
      <c r="K1194" s="4"/>
      <c r="L1194" s="4"/>
      <c r="M1194" s="4" t="s">
        <v>26</v>
      </c>
      <c r="N1194" s="4"/>
      <c r="O1194" s="4"/>
      <c r="P1194" s="4" t="str">
        <f t="shared" si="97"/>
        <v>pow</v>
      </c>
      <c r="Q1194" s="4" t="s">
        <v>60</v>
      </c>
      <c r="R1194" s="4" t="s">
        <v>194</v>
      </c>
      <c r="S1194" s="4"/>
      <c r="T1194" s="4"/>
      <c r="U1194" s="4" t="str">
        <f t="shared" si="99"/>
        <v>a</v>
      </c>
      <c r="V1194" s="37">
        <v>1</v>
      </c>
    </row>
    <row r="1195" spans="4:22" x14ac:dyDescent="0.45">
      <c r="D1195" s="17" t="str">
        <f>[1]Mitigation!D16138</f>
        <v>Forecasted Pretax Price - coa - res</v>
      </c>
      <c r="E1195" s="4" t="str">
        <f>[1]Mitigation!H16138</f>
        <v>irn.mit.sp.coa.res.1</v>
      </c>
      <c r="F1195" s="4" t="str">
        <f t="shared" si="98"/>
        <v>N/A</v>
      </c>
      <c r="G1195" s="4" t="str">
        <f t="shared" si="95"/>
        <v>irn.mit.sp_.a.coa.a.all.1</v>
      </c>
      <c r="H1195" s="4" t="s">
        <v>19</v>
      </c>
      <c r="I1195" s="4" t="s">
        <v>112</v>
      </c>
      <c r="J1195" s="4" t="s">
        <v>18</v>
      </c>
      <c r="K1195" s="4"/>
      <c r="L1195" s="4"/>
      <c r="M1195" s="4" t="s">
        <v>28</v>
      </c>
      <c r="N1195" s="4"/>
      <c r="O1195" s="4"/>
      <c r="P1195" s="4" t="str">
        <f t="shared" si="97"/>
        <v>res</v>
      </c>
      <c r="Q1195" s="4" t="s">
        <v>60</v>
      </c>
      <c r="R1195" s="4" t="s">
        <v>194</v>
      </c>
      <c r="S1195" s="4"/>
      <c r="T1195" s="4"/>
      <c r="U1195" s="4" t="str">
        <f t="shared" si="99"/>
        <v>a</v>
      </c>
      <c r="V1195" s="37">
        <v>1</v>
      </c>
    </row>
    <row r="1196" spans="4:22" x14ac:dyDescent="0.45">
      <c r="D1196" s="17" t="str">
        <f>[1]Mitigation!D16139</f>
        <v>Forecasted Pretax Price - coa - ind</v>
      </c>
      <c r="E1196" s="4" t="str">
        <f>[1]Mitigation!H16139</f>
        <v>irn.mit.sp.coa.ind.1</v>
      </c>
      <c r="F1196" s="4" t="str">
        <f t="shared" si="98"/>
        <v>N/A</v>
      </c>
      <c r="G1196" s="4" t="str">
        <f t="shared" si="95"/>
        <v>irn.mit.sp_.a.coa.a.all.1</v>
      </c>
      <c r="H1196" s="4" t="s">
        <v>19</v>
      </c>
      <c r="I1196" s="4" t="s">
        <v>112</v>
      </c>
      <c r="J1196" s="4" t="s">
        <v>18</v>
      </c>
      <c r="K1196" s="4"/>
      <c r="L1196" s="4"/>
      <c r="M1196" s="4" t="s">
        <v>29</v>
      </c>
      <c r="N1196" s="4"/>
      <c r="O1196" s="4"/>
      <c r="P1196" s="4" t="str">
        <f t="shared" si="97"/>
        <v>ind</v>
      </c>
      <c r="Q1196" s="4" t="s">
        <v>60</v>
      </c>
      <c r="R1196" s="4" t="s">
        <v>194</v>
      </c>
      <c r="S1196" s="4"/>
      <c r="T1196" s="4"/>
      <c r="U1196" s="4" t="str">
        <f t="shared" si="99"/>
        <v>a</v>
      </c>
      <c r="V1196" s="37">
        <v>1</v>
      </c>
    </row>
    <row r="1197" spans="4:22" x14ac:dyDescent="0.45">
      <c r="D1197" s="17" t="str">
        <f>[1]Mitigation!D16140</f>
        <v>Forecasted Pretax Price - nga - pow</v>
      </c>
      <c r="E1197" s="4" t="str">
        <f>[1]Mitigation!H16140</f>
        <v>irn.mit.sp.nga.pow.1</v>
      </c>
      <c r="F1197" s="4" t="str">
        <f t="shared" si="98"/>
        <v>N/A</v>
      </c>
      <c r="G1197" s="4" t="str">
        <f t="shared" si="95"/>
        <v>irn.mit.sp_.a.nga.a.all.1</v>
      </c>
      <c r="H1197" s="4" t="s">
        <v>19</v>
      </c>
      <c r="I1197" s="4" t="s">
        <v>112</v>
      </c>
      <c r="J1197" s="4" t="s">
        <v>18</v>
      </c>
      <c r="K1197" s="4"/>
      <c r="L1197" s="4"/>
      <c r="M1197" s="4" t="s">
        <v>26</v>
      </c>
      <c r="N1197" s="4"/>
      <c r="O1197" s="4"/>
      <c r="P1197" s="4" t="str">
        <f t="shared" si="97"/>
        <v>pow</v>
      </c>
      <c r="Q1197" s="4" t="s">
        <v>61</v>
      </c>
      <c r="R1197" s="4" t="s">
        <v>194</v>
      </c>
      <c r="S1197" s="4"/>
      <c r="T1197" s="4"/>
      <c r="U1197" s="4" t="str">
        <f t="shared" si="99"/>
        <v>a</v>
      </c>
      <c r="V1197" s="37">
        <v>1</v>
      </c>
    </row>
    <row r="1198" spans="4:22" x14ac:dyDescent="0.45">
      <c r="D1198" s="17" t="str">
        <f>[1]Mitigation!D16141</f>
        <v>Forecasted Pretax Price - nga - res</v>
      </c>
      <c r="E1198" s="4" t="str">
        <f>[1]Mitigation!H16141</f>
        <v>irn.mit.sp.nga.res.1</v>
      </c>
      <c r="F1198" s="4" t="str">
        <f t="shared" si="98"/>
        <v>N/A</v>
      </c>
      <c r="G1198" s="4" t="str">
        <f t="shared" si="95"/>
        <v>irn.mit.sp_.a.nga.a.all.1</v>
      </c>
      <c r="H1198" s="4" t="s">
        <v>19</v>
      </c>
      <c r="I1198" s="4" t="s">
        <v>112</v>
      </c>
      <c r="J1198" s="4" t="s">
        <v>18</v>
      </c>
      <c r="K1198" s="4"/>
      <c r="L1198" s="4"/>
      <c r="M1198" s="4" t="s">
        <v>28</v>
      </c>
      <c r="N1198" s="4"/>
      <c r="O1198" s="4"/>
      <c r="P1198" s="4" t="str">
        <f t="shared" si="97"/>
        <v>res</v>
      </c>
      <c r="Q1198" s="4" t="s">
        <v>61</v>
      </c>
      <c r="R1198" s="4" t="s">
        <v>194</v>
      </c>
      <c r="S1198" s="4"/>
      <c r="T1198" s="4"/>
      <c r="U1198" s="4" t="str">
        <f t="shared" si="99"/>
        <v>a</v>
      </c>
      <c r="V1198" s="37">
        <v>1</v>
      </c>
    </row>
    <row r="1199" spans="4:22" x14ac:dyDescent="0.45">
      <c r="D1199" s="17" t="str">
        <f>[1]Mitigation!D16142</f>
        <v>Forecasted Pretax Price - nga - ind</v>
      </c>
      <c r="E1199" s="4" t="str">
        <f>[1]Mitigation!H16142</f>
        <v>irn.mit.sp.nga.ind.1</v>
      </c>
      <c r="F1199" s="4" t="str">
        <f t="shared" si="98"/>
        <v>N/A</v>
      </c>
      <c r="G1199" s="4" t="str">
        <f t="shared" si="95"/>
        <v>irn.mit.sp_.a.nga.a.all.1</v>
      </c>
      <c r="H1199" s="4" t="s">
        <v>19</v>
      </c>
      <c r="I1199" s="4" t="s">
        <v>112</v>
      </c>
      <c r="J1199" s="4" t="s">
        <v>18</v>
      </c>
      <c r="K1199" s="4"/>
      <c r="L1199" s="4"/>
      <c r="M1199" s="4" t="s">
        <v>29</v>
      </c>
      <c r="N1199" s="4"/>
      <c r="O1199" s="4"/>
      <c r="P1199" s="4" t="str">
        <f t="shared" si="97"/>
        <v>ind</v>
      </c>
      <c r="Q1199" s="4" t="s">
        <v>61</v>
      </c>
      <c r="R1199" s="4" t="s">
        <v>194</v>
      </c>
      <c r="S1199" s="4"/>
      <c r="T1199" s="4"/>
      <c r="U1199" s="4" t="str">
        <f t="shared" si="99"/>
        <v>a</v>
      </c>
      <c r="V1199" s="37">
        <v>1</v>
      </c>
    </row>
    <row r="1200" spans="4:22" x14ac:dyDescent="0.45">
      <c r="D1200" s="17" t="str">
        <f>[1]Mitigation!D16143</f>
        <v>Forecasted Pretax Price - gso - all</v>
      </c>
      <c r="E1200" s="4" t="str">
        <f>[1]Mitigation!H16143</f>
        <v>irn.mit.sp.gso.all.1</v>
      </c>
      <c r="F1200" s="4" t="str">
        <f t="shared" si="98"/>
        <v>N/A</v>
      </c>
      <c r="G1200" s="4" t="str">
        <f t="shared" si="95"/>
        <v>irn.mit.sp_.a.gso.a.all.1</v>
      </c>
      <c r="H1200" s="4" t="s">
        <v>19</v>
      </c>
      <c r="I1200" s="4" t="s">
        <v>112</v>
      </c>
      <c r="J1200" s="4" t="s">
        <v>18</v>
      </c>
      <c r="K1200" s="4"/>
      <c r="L1200" s="4"/>
      <c r="M1200" s="4"/>
      <c r="N1200" s="4" t="s">
        <v>46</v>
      </c>
      <c r="O1200" s="4"/>
      <c r="P1200" s="4" t="str">
        <f t="shared" si="97"/>
        <v>all</v>
      </c>
      <c r="Q1200" s="4" t="s">
        <v>63</v>
      </c>
      <c r="R1200" s="4" t="s">
        <v>194</v>
      </c>
      <c r="S1200" s="4"/>
      <c r="T1200" s="4"/>
      <c r="U1200" s="4" t="str">
        <f t="shared" si="99"/>
        <v>a</v>
      </c>
      <c r="V1200" s="37">
        <v>1</v>
      </c>
    </row>
    <row r="1201" spans="4:22" x14ac:dyDescent="0.45">
      <c r="D1201" s="17" t="str">
        <f>[1]Mitigation!D16144</f>
        <v>Forecasted Pretax Price - die - all</v>
      </c>
      <c r="E1201" s="4" t="str">
        <f>[1]Mitigation!H16144</f>
        <v>irn.mit.sp.die.all.1</v>
      </c>
      <c r="F1201" s="4" t="str">
        <f t="shared" si="98"/>
        <v>N/A</v>
      </c>
      <c r="G1201" s="4" t="str">
        <f t="shared" si="95"/>
        <v>irn.mit.sp_.a.die.a.all.1</v>
      </c>
      <c r="H1201" s="4" t="s">
        <v>19</v>
      </c>
      <c r="I1201" s="4" t="s">
        <v>112</v>
      </c>
      <c r="J1201" s="4" t="s">
        <v>18</v>
      </c>
      <c r="K1201" s="4"/>
      <c r="L1201" s="4"/>
      <c r="M1201" s="4"/>
      <c r="N1201" s="4" t="s">
        <v>46</v>
      </c>
      <c r="O1201" s="4"/>
      <c r="P1201" s="4" t="str">
        <f t="shared" si="97"/>
        <v>all</v>
      </c>
      <c r="Q1201" s="4" t="s">
        <v>64</v>
      </c>
      <c r="R1201" s="4" t="s">
        <v>194</v>
      </c>
      <c r="S1201" s="4"/>
      <c r="T1201" s="4"/>
      <c r="U1201" s="4" t="str">
        <f t="shared" si="99"/>
        <v>a</v>
      </c>
      <c r="V1201" s="37">
        <v>1</v>
      </c>
    </row>
    <row r="1202" spans="4:22" x14ac:dyDescent="0.45">
      <c r="D1202" s="17" t="str">
        <f>[1]Mitigation!D16145</f>
        <v>Forecasted Pretax Price - lpg - all</v>
      </c>
      <c r="E1202" s="4" t="str">
        <f>[1]Mitigation!H16145</f>
        <v>irn.mit.sp.lpg.all.1</v>
      </c>
      <c r="F1202" s="4" t="str">
        <f t="shared" si="98"/>
        <v>N/A</v>
      </c>
      <c r="G1202" s="4" t="str">
        <f t="shared" si="95"/>
        <v>irn.mit.sp_.a.lpg.a.all.1</v>
      </c>
      <c r="H1202" s="4" t="s">
        <v>19</v>
      </c>
      <c r="I1202" s="4" t="s">
        <v>112</v>
      </c>
      <c r="J1202" s="4" t="s">
        <v>18</v>
      </c>
      <c r="K1202" s="4"/>
      <c r="L1202" s="4"/>
      <c r="M1202" s="4"/>
      <c r="N1202" s="4" t="s">
        <v>46</v>
      </c>
      <c r="O1202" s="4"/>
      <c r="P1202" s="4" t="str">
        <f t="shared" si="97"/>
        <v>all</v>
      </c>
      <c r="Q1202" s="4" t="s">
        <v>65</v>
      </c>
      <c r="R1202" s="4" t="s">
        <v>194</v>
      </c>
      <c r="S1202" s="4"/>
      <c r="T1202" s="4"/>
      <c r="U1202" s="4" t="str">
        <f t="shared" si="99"/>
        <v>a</v>
      </c>
      <c r="V1202" s="37">
        <v>1</v>
      </c>
    </row>
    <row r="1203" spans="4:22" x14ac:dyDescent="0.45">
      <c r="D1203" s="17" t="str">
        <f>[1]Mitigation!D16146</f>
        <v>Forecasted Pretax Price - ker - all</v>
      </c>
      <c r="E1203" s="4" t="str">
        <f>[1]Mitigation!H16146</f>
        <v>irn.mit.sp.ker.all.1</v>
      </c>
      <c r="F1203" s="4" t="str">
        <f t="shared" si="98"/>
        <v>N/A</v>
      </c>
      <c r="G1203" s="4" t="str">
        <f t="shared" si="95"/>
        <v>irn.mit.sp_.a.ker.a.all.1</v>
      </c>
      <c r="H1203" s="4" t="s">
        <v>19</v>
      </c>
      <c r="I1203" s="4" t="s">
        <v>112</v>
      </c>
      <c r="J1203" s="4" t="s">
        <v>18</v>
      </c>
      <c r="K1203" s="4"/>
      <c r="L1203" s="4"/>
      <c r="M1203" s="4"/>
      <c r="N1203" s="4" t="s">
        <v>46</v>
      </c>
      <c r="O1203" s="4"/>
      <c r="P1203" s="4" t="str">
        <f t="shared" si="97"/>
        <v>all</v>
      </c>
      <c r="Q1203" s="4" t="s">
        <v>66</v>
      </c>
      <c r="R1203" s="4" t="s">
        <v>194</v>
      </c>
      <c r="S1203" s="4"/>
      <c r="T1203" s="4"/>
      <c r="U1203" s="4" t="str">
        <f t="shared" si="99"/>
        <v>a</v>
      </c>
      <c r="V1203" s="37">
        <v>1</v>
      </c>
    </row>
    <row r="1204" spans="4:22" x14ac:dyDescent="0.45">
      <c r="D1204" s="17" t="str">
        <f>[1]Mitigation!D16147</f>
        <v>Forecasted Pretax Price - oop - all</v>
      </c>
      <c r="E1204" s="4" t="str">
        <f>[1]Mitigation!H16147</f>
        <v>irn.mit.sp.oop.all.1</v>
      </c>
      <c r="F1204" s="4" t="str">
        <f t="shared" si="98"/>
        <v>N/A</v>
      </c>
      <c r="G1204" s="4" t="str">
        <f t="shared" si="95"/>
        <v>irn.mit.sp_.a.oop.a.all.1</v>
      </c>
      <c r="H1204" s="4" t="s">
        <v>19</v>
      </c>
      <c r="I1204" s="4" t="s">
        <v>112</v>
      </c>
      <c r="J1204" s="4" t="s">
        <v>18</v>
      </c>
      <c r="K1204" s="4"/>
      <c r="L1204" s="4"/>
      <c r="M1204" s="4"/>
      <c r="N1204" s="4" t="s">
        <v>46</v>
      </c>
      <c r="O1204" s="4"/>
      <c r="P1204" s="4" t="str">
        <f t="shared" si="97"/>
        <v>all</v>
      </c>
      <c r="Q1204" s="4" t="s">
        <v>113</v>
      </c>
      <c r="R1204" s="4" t="s">
        <v>194</v>
      </c>
      <c r="S1204" s="4"/>
      <c r="T1204" s="4"/>
      <c r="U1204" s="4" t="str">
        <f t="shared" si="99"/>
        <v>a</v>
      </c>
      <c r="V1204" s="37">
        <v>1</v>
      </c>
    </row>
    <row r="1205" spans="4:22" x14ac:dyDescent="0.45">
      <c r="D1205" s="17" t="str">
        <f>[1]Mitigation!D16148</f>
        <v>Retail Price - coa - pow</v>
      </c>
      <c r="E1205" s="4" t="str">
        <f>[1]Mitigation!H16148</f>
        <v>irn.mit.rp.pow.coa.a.1</v>
      </c>
      <c r="F1205" s="4" t="str">
        <f t="shared" si="98"/>
        <v>N/A</v>
      </c>
      <c r="G1205" s="4" t="str">
        <f t="shared" si="95"/>
        <v>irn.mit.rp_.a.coa.a.all.1</v>
      </c>
      <c r="H1205" s="4" t="s">
        <v>19</v>
      </c>
      <c r="I1205" s="4" t="s">
        <v>99</v>
      </c>
      <c r="J1205" s="4" t="s">
        <v>18</v>
      </c>
      <c r="K1205" s="4"/>
      <c r="L1205" s="4"/>
      <c r="M1205" s="4" t="s">
        <v>26</v>
      </c>
      <c r="N1205" s="4"/>
      <c r="O1205" s="4"/>
      <c r="P1205" s="4" t="str">
        <f t="shared" si="97"/>
        <v>pow</v>
      </c>
      <c r="Q1205" s="4" t="s">
        <v>60</v>
      </c>
      <c r="R1205" s="4" t="s">
        <v>194</v>
      </c>
      <c r="S1205" s="4"/>
      <c r="T1205" s="4"/>
      <c r="U1205" s="4" t="str">
        <f t="shared" si="99"/>
        <v>a</v>
      </c>
      <c r="V1205" s="37">
        <v>1</v>
      </c>
    </row>
    <row r="1206" spans="4:22" x14ac:dyDescent="0.45">
      <c r="D1206" s="17" t="str">
        <f>[1]Mitigation!D16149</f>
        <v>Retail Price - coa - res</v>
      </c>
      <c r="E1206" s="4" t="str">
        <f>[1]Mitigation!H16149</f>
        <v>irn.mit.rp.res.coa.a.1</v>
      </c>
      <c r="F1206" s="4" t="str">
        <f t="shared" si="98"/>
        <v>N/A</v>
      </c>
      <c r="G1206" s="4" t="str">
        <f t="shared" si="95"/>
        <v>irn.mit.rp_.a.coa.a.all.1</v>
      </c>
      <c r="H1206" s="4" t="s">
        <v>19</v>
      </c>
      <c r="I1206" s="4" t="s">
        <v>99</v>
      </c>
      <c r="J1206" s="4" t="s">
        <v>18</v>
      </c>
      <c r="K1206" s="4"/>
      <c r="L1206" s="4"/>
      <c r="M1206" s="4" t="s">
        <v>28</v>
      </c>
      <c r="N1206" s="4"/>
      <c r="O1206" s="4"/>
      <c r="P1206" s="4" t="str">
        <f t="shared" si="97"/>
        <v>res</v>
      </c>
      <c r="Q1206" s="4" t="s">
        <v>60</v>
      </c>
      <c r="R1206" s="4" t="s">
        <v>194</v>
      </c>
      <c r="S1206" s="4"/>
      <c r="T1206" s="4"/>
      <c r="U1206" s="4" t="str">
        <f t="shared" si="99"/>
        <v>a</v>
      </c>
      <c r="V1206" s="37">
        <v>1</v>
      </c>
    </row>
    <row r="1207" spans="4:22" x14ac:dyDescent="0.45">
      <c r="D1207" s="17" t="str">
        <f>[1]Mitigation!D16150</f>
        <v>Retail Price - coa - ind</v>
      </c>
      <c r="E1207" s="4" t="str">
        <f>[1]Mitigation!H16150</f>
        <v>irn.mit.rp.ind.coa.a.1</v>
      </c>
      <c r="F1207" s="4" t="str">
        <f t="shared" si="98"/>
        <v>N/A</v>
      </c>
      <c r="G1207" s="4" t="str">
        <f t="shared" si="95"/>
        <v>irn.mit.rp_.a.coa.a.all.1</v>
      </c>
      <c r="H1207" s="4" t="s">
        <v>19</v>
      </c>
      <c r="I1207" s="4" t="s">
        <v>99</v>
      </c>
      <c r="J1207" s="4" t="s">
        <v>18</v>
      </c>
      <c r="K1207" s="4"/>
      <c r="L1207" s="4"/>
      <c r="M1207" s="4" t="s">
        <v>29</v>
      </c>
      <c r="N1207" s="4"/>
      <c r="O1207" s="4"/>
      <c r="P1207" s="4" t="str">
        <f t="shared" si="97"/>
        <v>ind</v>
      </c>
      <c r="Q1207" s="4" t="s">
        <v>60</v>
      </c>
      <c r="R1207" s="4" t="s">
        <v>194</v>
      </c>
      <c r="S1207" s="4"/>
      <c r="T1207" s="4"/>
      <c r="U1207" s="4" t="str">
        <f t="shared" si="99"/>
        <v>a</v>
      </c>
      <c r="V1207" s="37">
        <v>1</v>
      </c>
    </row>
    <row r="1208" spans="4:22" x14ac:dyDescent="0.45">
      <c r="D1208" s="17" t="str">
        <f>[1]Mitigation!D16151</f>
        <v>Retail Price - nga - pow</v>
      </c>
      <c r="E1208" s="4" t="str">
        <f>[1]Mitigation!H16151</f>
        <v>irn.mit.rp.pow.nga.a.1</v>
      </c>
      <c r="F1208" s="4" t="str">
        <f t="shared" si="98"/>
        <v>N/A</v>
      </c>
      <c r="G1208" s="4" t="str">
        <f t="shared" si="95"/>
        <v>irn.mit.rp_.a.nga.a.all.1</v>
      </c>
      <c r="H1208" s="4" t="s">
        <v>19</v>
      </c>
      <c r="I1208" s="4" t="s">
        <v>99</v>
      </c>
      <c r="J1208" s="4" t="s">
        <v>18</v>
      </c>
      <c r="K1208" s="4"/>
      <c r="L1208" s="4"/>
      <c r="M1208" s="4" t="s">
        <v>26</v>
      </c>
      <c r="N1208" s="4"/>
      <c r="O1208" s="4"/>
      <c r="P1208" s="4" t="str">
        <f t="shared" si="97"/>
        <v>pow</v>
      </c>
      <c r="Q1208" s="4" t="s">
        <v>61</v>
      </c>
      <c r="R1208" s="4" t="s">
        <v>194</v>
      </c>
      <c r="S1208" s="4"/>
      <c r="T1208" s="4"/>
      <c r="U1208" s="4" t="str">
        <f t="shared" si="99"/>
        <v>a</v>
      </c>
      <c r="V1208" s="37">
        <v>1</v>
      </c>
    </row>
    <row r="1209" spans="4:22" x14ac:dyDescent="0.45">
      <c r="D1209" s="17" t="str">
        <f>[1]Mitigation!D16152</f>
        <v>Retail Price - nga - res</v>
      </c>
      <c r="E1209" s="4" t="str">
        <f>[1]Mitigation!H16152</f>
        <v>irn.mit.rp.res.nga.a.1</v>
      </c>
      <c r="F1209" s="4" t="str">
        <f t="shared" si="98"/>
        <v>N/A</v>
      </c>
      <c r="G1209" s="4" t="str">
        <f t="shared" si="95"/>
        <v>irn.mit.rp_.a.nga.a.all.1</v>
      </c>
      <c r="H1209" s="4" t="s">
        <v>19</v>
      </c>
      <c r="I1209" s="4" t="s">
        <v>99</v>
      </c>
      <c r="J1209" s="4" t="s">
        <v>18</v>
      </c>
      <c r="K1209" s="4"/>
      <c r="L1209" s="4"/>
      <c r="M1209" s="4" t="s">
        <v>28</v>
      </c>
      <c r="N1209" s="4"/>
      <c r="O1209" s="4"/>
      <c r="P1209" s="4" t="str">
        <f t="shared" si="97"/>
        <v>res</v>
      </c>
      <c r="Q1209" s="4" t="s">
        <v>61</v>
      </c>
      <c r="R1209" s="4" t="s">
        <v>194</v>
      </c>
      <c r="S1209" s="4"/>
      <c r="T1209" s="4"/>
      <c r="U1209" s="4" t="str">
        <f t="shared" si="99"/>
        <v>a</v>
      </c>
      <c r="V1209" s="37">
        <v>1</v>
      </c>
    </row>
    <row r="1210" spans="4:22" x14ac:dyDescent="0.45">
      <c r="D1210" s="17" t="str">
        <f>[1]Mitigation!D16153</f>
        <v>Retail Price - nga - ind</v>
      </c>
      <c r="E1210" s="4" t="str">
        <f>[1]Mitigation!H16153</f>
        <v>irn.mit.rp.ind.nga.a.1</v>
      </c>
      <c r="F1210" s="4" t="str">
        <f t="shared" si="98"/>
        <v>N/A</v>
      </c>
      <c r="G1210" s="4" t="str">
        <f t="shared" si="95"/>
        <v>irn.mit.rp_.a.nga.a.all.1</v>
      </c>
      <c r="H1210" s="4" t="s">
        <v>19</v>
      </c>
      <c r="I1210" s="4" t="s">
        <v>99</v>
      </c>
      <c r="J1210" s="4" t="s">
        <v>18</v>
      </c>
      <c r="K1210" s="4"/>
      <c r="L1210" s="4"/>
      <c r="M1210" s="4" t="s">
        <v>29</v>
      </c>
      <c r="N1210" s="4"/>
      <c r="O1210" s="4"/>
      <c r="P1210" s="4" t="str">
        <f t="shared" si="97"/>
        <v>ind</v>
      </c>
      <c r="Q1210" s="4" t="s">
        <v>61</v>
      </c>
      <c r="R1210" s="4" t="s">
        <v>194</v>
      </c>
      <c r="S1210" s="4"/>
      <c r="T1210" s="4"/>
      <c r="U1210" s="4" t="str">
        <f t="shared" si="99"/>
        <v>a</v>
      </c>
      <c r="V1210" s="37">
        <v>1</v>
      </c>
    </row>
    <row r="1211" spans="4:22" x14ac:dyDescent="0.45">
      <c r="D1211" s="17" t="str">
        <f>[1]Mitigation!D16154</f>
        <v>Retail Price - die - all</v>
      </c>
      <c r="E1211" s="4" t="str">
        <f>[1]Mitigation!H16154</f>
        <v>irn.mit.rp.all.die.a.1</v>
      </c>
      <c r="F1211" s="4" t="str">
        <f t="shared" si="98"/>
        <v>N/A</v>
      </c>
      <c r="G1211" s="4" t="str">
        <f t="shared" si="95"/>
        <v>irn.mit.rp_.a.die.a.all.1</v>
      </c>
      <c r="H1211" s="4" t="s">
        <v>19</v>
      </c>
      <c r="I1211" s="4" t="s">
        <v>99</v>
      </c>
      <c r="J1211" s="4" t="s">
        <v>18</v>
      </c>
      <c r="K1211" s="4"/>
      <c r="L1211" s="4"/>
      <c r="M1211" s="4"/>
      <c r="N1211" s="4" t="s">
        <v>46</v>
      </c>
      <c r="O1211" s="4"/>
      <c r="P1211" s="4" t="str">
        <f t="shared" si="97"/>
        <v>all</v>
      </c>
      <c r="Q1211" s="4" t="s">
        <v>64</v>
      </c>
      <c r="R1211" s="4" t="s">
        <v>194</v>
      </c>
      <c r="S1211" s="4"/>
      <c r="T1211" s="4"/>
      <c r="U1211" s="4" t="str">
        <f t="shared" si="99"/>
        <v>a</v>
      </c>
      <c r="V1211" s="37">
        <v>1</v>
      </c>
    </row>
    <row r="1212" spans="4:22" x14ac:dyDescent="0.45">
      <c r="D1212" s="17" t="str">
        <f>[1]Mitigation!D16155</f>
        <v>Retail Price - lpg - all</v>
      </c>
      <c r="E1212" s="4" t="str">
        <f>[1]Mitigation!H16155</f>
        <v>irn.mit.rp.all.lpg.a.1</v>
      </c>
      <c r="F1212" s="4" t="str">
        <f t="shared" si="98"/>
        <v>N/A</v>
      </c>
      <c r="G1212" s="4" t="str">
        <f t="shared" si="95"/>
        <v>irn.mit.rp_.a.lpg.a.all.1</v>
      </c>
      <c r="H1212" s="4" t="s">
        <v>19</v>
      </c>
      <c r="I1212" s="4" t="s">
        <v>99</v>
      </c>
      <c r="J1212" s="4" t="s">
        <v>18</v>
      </c>
      <c r="K1212" s="4"/>
      <c r="L1212" s="4"/>
      <c r="M1212" s="4"/>
      <c r="N1212" s="4" t="s">
        <v>46</v>
      </c>
      <c r="O1212" s="4"/>
      <c r="P1212" s="4" t="str">
        <f t="shared" si="97"/>
        <v>all</v>
      </c>
      <c r="Q1212" s="4" t="s">
        <v>65</v>
      </c>
      <c r="R1212" s="4" t="s">
        <v>194</v>
      </c>
      <c r="S1212" s="4"/>
      <c r="T1212" s="4"/>
      <c r="U1212" s="4" t="str">
        <f t="shared" si="99"/>
        <v>a</v>
      </c>
      <c r="V1212" s="37">
        <v>1</v>
      </c>
    </row>
    <row r="1213" spans="4:22" x14ac:dyDescent="0.45">
      <c r="D1213" s="17" t="str">
        <f>[1]Mitigation!D16156</f>
        <v>Retail Price - ker - all</v>
      </c>
      <c r="E1213" s="4" t="str">
        <f>[1]Mitigation!H16156</f>
        <v>irn.mit.rp.all.ker.a.1</v>
      </c>
      <c r="F1213" s="4" t="str">
        <f t="shared" si="98"/>
        <v>N/A</v>
      </c>
      <c r="G1213" s="4" t="str">
        <f t="shared" si="95"/>
        <v>irn.mit.rp_.a.ker.a.all.1</v>
      </c>
      <c r="H1213" s="4" t="s">
        <v>19</v>
      </c>
      <c r="I1213" s="4" t="s">
        <v>99</v>
      </c>
      <c r="J1213" s="4" t="s">
        <v>18</v>
      </c>
      <c r="K1213" s="4"/>
      <c r="L1213" s="4"/>
      <c r="M1213" s="4"/>
      <c r="N1213" s="4" t="s">
        <v>46</v>
      </c>
      <c r="O1213" s="4"/>
      <c r="P1213" s="4" t="str">
        <f t="shared" si="97"/>
        <v>all</v>
      </c>
      <c r="Q1213" s="4" t="s">
        <v>66</v>
      </c>
      <c r="R1213" s="4" t="s">
        <v>194</v>
      </c>
      <c r="S1213" s="4"/>
      <c r="T1213" s="4"/>
      <c r="U1213" s="4" t="str">
        <f t="shared" si="99"/>
        <v>a</v>
      </c>
      <c r="V1213" s="37">
        <v>1</v>
      </c>
    </row>
    <row r="1214" spans="4:22" x14ac:dyDescent="0.45">
      <c r="D1214" s="17" t="str">
        <f>[1]Mitigation!D16157</f>
        <v>Retail Price - oop - all</v>
      </c>
      <c r="E1214" s="4" t="str">
        <f>[1]Mitigation!H16157</f>
        <v>irn.mit.rp.all.oop.a.1</v>
      </c>
      <c r="F1214" s="4" t="str">
        <f t="shared" si="98"/>
        <v>N/A</v>
      </c>
      <c r="G1214" s="4" t="str">
        <f t="shared" si="95"/>
        <v>irn.mit.rp_.a.oop.a.all.1</v>
      </c>
      <c r="H1214" s="4" t="s">
        <v>19</v>
      </c>
      <c r="I1214" s="4" t="s">
        <v>99</v>
      </c>
      <c r="J1214" s="4" t="s">
        <v>18</v>
      </c>
      <c r="K1214" s="4"/>
      <c r="L1214" s="4"/>
      <c r="M1214" s="4"/>
      <c r="N1214" s="4" t="s">
        <v>46</v>
      </c>
      <c r="O1214" s="4"/>
      <c r="P1214" s="4" t="str">
        <f t="shared" si="97"/>
        <v>all</v>
      </c>
      <c r="Q1214" s="4" t="s">
        <v>113</v>
      </c>
      <c r="R1214" s="4" t="s">
        <v>194</v>
      </c>
      <c r="S1214" s="4"/>
      <c r="T1214" s="4"/>
      <c r="U1214" s="4" t="str">
        <f t="shared" si="99"/>
        <v>a</v>
      </c>
      <c r="V1214" s="37">
        <v>1</v>
      </c>
    </row>
    <row r="1215" spans="4:22" x14ac:dyDescent="0.45">
      <c r="D1215" s="2"/>
      <c r="E1215" s="2"/>
      <c r="F1215" s="2"/>
      <c r="G1215" s="2" t="str">
        <f>IF(D1215="","",LOWER(_Country_code)&amp;"."&amp;H1215&amp;"."&amp;IF(I1215="","all",I1215)&amp;"_"&amp;J1215&amp;"."&amp;IF(R1215="","all",R1215)&amp;"."&amp;IF(Q1215="","all",Q1215)&amp;"."&amp;IF(U1215="","all",U1215)&amp;"."&amp;IF(K1215="","all",K1215)&amp;"."&amp;IF(V1215="","all",V1215))</f>
        <v/>
      </c>
      <c r="H1215" s="2" t="s">
        <v>18</v>
      </c>
      <c r="I1215" s="2"/>
      <c r="J1215" s="2" t="s">
        <v>18</v>
      </c>
      <c r="K1215" s="2"/>
      <c r="L1215" s="2"/>
      <c r="M1215" s="2"/>
      <c r="N1215" s="2"/>
      <c r="O1215" s="2"/>
      <c r="P1215" s="2" t="str">
        <f t="shared" si="97"/>
        <v/>
      </c>
      <c r="Q1215" s="2"/>
      <c r="R1215" s="2"/>
      <c r="S1215" s="2"/>
      <c r="T1215" s="2"/>
      <c r="U1215" s="2" t="str">
        <f t="shared" si="99"/>
        <v/>
      </c>
      <c r="V1215" s="2"/>
    </row>
    <row r="1216" spans="4:22" x14ac:dyDescent="0.45">
      <c r="D1216" s="17" t="str">
        <f>[1]Mitigation!D16050</f>
        <v>Oil and natural gas extraction - CH4 emissions factor, after abatement - baseline</v>
      </c>
      <c r="E1216" s="17" t="str">
        <f>[1]Mitigation!H16050</f>
        <v>irn.air.ef.ext.ngaoil.ch4.1</v>
      </c>
      <c r="F1216" s="4" t="str">
        <f>IF(MTAct,E1216&amp;"_"&amp;MSTScenarioID,"N/A")</f>
        <v>N/A</v>
      </c>
      <c r="G1216" s="4" t="str">
        <f t="shared" si="95"/>
        <v>irn.mit.ef_.all.all.all.all.1</v>
      </c>
      <c r="H1216" s="17" t="s">
        <v>19</v>
      </c>
      <c r="I1216" s="4" t="s">
        <v>335</v>
      </c>
      <c r="J1216" s="4" t="s">
        <v>18</v>
      </c>
      <c r="K1216" s="4"/>
      <c r="L1216" s="4" t="s">
        <v>70</v>
      </c>
      <c r="M1216" s="4" t="s">
        <v>221</v>
      </c>
      <c r="N1216" s="4" t="s">
        <v>46</v>
      </c>
      <c r="O1216" s="4"/>
      <c r="P1216" s="4" t="str">
        <f t="shared" si="97"/>
        <v>ch4all</v>
      </c>
      <c r="Q1216" s="4"/>
      <c r="R1216" s="4"/>
      <c r="S1216" s="4"/>
      <c r="T1216" s="4"/>
      <c r="U1216" s="4" t="str">
        <f t="shared" si="99"/>
        <v/>
      </c>
      <c r="V1216" s="37">
        <v>1</v>
      </c>
    </row>
    <row r="1217" spans="4:22" x14ac:dyDescent="0.45">
      <c r="D1217" s="17" t="str">
        <f>[1]Mitigation!D16051</f>
        <v>Oil and natural gas extraction - CH4 emissions factor, after abatement - policy</v>
      </c>
      <c r="E1217" s="17" t="str">
        <f>[1]Mitigation!H16051</f>
        <v>irn.air.ef.ext.ngaoil.ch4.2</v>
      </c>
      <c r="F1217" s="4" t="str">
        <f t="shared" ref="F1217:F1233" si="100">IF(MTAct,E1217&amp;"_"&amp;MSTScenarioID,"N/A")</f>
        <v>N/A</v>
      </c>
      <c r="G1217" s="4" t="str">
        <f t="shared" ref="G1217:G1233" si="101">IF(D1217="","",LOWER(_Country_code)&amp;"."&amp;H1217&amp;"."&amp;IF(I1217="","all",I1217)&amp;"_"&amp;J1217&amp;"."&amp;IF(R1217="","all",R1217)&amp;"."&amp;IF(Q1217="","all",Q1217)&amp;"."&amp;IF(U1217="","all",U1217)&amp;"."&amp;IF(K1217="","all",K1217)&amp;"."&amp;IF(V1217="","all",V1217))</f>
        <v>irn.mit.ef_.all.all.all.all.2</v>
      </c>
      <c r="H1217" s="17" t="s">
        <v>19</v>
      </c>
      <c r="I1217" s="4" t="s">
        <v>335</v>
      </c>
      <c r="J1217" s="4" t="s">
        <v>18</v>
      </c>
      <c r="K1217" s="4"/>
      <c r="L1217" s="4" t="s">
        <v>70</v>
      </c>
      <c r="M1217" s="4" t="s">
        <v>221</v>
      </c>
      <c r="N1217" s="4" t="s">
        <v>46</v>
      </c>
      <c r="O1217" s="4"/>
      <c r="P1217" s="4" t="str">
        <f t="shared" si="97"/>
        <v>ch4all</v>
      </c>
      <c r="Q1217" s="4"/>
      <c r="R1217" s="4"/>
      <c r="S1217" s="4"/>
      <c r="T1217" s="4"/>
      <c r="U1217" s="4" t="str">
        <f t="shared" si="99"/>
        <v/>
      </c>
      <c r="V1217" s="37">
        <v>2</v>
      </c>
    </row>
    <row r="1218" spans="4:22" x14ac:dyDescent="0.45">
      <c r="D1218" s="17" t="str">
        <f>[1]Mitigation!D16052</f>
        <v>Coal extraction - CH4 emissions factor, after abatement - baseline</v>
      </c>
      <c r="E1218" s="17" t="str">
        <f>[1]Mitigation!H16052</f>
        <v>irn.air.ef.ext.coa.ch4.1</v>
      </c>
      <c r="F1218" s="4" t="str">
        <f t="shared" si="100"/>
        <v>N/A</v>
      </c>
      <c r="G1218" s="4" t="str">
        <f t="shared" si="101"/>
        <v>irn.mit.ef_.all.all.all.all.1</v>
      </c>
      <c r="H1218" s="17" t="s">
        <v>19</v>
      </c>
      <c r="I1218" s="4" t="s">
        <v>335</v>
      </c>
      <c r="J1218" s="4" t="s">
        <v>18</v>
      </c>
      <c r="K1218" s="4"/>
      <c r="L1218" s="4" t="s">
        <v>70</v>
      </c>
      <c r="M1218" s="4" t="s">
        <v>221</v>
      </c>
      <c r="N1218" s="4" t="s">
        <v>46</v>
      </c>
      <c r="O1218" s="4"/>
      <c r="P1218" s="4" t="str">
        <f t="shared" si="97"/>
        <v>ch4all</v>
      </c>
      <c r="Q1218" s="4"/>
      <c r="R1218" s="4"/>
      <c r="S1218" s="4"/>
      <c r="T1218" s="4"/>
      <c r="U1218" s="4" t="str">
        <f t="shared" si="99"/>
        <v/>
      </c>
      <c r="V1218" s="37">
        <v>1</v>
      </c>
    </row>
    <row r="1219" spans="4:22" x14ac:dyDescent="0.45">
      <c r="D1219" s="17" t="str">
        <f>[1]Mitigation!D16053</f>
        <v>Coal extraction - CH4 emissions factor, after abatement - policy</v>
      </c>
      <c r="E1219" s="17" t="str">
        <f>[1]Mitigation!H16053</f>
        <v>irn.air.ef.ext.coa.ch4.2</v>
      </c>
      <c r="F1219" s="4" t="str">
        <f t="shared" si="100"/>
        <v>N/A</v>
      </c>
      <c r="G1219" s="4" t="str">
        <f t="shared" si="101"/>
        <v>irn.mit.ef_.all.all.all.all.2</v>
      </c>
      <c r="H1219" s="17" t="s">
        <v>19</v>
      </c>
      <c r="I1219" s="4" t="s">
        <v>335</v>
      </c>
      <c r="J1219" s="4" t="s">
        <v>18</v>
      </c>
      <c r="K1219" s="4"/>
      <c r="L1219" s="4" t="s">
        <v>70</v>
      </c>
      <c r="M1219" s="4" t="s">
        <v>221</v>
      </c>
      <c r="N1219" s="4" t="s">
        <v>46</v>
      </c>
      <c r="O1219" s="4"/>
      <c r="P1219" s="4" t="str">
        <f t="shared" si="97"/>
        <v>ch4all</v>
      </c>
      <c r="Q1219" s="4"/>
      <c r="R1219" s="4"/>
      <c r="S1219" s="4"/>
      <c r="T1219" s="4"/>
      <c r="U1219" s="4" t="str">
        <f t="shared" si="99"/>
        <v/>
      </c>
      <c r="V1219" s="37">
        <v>2</v>
      </c>
    </row>
    <row r="1220" spans="4:22" x14ac:dyDescent="0.45">
      <c r="D1220" s="17" t="str">
        <f>[1]Mitigation!D16055</f>
        <v>Energy related CH4 emissions - baseline</v>
      </c>
      <c r="E1220" s="17" t="str">
        <f>[1]Mitigation!H16055</f>
        <v>irn.mit.ghg.enr.ch4.1</v>
      </c>
      <c r="F1220" s="4" t="str">
        <f t="shared" si="100"/>
        <v>N/A</v>
      </c>
      <c r="G1220" s="4" t="str">
        <f t="shared" si="101"/>
        <v>irn.mit.ef_.all.all.all.all.1</v>
      </c>
      <c r="H1220" s="17" t="s">
        <v>19</v>
      </c>
      <c r="I1220" s="4" t="s">
        <v>335</v>
      </c>
      <c r="J1220" s="4" t="s">
        <v>18</v>
      </c>
      <c r="K1220" s="4"/>
      <c r="L1220" s="4" t="s">
        <v>70</v>
      </c>
      <c r="M1220" s="4" t="s">
        <v>221</v>
      </c>
      <c r="N1220" s="4" t="s">
        <v>46</v>
      </c>
      <c r="O1220" s="4"/>
      <c r="P1220" s="4" t="str">
        <f t="shared" si="97"/>
        <v>ch4all</v>
      </c>
      <c r="Q1220" s="4"/>
      <c r="R1220" s="4"/>
      <c r="S1220" s="4"/>
      <c r="T1220" s="4"/>
      <c r="U1220" s="4" t="str">
        <f t="shared" si="99"/>
        <v/>
      </c>
      <c r="V1220" s="37">
        <v>1</v>
      </c>
    </row>
    <row r="1221" spans="4:22" x14ac:dyDescent="0.45">
      <c r="D1221" s="17" t="str">
        <f>[1]Mitigation!D16056</f>
        <v>Agriculture CH4 emissions - baseline</v>
      </c>
      <c r="E1221" s="17" t="str">
        <f>[1]Mitigation!H16056</f>
        <v>irn.mit.ghg.agr.ch4.1</v>
      </c>
      <c r="F1221" s="4" t="str">
        <f t="shared" si="100"/>
        <v>N/A</v>
      </c>
      <c r="G1221" s="4" t="str">
        <f t="shared" si="101"/>
        <v>irn.mit.ef_.all.all.all.all.1</v>
      </c>
      <c r="H1221" s="17" t="s">
        <v>19</v>
      </c>
      <c r="I1221" s="4" t="s">
        <v>335</v>
      </c>
      <c r="J1221" s="4" t="s">
        <v>18</v>
      </c>
      <c r="K1221" s="4"/>
      <c r="L1221" s="4" t="s">
        <v>70</v>
      </c>
      <c r="M1221" s="4" t="s">
        <v>221</v>
      </c>
      <c r="N1221" s="4" t="s">
        <v>46</v>
      </c>
      <c r="O1221" s="4"/>
      <c r="P1221" s="4" t="str">
        <f t="shared" si="97"/>
        <v>ch4all</v>
      </c>
      <c r="Q1221" s="4"/>
      <c r="R1221" s="4"/>
      <c r="S1221" s="4"/>
      <c r="T1221" s="4"/>
      <c r="U1221" s="4" t="str">
        <f t="shared" si="99"/>
        <v/>
      </c>
      <c r="V1221" s="37">
        <v>1</v>
      </c>
    </row>
    <row r="1222" spans="4:22" x14ac:dyDescent="0.45">
      <c r="D1222" s="17" t="str">
        <f>[1]Mitigation!D16057</f>
        <v>Waste CH4 emissions - baseline</v>
      </c>
      <c r="E1222" s="17" t="str">
        <f>[1]Mitigation!H16057</f>
        <v>irn.mit.ghg.wst.ch4.1</v>
      </c>
      <c r="F1222" s="4" t="str">
        <f t="shared" si="100"/>
        <v>N/A</v>
      </c>
      <c r="G1222" s="4" t="str">
        <f t="shared" si="101"/>
        <v>irn.mit.ef_.all.all.all.all.1</v>
      </c>
      <c r="H1222" s="17" t="s">
        <v>19</v>
      </c>
      <c r="I1222" s="4" t="s">
        <v>335</v>
      </c>
      <c r="J1222" s="4" t="s">
        <v>18</v>
      </c>
      <c r="K1222" s="4"/>
      <c r="L1222" s="4" t="s">
        <v>70</v>
      </c>
      <c r="M1222" s="4" t="s">
        <v>221</v>
      </c>
      <c r="N1222" s="4" t="s">
        <v>46</v>
      </c>
      <c r="O1222" s="4"/>
      <c r="P1222" s="4" t="str">
        <f t="shared" si="97"/>
        <v>ch4all</v>
      </c>
      <c r="Q1222" s="4"/>
      <c r="R1222" s="4"/>
      <c r="S1222" s="4"/>
      <c r="T1222" s="4"/>
      <c r="U1222" s="4" t="str">
        <f t="shared" si="99"/>
        <v/>
      </c>
      <c r="V1222" s="37">
        <v>1</v>
      </c>
    </row>
    <row r="1223" spans="4:22" x14ac:dyDescent="0.45">
      <c r="D1223" s="17" t="str">
        <f>[1]Mitigation!D16058</f>
        <v>Other CH4 emissions - baseline</v>
      </c>
      <c r="E1223" s="17" t="str">
        <f>[1]Mitigation!H16058</f>
        <v>irn.mit.ghg.oth.ch4.1</v>
      </c>
      <c r="F1223" s="4" t="str">
        <f t="shared" si="100"/>
        <v>N/A</v>
      </c>
      <c r="G1223" s="4" t="str">
        <f t="shared" si="101"/>
        <v>irn.mit.ef_.all.all.all.all.1</v>
      </c>
      <c r="H1223" s="17" t="s">
        <v>19</v>
      </c>
      <c r="I1223" s="4" t="s">
        <v>335</v>
      </c>
      <c r="J1223" s="4" t="s">
        <v>18</v>
      </c>
      <c r="K1223" s="4"/>
      <c r="L1223" s="4" t="s">
        <v>70</v>
      </c>
      <c r="M1223" s="4" t="s">
        <v>221</v>
      </c>
      <c r="N1223" s="4" t="s">
        <v>46</v>
      </c>
      <c r="O1223" s="4"/>
      <c r="P1223" s="4" t="str">
        <f t="shared" si="97"/>
        <v>ch4all</v>
      </c>
      <c r="Q1223" s="4"/>
      <c r="R1223" s="4"/>
      <c r="S1223" s="4"/>
      <c r="T1223" s="4"/>
      <c r="U1223" s="4" t="str">
        <f t="shared" si="99"/>
        <v/>
      </c>
      <c r="V1223" s="37">
        <v>1</v>
      </c>
    </row>
    <row r="1224" spans="4:22" x14ac:dyDescent="0.45">
      <c r="D1224" s="17" t="str">
        <f>[1]Mitigation!D16059</f>
        <v>Total CH4 emissions, including LULUCF - baseline</v>
      </c>
      <c r="E1224" s="17" t="str">
        <f>[1]Mitigation!H16059</f>
        <v>irn.mit.ghg.tot.inc.ch4.1</v>
      </c>
      <c r="F1224" s="4" t="str">
        <f t="shared" si="100"/>
        <v>N/A</v>
      </c>
      <c r="G1224" s="4" t="str">
        <f t="shared" si="101"/>
        <v>irn.mit.ef_.all.all.all.all.1</v>
      </c>
      <c r="H1224" s="17" t="s">
        <v>19</v>
      </c>
      <c r="I1224" s="4" t="s">
        <v>335</v>
      </c>
      <c r="J1224" s="4" t="s">
        <v>18</v>
      </c>
      <c r="K1224" s="4"/>
      <c r="L1224" s="4" t="s">
        <v>70</v>
      </c>
      <c r="M1224" s="4" t="s">
        <v>221</v>
      </c>
      <c r="N1224" s="4" t="s">
        <v>46</v>
      </c>
      <c r="O1224" s="4"/>
      <c r="P1224" s="4" t="str">
        <f t="shared" si="97"/>
        <v>ch4all</v>
      </c>
      <c r="Q1224" s="4"/>
      <c r="R1224" s="4"/>
      <c r="S1224" s="4"/>
      <c r="T1224" s="4"/>
      <c r="U1224" s="4" t="str">
        <f t="shared" si="99"/>
        <v/>
      </c>
      <c r="V1224" s="37">
        <v>1</v>
      </c>
    </row>
    <row r="1225" spans="4:22" x14ac:dyDescent="0.45">
      <c r="D1225" s="17" t="str">
        <f>[1]Mitigation!D16060</f>
        <v>Total CH4 emissions, excluding LULUCF - baseline</v>
      </c>
      <c r="E1225" s="17" t="str">
        <f>[1]Mitigation!H16060</f>
        <v>irn.mit.ghg.tot.exc.ch4.1</v>
      </c>
      <c r="F1225" s="4" t="str">
        <f t="shared" si="100"/>
        <v>N/A</v>
      </c>
      <c r="G1225" s="4" t="str">
        <f t="shared" si="101"/>
        <v>irn.mit.ef_.all.all.all.all.1</v>
      </c>
      <c r="H1225" s="17" t="s">
        <v>19</v>
      </c>
      <c r="I1225" s="4" t="s">
        <v>335</v>
      </c>
      <c r="J1225" s="4" t="s">
        <v>18</v>
      </c>
      <c r="K1225" s="4"/>
      <c r="L1225" s="4" t="s">
        <v>70</v>
      </c>
      <c r="M1225" s="4" t="s">
        <v>221</v>
      </c>
      <c r="N1225" s="4" t="s">
        <v>46</v>
      </c>
      <c r="O1225" s="4"/>
      <c r="P1225" s="4" t="str">
        <f t="shared" si="97"/>
        <v>ch4all</v>
      </c>
      <c r="Q1225" s="4"/>
      <c r="R1225" s="4"/>
      <c r="S1225" s="4"/>
      <c r="T1225" s="4"/>
      <c r="U1225" s="4" t="str">
        <f t="shared" si="99"/>
        <v/>
      </c>
      <c r="V1225" s="37">
        <v>1</v>
      </c>
    </row>
    <row r="1226" spans="4:22" x14ac:dyDescent="0.45">
      <c r="D1226" s="17" t="str">
        <f>[1]Mitigation!D16062</f>
        <v>Energy related CH4 emissions - policy</v>
      </c>
      <c r="E1226" s="17" t="str">
        <f>[1]Mitigation!H16062</f>
        <v>irn.mit.ghg.enr.ch4.2</v>
      </c>
      <c r="F1226" s="4" t="str">
        <f t="shared" si="100"/>
        <v>N/A</v>
      </c>
      <c r="G1226" s="4" t="str">
        <f t="shared" si="101"/>
        <v>irn.mit.ef_.all.all.all.all.2</v>
      </c>
      <c r="H1226" s="17" t="s">
        <v>19</v>
      </c>
      <c r="I1226" s="4" t="s">
        <v>335</v>
      </c>
      <c r="J1226" s="4" t="s">
        <v>18</v>
      </c>
      <c r="K1226" s="4"/>
      <c r="L1226" s="4" t="s">
        <v>70</v>
      </c>
      <c r="M1226" s="4" t="s">
        <v>221</v>
      </c>
      <c r="N1226" s="4" t="s">
        <v>46</v>
      </c>
      <c r="O1226" s="4"/>
      <c r="P1226" s="4" t="str">
        <f t="shared" si="97"/>
        <v>ch4all</v>
      </c>
      <c r="Q1226" s="4"/>
      <c r="R1226" s="4"/>
      <c r="S1226" s="4"/>
      <c r="T1226" s="4"/>
      <c r="U1226" s="4" t="str">
        <f t="shared" si="99"/>
        <v/>
      </c>
      <c r="V1226" s="37">
        <v>2</v>
      </c>
    </row>
    <row r="1227" spans="4:22" x14ac:dyDescent="0.45">
      <c r="D1227" s="17" t="str">
        <f>[1]Mitigation!D16063</f>
        <v>Agriculture CH4 emissions - policy</v>
      </c>
      <c r="E1227" s="17" t="str">
        <f>[1]Mitigation!H16063</f>
        <v>irn.mit.ghg.agr.ch4.2</v>
      </c>
      <c r="F1227" s="4" t="str">
        <f t="shared" si="100"/>
        <v>N/A</v>
      </c>
      <c r="G1227" s="4" t="str">
        <f t="shared" si="101"/>
        <v>irn.mit.ef_.all.all.all.all.2</v>
      </c>
      <c r="H1227" s="17" t="s">
        <v>19</v>
      </c>
      <c r="I1227" s="4" t="s">
        <v>335</v>
      </c>
      <c r="J1227" s="4" t="s">
        <v>18</v>
      </c>
      <c r="K1227" s="4"/>
      <c r="L1227" s="4" t="s">
        <v>70</v>
      </c>
      <c r="M1227" s="4" t="s">
        <v>221</v>
      </c>
      <c r="N1227" s="4" t="s">
        <v>46</v>
      </c>
      <c r="O1227" s="4"/>
      <c r="P1227" s="4" t="str">
        <f t="shared" si="97"/>
        <v>ch4all</v>
      </c>
      <c r="Q1227" s="4"/>
      <c r="R1227" s="4"/>
      <c r="S1227" s="4"/>
      <c r="T1227" s="4"/>
      <c r="U1227" s="4" t="str">
        <f t="shared" si="99"/>
        <v/>
      </c>
      <c r="V1227" s="37">
        <v>2</v>
      </c>
    </row>
    <row r="1228" spans="4:22" x14ac:dyDescent="0.45">
      <c r="D1228" s="17" t="str">
        <f>[1]Mitigation!D16064</f>
        <v>Waste CH4 emissions - policy</v>
      </c>
      <c r="E1228" s="17" t="str">
        <f>[1]Mitigation!H16064</f>
        <v>irn.mit.ghg.wst.ch4.2</v>
      </c>
      <c r="F1228" s="4" t="str">
        <f t="shared" si="100"/>
        <v>N/A</v>
      </c>
      <c r="G1228" s="4" t="str">
        <f t="shared" si="101"/>
        <v>irn.mit.ef_.all.all.all.all.2</v>
      </c>
      <c r="H1228" s="17" t="s">
        <v>19</v>
      </c>
      <c r="I1228" s="4" t="s">
        <v>335</v>
      </c>
      <c r="J1228" s="4" t="s">
        <v>18</v>
      </c>
      <c r="K1228" s="4"/>
      <c r="L1228" s="4" t="s">
        <v>70</v>
      </c>
      <c r="M1228" s="4" t="s">
        <v>221</v>
      </c>
      <c r="N1228" s="4" t="s">
        <v>46</v>
      </c>
      <c r="O1228" s="4"/>
      <c r="P1228" s="4" t="str">
        <f t="shared" si="97"/>
        <v>ch4all</v>
      </c>
      <c r="Q1228" s="4"/>
      <c r="R1228" s="4"/>
      <c r="S1228" s="4"/>
      <c r="T1228" s="4"/>
      <c r="U1228" s="4" t="str">
        <f t="shared" si="99"/>
        <v/>
      </c>
      <c r="V1228" s="37">
        <v>2</v>
      </c>
    </row>
    <row r="1229" spans="4:22" x14ac:dyDescent="0.45">
      <c r="D1229" s="17" t="str">
        <f>[1]Mitigation!D16065</f>
        <v>Other CH4 emissions - policy</v>
      </c>
      <c r="E1229" s="17" t="str">
        <f>[1]Mitigation!H16065</f>
        <v>irn.mit.ghg.oth.ch4.2</v>
      </c>
      <c r="F1229" s="4" t="str">
        <f t="shared" si="100"/>
        <v>N/A</v>
      </c>
      <c r="G1229" s="4" t="str">
        <f t="shared" si="101"/>
        <v>irn.mit.ef_.all.all.all.all.2</v>
      </c>
      <c r="H1229" s="17" t="s">
        <v>19</v>
      </c>
      <c r="I1229" s="4" t="s">
        <v>335</v>
      </c>
      <c r="J1229" s="4" t="s">
        <v>18</v>
      </c>
      <c r="K1229" s="4"/>
      <c r="L1229" s="4" t="s">
        <v>70</v>
      </c>
      <c r="M1229" s="4" t="s">
        <v>221</v>
      </c>
      <c r="N1229" s="4" t="s">
        <v>46</v>
      </c>
      <c r="O1229" s="4"/>
      <c r="P1229" s="4" t="str">
        <f t="shared" si="97"/>
        <v>ch4all</v>
      </c>
      <c r="Q1229" s="4"/>
      <c r="R1229" s="4"/>
      <c r="S1229" s="4"/>
      <c r="T1229" s="4"/>
      <c r="U1229" s="4" t="str">
        <f t="shared" si="99"/>
        <v/>
      </c>
      <c r="V1229" s="37">
        <v>2</v>
      </c>
    </row>
    <row r="1230" spans="4:22" x14ac:dyDescent="0.45">
      <c r="D1230" s="17" t="str">
        <f>[1]Mitigation!D16066</f>
        <v>Total CH4 emissions, including LULUCF - policy</v>
      </c>
      <c r="E1230" s="17" t="str">
        <f>[1]Mitigation!H16066</f>
        <v>irn.mit.ghg.tot.inc.ch4.2</v>
      </c>
      <c r="F1230" s="4" t="str">
        <f t="shared" si="100"/>
        <v>N/A</v>
      </c>
      <c r="G1230" s="4" t="str">
        <f t="shared" si="101"/>
        <v>irn.mit.ef_.all.all.all.all.2</v>
      </c>
      <c r="H1230" s="17" t="s">
        <v>19</v>
      </c>
      <c r="I1230" s="4" t="s">
        <v>335</v>
      </c>
      <c r="J1230" s="4" t="s">
        <v>18</v>
      </c>
      <c r="K1230" s="4"/>
      <c r="L1230" s="4" t="s">
        <v>70</v>
      </c>
      <c r="M1230" s="4" t="s">
        <v>221</v>
      </c>
      <c r="N1230" s="4" t="s">
        <v>46</v>
      </c>
      <c r="O1230" s="4"/>
      <c r="P1230" s="4" t="str">
        <f t="shared" si="97"/>
        <v>ch4all</v>
      </c>
      <c r="Q1230" s="4"/>
      <c r="R1230" s="4"/>
      <c r="S1230" s="4"/>
      <c r="T1230" s="4"/>
      <c r="U1230" s="4" t="str">
        <f t="shared" si="99"/>
        <v/>
      </c>
      <c r="V1230" s="37">
        <v>2</v>
      </c>
    </row>
    <row r="1231" spans="4:22" x14ac:dyDescent="0.45">
      <c r="D1231" s="17" t="str">
        <f>[1]Mitigation!D16067</f>
        <v>Total CH4 emissions, excluding LULUCF - policy</v>
      </c>
      <c r="E1231" s="17" t="str">
        <f>[1]Mitigation!H16067</f>
        <v>irn.mit.ghg.tot.exc.ch4.2</v>
      </c>
      <c r="F1231" s="4" t="str">
        <f t="shared" si="100"/>
        <v>N/A</v>
      </c>
      <c r="G1231" s="4" t="str">
        <f t="shared" si="101"/>
        <v>irn.mit.ef_.all.all.all.all.2</v>
      </c>
      <c r="H1231" s="17" t="s">
        <v>19</v>
      </c>
      <c r="I1231" s="4" t="s">
        <v>335</v>
      </c>
      <c r="J1231" s="4" t="s">
        <v>18</v>
      </c>
      <c r="K1231" s="4"/>
      <c r="L1231" s="4" t="s">
        <v>70</v>
      </c>
      <c r="M1231" s="4" t="s">
        <v>221</v>
      </c>
      <c r="N1231" s="4" t="s">
        <v>46</v>
      </c>
      <c r="O1231" s="4"/>
      <c r="P1231" s="4" t="str">
        <f t="shared" si="97"/>
        <v>ch4all</v>
      </c>
      <c r="Q1231" s="4"/>
      <c r="R1231" s="4"/>
      <c r="S1231" s="4"/>
      <c r="T1231" s="4"/>
      <c r="U1231" s="4" t="str">
        <f t="shared" si="99"/>
        <v/>
      </c>
      <c r="V1231" s="37">
        <v>2</v>
      </c>
    </row>
    <row r="1232" spans="4:22" x14ac:dyDescent="0.45">
      <c r="D1232" s="17" t="str">
        <f>[1]Mitigation!D16069</f>
        <v>Methane fee - fossil, baseline</v>
      </c>
      <c r="E1232" s="17" t="str">
        <f>[1]Mitigation!H16069</f>
        <v>irn.mit.mftrajfossil.1</v>
      </c>
      <c r="F1232" s="4" t="str">
        <f t="shared" si="100"/>
        <v>N/A</v>
      </c>
      <c r="G1232" s="4" t="str">
        <f t="shared" si="101"/>
        <v>irn.mit.ef_.all.all.all.all.1</v>
      </c>
      <c r="H1232" s="17" t="s">
        <v>19</v>
      </c>
      <c r="I1232" s="4" t="s">
        <v>335</v>
      </c>
      <c r="J1232" s="4" t="s">
        <v>18</v>
      </c>
      <c r="K1232" s="4"/>
      <c r="L1232" s="4" t="s">
        <v>70</v>
      </c>
      <c r="M1232" s="4" t="s">
        <v>221</v>
      </c>
      <c r="N1232" s="4" t="s">
        <v>46</v>
      </c>
      <c r="O1232" s="4"/>
      <c r="P1232" s="4" t="str">
        <f t="shared" si="97"/>
        <v>ch4all</v>
      </c>
      <c r="Q1232" s="4"/>
      <c r="R1232" s="4"/>
      <c r="S1232" s="4"/>
      <c r="T1232" s="4"/>
      <c r="U1232" s="4" t="str">
        <f t="shared" si="99"/>
        <v/>
      </c>
      <c r="V1232" s="37">
        <v>1</v>
      </c>
    </row>
    <row r="1233" spans="4:22" x14ac:dyDescent="0.45">
      <c r="D1233" s="17" t="str">
        <f>[1]Mitigation!D16070</f>
        <v>Methane fee - non-fossil, baseline</v>
      </c>
      <c r="E1233" s="17" t="str">
        <f>[1]Mitigation!H16070</f>
        <v>irn.mit.mftrajnonfossil.1</v>
      </c>
      <c r="F1233" s="4" t="str">
        <f t="shared" si="100"/>
        <v>N/A</v>
      </c>
      <c r="G1233" s="4" t="str">
        <f t="shared" si="101"/>
        <v>irn.mit.ef_.all.all.all.all.1</v>
      </c>
      <c r="H1233" s="17" t="s">
        <v>19</v>
      </c>
      <c r="I1233" s="4" t="s">
        <v>335</v>
      </c>
      <c r="J1233" s="4" t="s">
        <v>18</v>
      </c>
      <c r="K1233" s="4"/>
      <c r="L1233" s="4" t="s">
        <v>70</v>
      </c>
      <c r="M1233" s="4" t="s">
        <v>221</v>
      </c>
      <c r="N1233" s="4" t="s">
        <v>46</v>
      </c>
      <c r="O1233" s="4"/>
      <c r="P1233" s="4" t="str">
        <f t="shared" ref="P1233:P1249" si="102">L1233&amp;IF(N1233="",M1233,N1233)&amp;O1233</f>
        <v>ch4all</v>
      </c>
      <c r="Q1233" s="4"/>
      <c r="R1233" s="4"/>
      <c r="S1233" s="4"/>
      <c r="T1233" s="4"/>
      <c r="U1233" s="4" t="str">
        <f t="shared" si="99"/>
        <v/>
      </c>
      <c r="V1233" s="37">
        <v>1</v>
      </c>
    </row>
    <row r="1234" spans="4:22" x14ac:dyDescent="0.45">
      <c r="D1234" s="17" t="str">
        <f>[1]Mitigation!D16071</f>
        <v>Methane fee - fossil, policy</v>
      </c>
      <c r="E1234" s="17" t="str">
        <f>[1]Mitigation!H16071</f>
        <v>irn.mit.mftrajfossil.2</v>
      </c>
      <c r="F1234" s="4" t="str">
        <f t="shared" ref="F1234:F1242" si="103">IF(MTAct,E1234&amp;"_"&amp;MSTScenarioID,"N/A")</f>
        <v>N/A</v>
      </c>
      <c r="G1234" s="4" t="str">
        <f t="shared" ref="G1234:G1242" si="104">IF(D1234="","",LOWER(_Country_code)&amp;"."&amp;H1234&amp;"."&amp;IF(I1234="","all",I1234)&amp;"_"&amp;J1234&amp;"."&amp;IF(R1234="","all",R1234)&amp;"."&amp;IF(Q1234="","all",Q1234)&amp;"."&amp;IF(U1234="","all",U1234)&amp;"."&amp;IF(K1234="","all",K1234)&amp;"."&amp;IF(V1234="","all",V1234))</f>
        <v>irn.mit.ef_.all.all.all.all.1</v>
      </c>
      <c r="H1234" s="17" t="s">
        <v>19</v>
      </c>
      <c r="I1234" s="4" t="s">
        <v>335</v>
      </c>
      <c r="J1234" s="4" t="s">
        <v>18</v>
      </c>
      <c r="K1234" s="4"/>
      <c r="L1234" s="4" t="s">
        <v>70</v>
      </c>
      <c r="M1234" s="4" t="s">
        <v>221</v>
      </c>
      <c r="N1234" s="4" t="s">
        <v>46</v>
      </c>
      <c r="O1234" s="4"/>
      <c r="P1234" s="4" t="str">
        <f t="shared" si="102"/>
        <v>ch4all</v>
      </c>
      <c r="Q1234" s="4"/>
      <c r="R1234" s="4"/>
      <c r="S1234" s="4"/>
      <c r="T1234" s="4"/>
      <c r="U1234" s="4" t="str">
        <f t="shared" si="99"/>
        <v/>
      </c>
      <c r="V1234" s="37">
        <v>1</v>
      </c>
    </row>
    <row r="1235" spans="4:22" x14ac:dyDescent="0.45">
      <c r="D1235" s="17" t="str">
        <f>[1]Mitigation!D16072</f>
        <v>Methane fee - non-fossil, policy</v>
      </c>
      <c r="E1235" s="17" t="str">
        <f>[1]Mitigation!H16072</f>
        <v>irn.mit.mftrajnonfossil.2</v>
      </c>
      <c r="F1235" s="4" t="str">
        <f t="shared" si="103"/>
        <v>N/A</v>
      </c>
      <c r="G1235" s="4" t="str">
        <f t="shared" si="104"/>
        <v>irn.mit.ef_.all.all.all.all.1</v>
      </c>
      <c r="H1235" s="17" t="s">
        <v>19</v>
      </c>
      <c r="I1235" s="4" t="s">
        <v>335</v>
      </c>
      <c r="J1235" s="4" t="s">
        <v>18</v>
      </c>
      <c r="K1235" s="4"/>
      <c r="L1235" s="4" t="s">
        <v>70</v>
      </c>
      <c r="M1235" s="4" t="s">
        <v>221</v>
      </c>
      <c r="N1235" s="4" t="s">
        <v>46</v>
      </c>
      <c r="O1235" s="4"/>
      <c r="P1235" s="4" t="str">
        <f t="shared" si="102"/>
        <v>ch4all</v>
      </c>
      <c r="Q1235" s="4"/>
      <c r="R1235" s="4"/>
      <c r="S1235" s="4"/>
      <c r="T1235" s="4"/>
      <c r="U1235" s="4" t="str">
        <f t="shared" si="99"/>
        <v/>
      </c>
      <c r="V1235" s="37">
        <v>1</v>
      </c>
    </row>
    <row r="1236" spans="4:22" x14ac:dyDescent="0.45">
      <c r="D1236" s="17" t="str">
        <f>[1]Mitigation!D16074</f>
        <v>Efficiency cost - extractives</v>
      </c>
      <c r="E1236" s="17" t="str">
        <f>[1]Mitigation!H16074</f>
        <v>irn.mit.wel.eco.ext.dwl.pct</v>
      </c>
      <c r="F1236" s="4" t="str">
        <f t="shared" si="103"/>
        <v>N/A</v>
      </c>
      <c r="G1236" s="4" t="str">
        <f t="shared" si="104"/>
        <v>irn.mit.ef_.all.all.all.all.1</v>
      </c>
      <c r="H1236" s="17" t="s">
        <v>19</v>
      </c>
      <c r="I1236" s="4" t="s">
        <v>335</v>
      </c>
      <c r="J1236" s="4" t="s">
        <v>18</v>
      </c>
      <c r="K1236" s="4"/>
      <c r="L1236" s="4" t="s">
        <v>70</v>
      </c>
      <c r="M1236" s="4" t="s">
        <v>221</v>
      </c>
      <c r="N1236" s="4" t="s">
        <v>46</v>
      </c>
      <c r="O1236" s="4"/>
      <c r="P1236" s="4" t="str">
        <f t="shared" si="102"/>
        <v>ch4all</v>
      </c>
      <c r="Q1236" s="4"/>
      <c r="R1236" s="4"/>
      <c r="S1236" s="4"/>
      <c r="T1236" s="4"/>
      <c r="U1236" s="4" t="str">
        <f t="shared" si="99"/>
        <v/>
      </c>
      <c r="V1236" s="37">
        <v>1</v>
      </c>
    </row>
    <row r="1237" spans="4:22" x14ac:dyDescent="0.45">
      <c r="D1237" s="17" t="str">
        <f>[1]Mitigation!D16075</f>
        <v>Efficiency cost - agriculture</v>
      </c>
      <c r="E1237" s="17" t="str">
        <f>[1]Mitigation!H16075</f>
        <v>irn.mit.wel.eco.agc.dwl.pct</v>
      </c>
      <c r="F1237" s="4" t="str">
        <f t="shared" si="103"/>
        <v>N/A</v>
      </c>
      <c r="G1237" s="4" t="str">
        <f t="shared" si="104"/>
        <v>irn.mit.ef_.all.all.all.all.1</v>
      </c>
      <c r="H1237" s="17" t="s">
        <v>19</v>
      </c>
      <c r="I1237" s="4" t="s">
        <v>335</v>
      </c>
      <c r="J1237" s="4" t="s">
        <v>18</v>
      </c>
      <c r="K1237" s="4"/>
      <c r="L1237" s="4" t="s">
        <v>70</v>
      </c>
      <c r="M1237" s="4" t="s">
        <v>221</v>
      </c>
      <c r="N1237" s="4" t="s">
        <v>46</v>
      </c>
      <c r="O1237" s="4"/>
      <c r="P1237" s="4" t="str">
        <f t="shared" si="102"/>
        <v>ch4all</v>
      </c>
      <c r="Q1237" s="4"/>
      <c r="R1237" s="4"/>
      <c r="S1237" s="4"/>
      <c r="T1237" s="4"/>
      <c r="U1237" s="4" t="str">
        <f t="shared" si="99"/>
        <v/>
      </c>
      <c r="V1237" s="37">
        <v>1</v>
      </c>
    </row>
    <row r="1238" spans="4:22" x14ac:dyDescent="0.45">
      <c r="D1238" s="17" t="str">
        <f>[1]Mitigation!D16076</f>
        <v>Efficiency cost - waste</v>
      </c>
      <c r="E1238" s="17" t="str">
        <f>[1]Mitigation!H16076</f>
        <v>irn.mit.wel.eco.was.dwl.pct</v>
      </c>
      <c r="F1238" s="4" t="str">
        <f t="shared" si="103"/>
        <v>N/A</v>
      </c>
      <c r="G1238" s="4" t="str">
        <f t="shared" si="104"/>
        <v>irn.mit.ef_.all.all.all.all.1</v>
      </c>
      <c r="H1238" s="17" t="s">
        <v>19</v>
      </c>
      <c r="I1238" s="4" t="s">
        <v>335</v>
      </c>
      <c r="J1238" s="4" t="s">
        <v>18</v>
      </c>
      <c r="K1238" s="4"/>
      <c r="L1238" s="4" t="s">
        <v>70</v>
      </c>
      <c r="M1238" s="4" t="s">
        <v>221</v>
      </c>
      <c r="N1238" s="4" t="s">
        <v>46</v>
      </c>
      <c r="O1238" s="4"/>
      <c r="P1238" s="4" t="str">
        <f t="shared" si="102"/>
        <v>ch4all</v>
      </c>
      <c r="Q1238" s="4"/>
      <c r="R1238" s="4"/>
      <c r="S1238" s="4"/>
      <c r="T1238" s="4"/>
      <c r="U1238" s="4" t="str">
        <f t="shared" si="99"/>
        <v/>
      </c>
      <c r="V1238" s="37">
        <v>1</v>
      </c>
    </row>
    <row r="1239" spans="4:22" x14ac:dyDescent="0.45">
      <c r="D1239" s="17" t="str">
        <f>[1]Mitigation!D16090</f>
        <v>Crude oil - producer price increase, percent</v>
      </c>
      <c r="E1239" s="17" t="str">
        <f>[1]Mitigation!H16090</f>
        <v>irn.mit.ener.mfpct.oil.e.2</v>
      </c>
      <c r="F1239" s="4" t="str">
        <f t="shared" si="103"/>
        <v>N/A</v>
      </c>
      <c r="G1239" s="4" t="str">
        <f t="shared" si="104"/>
        <v>irn.mit.ef_.all.all.all.all.1</v>
      </c>
      <c r="H1239" s="17" t="s">
        <v>19</v>
      </c>
      <c r="I1239" s="4" t="s">
        <v>335</v>
      </c>
      <c r="J1239" s="4" t="s">
        <v>18</v>
      </c>
      <c r="K1239" s="4"/>
      <c r="L1239" s="4" t="s">
        <v>70</v>
      </c>
      <c r="M1239" s="4" t="s">
        <v>221</v>
      </c>
      <c r="N1239" s="4" t="s">
        <v>46</v>
      </c>
      <c r="O1239" s="4"/>
      <c r="P1239" s="4" t="str">
        <f t="shared" si="102"/>
        <v>ch4all</v>
      </c>
      <c r="Q1239" s="4"/>
      <c r="R1239" s="4"/>
      <c r="S1239" s="4"/>
      <c r="T1239" s="4"/>
      <c r="U1239" s="4" t="str">
        <f t="shared" ref="U1239:U1247" si="105">R1239&amp;T1239&amp;S1239</f>
        <v/>
      </c>
      <c r="V1239" s="37">
        <v>1</v>
      </c>
    </row>
    <row r="1240" spans="4:22" x14ac:dyDescent="0.45">
      <c r="D1240" s="17" t="str">
        <f>[1]Mitigation!D16091</f>
        <v>Natural gas - producer price increase, percent</v>
      </c>
      <c r="E1240" s="17" t="str">
        <f>[1]Mitigation!H16091</f>
        <v>irn.mit.ener.mfpct.coa.e.2</v>
      </c>
      <c r="F1240" s="4" t="str">
        <f t="shared" si="103"/>
        <v>N/A</v>
      </c>
      <c r="G1240" s="4" t="str">
        <f t="shared" si="104"/>
        <v>irn.mit.ef_.all.all.all.all.1</v>
      </c>
      <c r="H1240" s="17" t="s">
        <v>19</v>
      </c>
      <c r="I1240" s="4" t="s">
        <v>335</v>
      </c>
      <c r="J1240" s="4" t="s">
        <v>18</v>
      </c>
      <c r="K1240" s="4"/>
      <c r="L1240" s="4" t="s">
        <v>70</v>
      </c>
      <c r="M1240" s="4" t="s">
        <v>221</v>
      </c>
      <c r="N1240" s="4" t="s">
        <v>46</v>
      </c>
      <c r="O1240" s="4"/>
      <c r="P1240" s="4" t="str">
        <f t="shared" si="102"/>
        <v>ch4all</v>
      </c>
      <c r="Q1240" s="4"/>
      <c r="R1240" s="4"/>
      <c r="S1240" s="4"/>
      <c r="T1240" s="4"/>
      <c r="U1240" s="4" t="str">
        <f t="shared" si="105"/>
        <v/>
      </c>
      <c r="V1240" s="37">
        <v>1</v>
      </c>
    </row>
    <row r="1241" spans="4:22" x14ac:dyDescent="0.45">
      <c r="D1241" s="17" t="str">
        <f>[1]Mitigation!D16092</f>
        <v>Coal - producer price increase, percent</v>
      </c>
      <c r="E1241" s="17" t="str">
        <f>[1]Mitigation!H16092</f>
        <v>irn.mit.ener.mfpct.nga.e.2</v>
      </c>
      <c r="F1241" s="4" t="str">
        <f t="shared" si="103"/>
        <v>N/A</v>
      </c>
      <c r="G1241" s="4" t="str">
        <f t="shared" si="104"/>
        <v>irn.mit.ef_.all.all.all.all.1</v>
      </c>
      <c r="H1241" s="17" t="s">
        <v>19</v>
      </c>
      <c r="I1241" s="4" t="s">
        <v>335</v>
      </c>
      <c r="J1241" s="4" t="s">
        <v>18</v>
      </c>
      <c r="K1241" s="4"/>
      <c r="L1241" s="4" t="s">
        <v>70</v>
      </c>
      <c r="M1241" s="4" t="s">
        <v>221</v>
      </c>
      <c r="N1241" s="4" t="s">
        <v>46</v>
      </c>
      <c r="O1241" s="4"/>
      <c r="P1241" s="4" t="str">
        <f t="shared" si="102"/>
        <v>ch4all</v>
      </c>
      <c r="Q1241" s="4"/>
      <c r="R1241" s="4"/>
      <c r="S1241" s="4"/>
      <c r="T1241" s="4"/>
      <c r="U1241" s="4" t="str">
        <f t="shared" si="105"/>
        <v/>
      </c>
      <c r="V1241" s="37">
        <v>1</v>
      </c>
    </row>
    <row r="1242" spans="4:22" x14ac:dyDescent="0.45">
      <c r="D1242" s="17" t="str">
        <f>[1]Mitigation!D16093</f>
        <v>Livestock - producer price increase, percent</v>
      </c>
      <c r="E1242" s="17" t="str">
        <f>[1]Mitigation!H16093</f>
        <v>irn.mit.ener.mfpct.liv.e.2</v>
      </c>
      <c r="F1242" s="4" t="str">
        <f t="shared" si="103"/>
        <v>N/A</v>
      </c>
      <c r="G1242" s="4" t="str">
        <f t="shared" si="104"/>
        <v>irn.mit.ef_.all.all.all.all.1</v>
      </c>
      <c r="H1242" s="17" t="s">
        <v>19</v>
      </c>
      <c r="I1242" s="4" t="s">
        <v>335</v>
      </c>
      <c r="J1242" s="4" t="s">
        <v>18</v>
      </c>
      <c r="K1242" s="4"/>
      <c r="L1242" s="4" t="s">
        <v>70</v>
      </c>
      <c r="M1242" s="4" t="s">
        <v>221</v>
      </c>
      <c r="N1242" s="4" t="s">
        <v>46</v>
      </c>
      <c r="O1242" s="4"/>
      <c r="P1242" s="4" t="str">
        <f t="shared" si="102"/>
        <v>ch4all</v>
      </c>
      <c r="Q1242" s="4"/>
      <c r="R1242" s="4"/>
      <c r="S1242" s="4"/>
      <c r="T1242" s="4"/>
      <c r="U1242" s="4" t="str">
        <f t="shared" si="105"/>
        <v/>
      </c>
      <c r="V1242" s="37">
        <v>1</v>
      </c>
    </row>
    <row r="1243" spans="4:22" x14ac:dyDescent="0.45">
      <c r="D1243" s="2"/>
      <c r="E1243" s="2"/>
      <c r="F1243" s="2"/>
      <c r="G1243" s="2" t="str">
        <f>IF(D1243="","",LOWER(_Country_code)&amp;"."&amp;H1243&amp;"."&amp;IF(I1243="","all",I1243)&amp;"_"&amp;J1243&amp;"."&amp;IF(R1243="","all",R1243)&amp;"."&amp;IF(Q1243="","all",Q1243)&amp;"."&amp;IF(U1243="","all",U1243)&amp;"."&amp;IF(K1243="","all",K1243)&amp;"."&amp;IF(V1243="","all",V1243))</f>
        <v/>
      </c>
      <c r="H1243" s="2" t="s">
        <v>18</v>
      </c>
      <c r="I1243" s="2"/>
      <c r="J1243" s="2" t="s">
        <v>18</v>
      </c>
      <c r="K1243" s="2"/>
      <c r="L1243" s="2"/>
      <c r="M1243" s="2"/>
      <c r="N1243" s="2"/>
      <c r="O1243" s="2"/>
      <c r="P1243" s="2" t="str">
        <f>L1243&amp;IF(N1243="",M1243,N1243)&amp;O1243</f>
        <v/>
      </c>
      <c r="Q1243" s="2"/>
      <c r="R1243" s="2"/>
      <c r="S1243" s="2"/>
      <c r="T1243" s="2"/>
      <c r="U1243" s="2" t="str">
        <f>R1243&amp;T1243&amp;S1243</f>
        <v/>
      </c>
      <c r="V1243" s="2"/>
    </row>
    <row r="1244" spans="4:22" x14ac:dyDescent="0.45">
      <c r="D1244" s="17" t="str">
        <f>[1]Mitigation!D14923</f>
        <v>Gasoline - portion used for transportation</v>
      </c>
      <c r="E1244" s="17" t="str">
        <f>[1]Mitigation!H14923</f>
        <v>irn.mit.trs.gso.all.a.1</v>
      </c>
      <c r="F1244" s="4" t="str">
        <f t="shared" ref="F1244:F1307" si="106">IF(MTAct,E1244&amp;"_"&amp;MSTScenarioID,"N/A")</f>
        <v>N/A</v>
      </c>
      <c r="G1244" s="4" t="str">
        <f t="shared" ref="G1244:G1307" si="107">IF(D1244="","",LOWER(_Country_code)&amp;"."&amp;H1244&amp;"."&amp;IF(I1244="","all",I1244)&amp;"_"&amp;J1244&amp;"."&amp;IF(R1244="","all",R1244)&amp;"."&amp;IF(Q1244="","all",Q1244)&amp;"."&amp;IF(U1244="","all",U1244)&amp;"."&amp;IF(K1244="","all",K1244)&amp;"."&amp;IF(V1244="","all",V1244))</f>
        <v>irn.mit.trs_.all.all.all.all.1</v>
      </c>
      <c r="H1244" s="38" t="s">
        <v>19</v>
      </c>
      <c r="I1244" s="4" t="str">
        <f>MID(E1244, 9, 3)</f>
        <v>trs</v>
      </c>
      <c r="J1244" s="38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37">
        <v>1</v>
      </c>
    </row>
    <row r="1245" spans="4:22" x14ac:dyDescent="0.45">
      <c r="D1245" s="17" t="str">
        <f>[1]Mitigation!D14924</f>
        <v>Gasoline - VAT rate</v>
      </c>
      <c r="E1245" s="17" t="str">
        <f>[1]Mitigation!H14924</f>
        <v>irn.mit.vatrate.all.gso.a.1</v>
      </c>
      <c r="F1245" s="4" t="str">
        <f t="shared" si="106"/>
        <v>N/A</v>
      </c>
      <c r="G1245" s="4" t="str">
        <f t="shared" si="107"/>
        <v>irn.mit.vat_.all.all.all.all.1</v>
      </c>
      <c r="H1245" s="38" t="s">
        <v>19</v>
      </c>
      <c r="I1245" s="4" t="str">
        <f t="shared" ref="I1245:I1308" si="108">MID(E1245, 9, 3)</f>
        <v>vat</v>
      </c>
      <c r="J1245" s="38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37">
        <v>1</v>
      </c>
    </row>
    <row r="1246" spans="4:22" x14ac:dyDescent="0.45">
      <c r="D1246" s="17" t="str">
        <f>[1]Mitigation!D14925</f>
        <v>Gasoline - portion used for residential consumption</v>
      </c>
      <c r="E1246" s="17" t="str">
        <f>[1]Mitigation!H14925</f>
        <v>irn.mit.rescon.gso.all.1</v>
      </c>
      <c r="F1246" s="4" t="str">
        <f t="shared" si="106"/>
        <v>N/A</v>
      </c>
      <c r="G1246" s="4" t="str">
        <f t="shared" si="107"/>
        <v>irn.mit.res_.all.all.all.all.1</v>
      </c>
      <c r="H1246" s="38" t="s">
        <v>19</v>
      </c>
      <c r="I1246" s="4" t="str">
        <f t="shared" si="108"/>
        <v>res</v>
      </c>
      <c r="J1246" s="38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37">
        <v>1</v>
      </c>
    </row>
    <row r="1247" spans="4:22" x14ac:dyDescent="0.45">
      <c r="D1247" s="17" t="str">
        <f>[1]Mitigation!D14929</f>
        <v>Gasoline - efficient price</v>
      </c>
      <c r="E1247" s="17" t="str">
        <f>[1]Mitigation!H14929</f>
        <v>irn.mit.effprice.gso.all.1</v>
      </c>
      <c r="F1247" s="4" t="str">
        <f t="shared" si="106"/>
        <v>N/A</v>
      </c>
      <c r="G1247" s="4" t="str">
        <f t="shared" si="107"/>
        <v>irn.mit.eff_.all.all.all.all.1</v>
      </c>
      <c r="H1247" s="38" t="s">
        <v>19</v>
      </c>
      <c r="I1247" s="4" t="str">
        <f t="shared" si="108"/>
        <v>eff</v>
      </c>
      <c r="J1247" s="38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37">
        <v>1</v>
      </c>
    </row>
    <row r="1248" spans="4:22" x14ac:dyDescent="0.45">
      <c r="D1248" s="17" t="str">
        <f>[1]Mitigation!D14931</f>
        <v>Gasoline - consumption</v>
      </c>
      <c r="E1248" s="17" t="str">
        <f>[1]Mitigation!H14931</f>
        <v>irn.mit.con.gso.all.1</v>
      </c>
      <c r="F1248" s="4" t="str">
        <f t="shared" si="106"/>
        <v>N/A</v>
      </c>
      <c r="G1248" s="4" t="str">
        <f t="shared" si="107"/>
        <v>irn.mit.con_.all.all.all.all.1</v>
      </c>
      <c r="H1248" s="38" t="s">
        <v>19</v>
      </c>
      <c r="I1248" s="4" t="str">
        <f t="shared" si="108"/>
        <v>con</v>
      </c>
      <c r="J1248" s="38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37">
        <v>1</v>
      </c>
    </row>
    <row r="1249" spans="4:22" x14ac:dyDescent="0.45">
      <c r="D1249" s="17" t="str">
        <f>[1]Mitigation!D14932</f>
        <v>Gasoline - explicit subsidy</v>
      </c>
      <c r="E1249" s="17" t="str">
        <f>[1]Mitigation!H14932</f>
        <v>irn.mit.expsub.con.gso.all.1</v>
      </c>
      <c r="F1249" s="4" t="str">
        <f t="shared" si="106"/>
        <v>N/A</v>
      </c>
      <c r="G1249" s="4" t="str">
        <f t="shared" si="107"/>
        <v>irn.mit.exp_.all.all.all.all.1</v>
      </c>
      <c r="H1249" s="38" t="s">
        <v>19</v>
      </c>
      <c r="I1249" s="4" t="str">
        <f t="shared" si="108"/>
        <v>exp</v>
      </c>
      <c r="J1249" s="38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37">
        <v>1</v>
      </c>
    </row>
    <row r="1250" spans="4:22" x14ac:dyDescent="0.45">
      <c r="D1250" s="17" t="str">
        <f>[1]Mitigation!D14933</f>
        <v>Gasoline - implicit subsidy</v>
      </c>
      <c r="E1250" s="17" t="str">
        <f>[1]Mitigation!H14933</f>
        <v>irn.mit.impsub.con.gso.all.1</v>
      </c>
      <c r="F1250" s="4" t="str">
        <f t="shared" si="106"/>
        <v>N/A</v>
      </c>
      <c r="G1250" s="4" t="str">
        <f t="shared" si="107"/>
        <v>irn.mit.imp_.all.all.all.all.1</v>
      </c>
      <c r="H1250" s="38" t="s">
        <v>19</v>
      </c>
      <c r="I1250" s="4" t="str">
        <f t="shared" si="108"/>
        <v>imp</v>
      </c>
      <c r="J1250" s="38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37">
        <v>1</v>
      </c>
    </row>
    <row r="1251" spans="4:22" x14ac:dyDescent="0.45">
      <c r="D1251" s="17" t="str">
        <f>[1]Mitigation!D14935</f>
        <v>Diesel - portion used for transportation</v>
      </c>
      <c r="E1251" s="17" t="str">
        <f>[1]Mitigation!H14935</f>
        <v>irn.mit.trs.die.all.a.1</v>
      </c>
      <c r="F1251" s="4" t="str">
        <f t="shared" si="106"/>
        <v>N/A</v>
      </c>
      <c r="G1251" s="4" t="str">
        <f t="shared" si="107"/>
        <v>irn.mit.trs_.all.all.all.all.1</v>
      </c>
      <c r="H1251" s="38" t="s">
        <v>19</v>
      </c>
      <c r="I1251" s="4" t="str">
        <f t="shared" si="108"/>
        <v>trs</v>
      </c>
      <c r="J1251" s="38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37">
        <v>1</v>
      </c>
    </row>
    <row r="1252" spans="4:22" x14ac:dyDescent="0.45">
      <c r="D1252" s="17" t="str">
        <f>[1]Mitigation!D14936</f>
        <v>Diesel - VAT rate</v>
      </c>
      <c r="E1252" s="17" t="str">
        <f>[1]Mitigation!H14936</f>
        <v>irn.mit.vatrate.all.die.a.1</v>
      </c>
      <c r="F1252" s="4" t="str">
        <f t="shared" si="106"/>
        <v>N/A</v>
      </c>
      <c r="G1252" s="4" t="str">
        <f t="shared" si="107"/>
        <v>irn.mit.vat_.all.all.all.all.1</v>
      </c>
      <c r="H1252" s="38" t="s">
        <v>19</v>
      </c>
      <c r="I1252" s="4" t="str">
        <f t="shared" si="108"/>
        <v>vat</v>
      </c>
      <c r="J1252" s="38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37">
        <v>1</v>
      </c>
    </row>
    <row r="1253" spans="4:22" x14ac:dyDescent="0.45">
      <c r="D1253" s="17" t="str">
        <f>[1]Mitigation!D14937</f>
        <v>Diesel - portion used for residential consumption</v>
      </c>
      <c r="E1253" s="17" t="str">
        <f>[1]Mitigation!H14937</f>
        <v>irn.mit.rescon.die.all.1</v>
      </c>
      <c r="F1253" s="4" t="str">
        <f t="shared" si="106"/>
        <v>N/A</v>
      </c>
      <c r="G1253" s="4" t="str">
        <f t="shared" si="107"/>
        <v>irn.mit.res_.all.all.all.all.1</v>
      </c>
      <c r="H1253" s="38" t="s">
        <v>19</v>
      </c>
      <c r="I1253" s="4" t="str">
        <f t="shared" si="108"/>
        <v>res</v>
      </c>
      <c r="J1253" s="38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37">
        <v>1</v>
      </c>
    </row>
    <row r="1254" spans="4:22" x14ac:dyDescent="0.45">
      <c r="D1254" s="17" t="str">
        <f>[1]Mitigation!D14941</f>
        <v>Diesel - efficient price</v>
      </c>
      <c r="E1254" s="17" t="str">
        <f>[1]Mitigation!H14941</f>
        <v>irn.mit.effprice.die.all.1</v>
      </c>
      <c r="F1254" s="4" t="str">
        <f t="shared" si="106"/>
        <v>N/A</v>
      </c>
      <c r="G1254" s="4" t="str">
        <f t="shared" si="107"/>
        <v>irn.mit.eff_.all.all.all.all.1</v>
      </c>
      <c r="H1254" s="38" t="s">
        <v>19</v>
      </c>
      <c r="I1254" s="4" t="str">
        <f t="shared" si="108"/>
        <v>eff</v>
      </c>
      <c r="J1254" s="38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37">
        <v>1</v>
      </c>
    </row>
    <row r="1255" spans="4:22" x14ac:dyDescent="0.45">
      <c r="D1255" s="17" t="str">
        <f>[1]Mitigation!D14943</f>
        <v>Diesel - consumption</v>
      </c>
      <c r="E1255" s="17" t="str">
        <f>[1]Mitigation!H14943</f>
        <v>irn.mit.con.die.all.1</v>
      </c>
      <c r="F1255" s="4" t="str">
        <f t="shared" si="106"/>
        <v>N/A</v>
      </c>
      <c r="G1255" s="4" t="str">
        <f t="shared" si="107"/>
        <v>irn.mit.con_.all.all.all.all.1</v>
      </c>
      <c r="H1255" s="38" t="s">
        <v>19</v>
      </c>
      <c r="I1255" s="4" t="str">
        <f t="shared" si="108"/>
        <v>con</v>
      </c>
      <c r="J1255" s="38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37">
        <v>1</v>
      </c>
    </row>
    <row r="1256" spans="4:22" x14ac:dyDescent="0.45">
      <c r="D1256" s="17" t="str">
        <f>[1]Mitigation!D14944</f>
        <v>Diesel - explicit subsidy</v>
      </c>
      <c r="E1256" s="17" t="str">
        <f>[1]Mitigation!H14944</f>
        <v>irn.mit.expsub.con.die.all.1</v>
      </c>
      <c r="F1256" s="4" t="str">
        <f t="shared" si="106"/>
        <v>N/A</v>
      </c>
      <c r="G1256" s="4" t="str">
        <f t="shared" si="107"/>
        <v>irn.mit.exp_.all.all.all.all.1</v>
      </c>
      <c r="H1256" s="38" t="s">
        <v>19</v>
      </c>
      <c r="I1256" s="4" t="str">
        <f t="shared" si="108"/>
        <v>exp</v>
      </c>
      <c r="J1256" s="38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37">
        <v>1</v>
      </c>
    </row>
    <row r="1257" spans="4:22" x14ac:dyDescent="0.45">
      <c r="D1257" s="17" t="str">
        <f>[1]Mitigation!D14945</f>
        <v>Diesel - implicit subsidy</v>
      </c>
      <c r="E1257" s="17" t="str">
        <f>[1]Mitigation!H14945</f>
        <v>irn.mit.impsub.con.die.all.1</v>
      </c>
      <c r="F1257" s="4" t="str">
        <f t="shared" si="106"/>
        <v>N/A</v>
      </c>
      <c r="G1257" s="4" t="str">
        <f t="shared" si="107"/>
        <v>irn.mit.imp_.all.all.all.all.1</v>
      </c>
      <c r="H1257" s="38" t="s">
        <v>19</v>
      </c>
      <c r="I1257" s="4" t="str">
        <f t="shared" si="108"/>
        <v>imp</v>
      </c>
      <c r="J1257" s="38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37">
        <v>1</v>
      </c>
    </row>
    <row r="1258" spans="4:22" x14ac:dyDescent="0.45">
      <c r="D1258" s="17" t="str">
        <f>[1]Mitigation!D14947</f>
        <v>LPG - VAT rate</v>
      </c>
      <c r="E1258" s="17" t="str">
        <f>[1]Mitigation!H14947</f>
        <v>irn.mit.vatrate.all.lpg.a.1</v>
      </c>
      <c r="F1258" s="4" t="str">
        <f t="shared" si="106"/>
        <v>N/A</v>
      </c>
      <c r="G1258" s="4" t="str">
        <f t="shared" si="107"/>
        <v>irn.mit.vat_.all.all.all.all.1</v>
      </c>
      <c r="H1258" s="38" t="s">
        <v>19</v>
      </c>
      <c r="I1258" s="4" t="str">
        <f t="shared" si="108"/>
        <v>vat</v>
      </c>
      <c r="J1258" s="38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37">
        <v>1</v>
      </c>
    </row>
    <row r="1259" spans="4:22" x14ac:dyDescent="0.45">
      <c r="D1259" s="17" t="str">
        <f>[1]Mitigation!D14948</f>
        <v>LPG - portion used for residential consumption</v>
      </c>
      <c r="E1259" s="17" t="str">
        <f>[1]Mitigation!H14948</f>
        <v>irn.mit.rescon.lpg.all.1</v>
      </c>
      <c r="F1259" s="4" t="str">
        <f t="shared" si="106"/>
        <v>N/A</v>
      </c>
      <c r="G1259" s="4" t="str">
        <f t="shared" si="107"/>
        <v>irn.mit.res_.all.all.all.all.1</v>
      </c>
      <c r="H1259" s="38" t="s">
        <v>19</v>
      </c>
      <c r="I1259" s="4" t="str">
        <f t="shared" si="108"/>
        <v>res</v>
      </c>
      <c r="J1259" s="38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37">
        <v>1</v>
      </c>
    </row>
    <row r="1260" spans="4:22" x14ac:dyDescent="0.45">
      <c r="D1260" s="17" t="str">
        <f>[1]Mitigation!D14952</f>
        <v>LPG - efficient price</v>
      </c>
      <c r="E1260" s="17" t="str">
        <f>[1]Mitigation!H14952</f>
        <v>irn.mit.effprice.lpg.all.1</v>
      </c>
      <c r="F1260" s="4" t="str">
        <f t="shared" si="106"/>
        <v>N/A</v>
      </c>
      <c r="G1260" s="4" t="str">
        <f t="shared" si="107"/>
        <v>irn.mit.eff_.all.all.all.all.1</v>
      </c>
      <c r="H1260" s="38" t="s">
        <v>19</v>
      </c>
      <c r="I1260" s="4" t="str">
        <f t="shared" si="108"/>
        <v>eff</v>
      </c>
      <c r="J1260" s="38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37">
        <v>1</v>
      </c>
    </row>
    <row r="1261" spans="4:22" x14ac:dyDescent="0.45">
      <c r="D1261" s="17" t="str">
        <f>[1]Mitigation!D14954</f>
        <v>LPG - consumption</v>
      </c>
      <c r="E1261" s="17" t="str">
        <f>[1]Mitigation!H14954</f>
        <v>irn.mit.con.lpg.all.1</v>
      </c>
      <c r="F1261" s="4" t="str">
        <f t="shared" si="106"/>
        <v>N/A</v>
      </c>
      <c r="G1261" s="4" t="str">
        <f t="shared" si="107"/>
        <v>irn.mit.con_.all.all.all.all.1</v>
      </c>
      <c r="H1261" s="38" t="s">
        <v>19</v>
      </c>
      <c r="I1261" s="4" t="str">
        <f t="shared" si="108"/>
        <v>con</v>
      </c>
      <c r="J1261" s="38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37">
        <v>1</v>
      </c>
    </row>
    <row r="1262" spans="4:22" x14ac:dyDescent="0.45">
      <c r="D1262" s="17" t="str">
        <f>[1]Mitigation!D14955</f>
        <v>LPG - explicit subsidy</v>
      </c>
      <c r="E1262" s="17" t="str">
        <f>[1]Mitigation!H14955</f>
        <v>irn.mit.expsub.con.lpg.all.1</v>
      </c>
      <c r="F1262" s="4" t="str">
        <f t="shared" si="106"/>
        <v>N/A</v>
      </c>
      <c r="G1262" s="4" t="str">
        <f t="shared" si="107"/>
        <v>irn.mit.exp_.all.all.all.all.1</v>
      </c>
      <c r="H1262" s="38" t="s">
        <v>19</v>
      </c>
      <c r="I1262" s="4" t="str">
        <f t="shared" si="108"/>
        <v>exp</v>
      </c>
      <c r="J1262" s="38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37">
        <v>1</v>
      </c>
    </row>
    <row r="1263" spans="4:22" x14ac:dyDescent="0.45">
      <c r="D1263" s="17" t="str">
        <f>[1]Mitigation!D14956</f>
        <v>LPG - implicit subsidy</v>
      </c>
      <c r="E1263" s="17" t="str">
        <f>[1]Mitigation!H14956</f>
        <v>irn.mit.impsub.con.lpg.all.1</v>
      </c>
      <c r="F1263" s="4" t="str">
        <f t="shared" si="106"/>
        <v>N/A</v>
      </c>
      <c r="G1263" s="4" t="str">
        <f t="shared" si="107"/>
        <v>irn.mit.imp_.all.all.all.all.1</v>
      </c>
      <c r="H1263" s="38" t="s">
        <v>19</v>
      </c>
      <c r="I1263" s="4" t="str">
        <f t="shared" si="108"/>
        <v>imp</v>
      </c>
      <c r="J1263" s="38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37">
        <v>1</v>
      </c>
    </row>
    <row r="1264" spans="4:22" x14ac:dyDescent="0.45">
      <c r="D1264" s="17" t="str">
        <f>[1]Mitigation!D14958</f>
        <v>Kerosene - VAT rate</v>
      </c>
      <c r="E1264" s="17" t="str">
        <f>[1]Mitigation!H14958</f>
        <v>irn.mit.vatrate.all.ker.a.1</v>
      </c>
      <c r="F1264" s="4" t="str">
        <f t="shared" si="106"/>
        <v>N/A</v>
      </c>
      <c r="G1264" s="4" t="str">
        <f t="shared" si="107"/>
        <v>irn.mit.vat_.all.all.all.all.1</v>
      </c>
      <c r="H1264" s="38" t="s">
        <v>19</v>
      </c>
      <c r="I1264" s="4" t="str">
        <f t="shared" si="108"/>
        <v>vat</v>
      </c>
      <c r="J1264" s="38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37">
        <v>1</v>
      </c>
    </row>
    <row r="1265" spans="4:22" x14ac:dyDescent="0.45">
      <c r="D1265" s="17" t="str">
        <f>[1]Mitigation!D14959</f>
        <v>Kerosene - portion used for residential consumption</v>
      </c>
      <c r="E1265" s="17" t="str">
        <f>[1]Mitigation!H14959</f>
        <v>irn.mit.rescon.ker.all.1</v>
      </c>
      <c r="F1265" s="4" t="str">
        <f t="shared" si="106"/>
        <v>N/A</v>
      </c>
      <c r="G1265" s="4" t="str">
        <f t="shared" si="107"/>
        <v>irn.mit.res_.all.all.all.all.1</v>
      </c>
      <c r="H1265" s="38" t="s">
        <v>19</v>
      </c>
      <c r="I1265" s="4" t="str">
        <f t="shared" si="108"/>
        <v>res</v>
      </c>
      <c r="J1265" s="38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37">
        <v>1</v>
      </c>
    </row>
    <row r="1266" spans="4:22" x14ac:dyDescent="0.45">
      <c r="D1266" s="17" t="str">
        <f>[1]Mitigation!D14963</f>
        <v>Kerosene - efficient price</v>
      </c>
      <c r="E1266" s="17" t="str">
        <f>[1]Mitigation!H14963</f>
        <v>irn.mit.effprice.ker.all.1</v>
      </c>
      <c r="F1266" s="4" t="str">
        <f t="shared" si="106"/>
        <v>N/A</v>
      </c>
      <c r="G1266" s="4" t="str">
        <f t="shared" si="107"/>
        <v>irn.mit.eff_.all.all.all.all.1</v>
      </c>
      <c r="H1266" s="38" t="s">
        <v>19</v>
      </c>
      <c r="I1266" s="4" t="str">
        <f t="shared" si="108"/>
        <v>eff</v>
      </c>
      <c r="J1266" s="38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37">
        <v>1</v>
      </c>
    </row>
    <row r="1267" spans="4:22" x14ac:dyDescent="0.45">
      <c r="D1267" s="17" t="str">
        <f>[1]Mitigation!D14965</f>
        <v>Kerosene - consumption</v>
      </c>
      <c r="E1267" s="17" t="str">
        <f>[1]Mitigation!H14965</f>
        <v>irn.mit.con.ker.all.1</v>
      </c>
      <c r="F1267" s="4" t="str">
        <f t="shared" si="106"/>
        <v>N/A</v>
      </c>
      <c r="G1267" s="4" t="str">
        <f t="shared" si="107"/>
        <v>irn.mit.con_.all.all.all.all.1</v>
      </c>
      <c r="H1267" s="38" t="s">
        <v>19</v>
      </c>
      <c r="I1267" s="4" t="str">
        <f t="shared" si="108"/>
        <v>con</v>
      </c>
      <c r="J1267" s="38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37">
        <v>1</v>
      </c>
    </row>
    <row r="1268" spans="4:22" x14ac:dyDescent="0.45">
      <c r="D1268" s="17" t="str">
        <f>[1]Mitigation!D14966</f>
        <v>Kerosene - explicit subsidy</v>
      </c>
      <c r="E1268" s="17" t="str">
        <f>[1]Mitigation!H14966</f>
        <v>irn.mit.expsub.con.ker.all.1</v>
      </c>
      <c r="F1268" s="4" t="str">
        <f t="shared" si="106"/>
        <v>N/A</v>
      </c>
      <c r="G1268" s="4" t="str">
        <f t="shared" si="107"/>
        <v>irn.mit.exp_.all.all.all.all.1</v>
      </c>
      <c r="H1268" s="38" t="s">
        <v>19</v>
      </c>
      <c r="I1268" s="4" t="str">
        <f t="shared" si="108"/>
        <v>exp</v>
      </c>
      <c r="J1268" s="38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37">
        <v>1</v>
      </c>
    </row>
    <row r="1269" spans="4:22" x14ac:dyDescent="0.45">
      <c r="D1269" s="17" t="str">
        <f>[1]Mitigation!D14967</f>
        <v>Kerosene - implicit subsidy</v>
      </c>
      <c r="E1269" s="17" t="str">
        <f>[1]Mitigation!H14967</f>
        <v>irn.mit.impsub.con.ker.all.1</v>
      </c>
      <c r="F1269" s="4" t="str">
        <f t="shared" si="106"/>
        <v>N/A</v>
      </c>
      <c r="G1269" s="4" t="str">
        <f t="shared" si="107"/>
        <v>irn.mit.imp_.all.all.all.all.1</v>
      </c>
      <c r="H1269" s="38" t="s">
        <v>19</v>
      </c>
      <c r="I1269" s="4" t="str">
        <f t="shared" si="108"/>
        <v>imp</v>
      </c>
      <c r="J1269" s="38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37">
        <v>1</v>
      </c>
    </row>
    <row r="1270" spans="4:22" x14ac:dyDescent="0.45">
      <c r="D1270" s="17" t="str">
        <f>[1]Mitigation!D14969</f>
        <v>Other oil products - VAT rate</v>
      </c>
      <c r="E1270" s="17" t="str">
        <f>[1]Mitigation!H14969</f>
        <v>irn.mit.vatrate.all.oop.a.1</v>
      </c>
      <c r="F1270" s="4" t="str">
        <f t="shared" si="106"/>
        <v>N/A</v>
      </c>
      <c r="G1270" s="4" t="str">
        <f t="shared" si="107"/>
        <v>irn.mit.vat_.all.all.all.all.1</v>
      </c>
      <c r="H1270" s="38" t="s">
        <v>19</v>
      </c>
      <c r="I1270" s="4" t="str">
        <f t="shared" si="108"/>
        <v>vat</v>
      </c>
      <c r="J1270" s="38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37">
        <v>1</v>
      </c>
    </row>
    <row r="1271" spans="4:22" x14ac:dyDescent="0.45">
      <c r="D1271" s="17" t="str">
        <f>[1]Mitigation!D14970</f>
        <v>Other oil products - portion used for residential consumption</v>
      </c>
      <c r="E1271" s="17" t="str">
        <f>[1]Mitigation!H14970</f>
        <v>irn.mit.rescon.oop.all.1</v>
      </c>
      <c r="F1271" s="4" t="str">
        <f t="shared" si="106"/>
        <v>N/A</v>
      </c>
      <c r="G1271" s="4" t="str">
        <f t="shared" si="107"/>
        <v>irn.mit.res_.all.all.all.all.1</v>
      </c>
      <c r="H1271" s="38" t="s">
        <v>19</v>
      </c>
      <c r="I1271" s="4" t="str">
        <f t="shared" si="108"/>
        <v>res</v>
      </c>
      <c r="J1271" s="38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37">
        <v>1</v>
      </c>
    </row>
    <row r="1272" spans="4:22" x14ac:dyDescent="0.45">
      <c r="D1272" s="17" t="str">
        <f>[1]Mitigation!D14974</f>
        <v>Other oil products - efficient price</v>
      </c>
      <c r="E1272" s="17" t="str">
        <f>[1]Mitigation!H14974</f>
        <v>irn.mit.effprice.oop.all.1</v>
      </c>
      <c r="F1272" s="4" t="str">
        <f t="shared" si="106"/>
        <v>N/A</v>
      </c>
      <c r="G1272" s="4" t="str">
        <f t="shared" si="107"/>
        <v>irn.mit.eff_.all.all.all.all.1</v>
      </c>
      <c r="H1272" s="38" t="s">
        <v>19</v>
      </c>
      <c r="I1272" s="4" t="str">
        <f t="shared" si="108"/>
        <v>eff</v>
      </c>
      <c r="J1272" s="38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37">
        <v>1</v>
      </c>
    </row>
    <row r="1273" spans="4:22" x14ac:dyDescent="0.45">
      <c r="D1273" s="17" t="str">
        <f>[1]Mitigation!D14975</f>
        <v>Other oil products - retail price, baseline</v>
      </c>
      <c r="E1273" s="17" t="str">
        <f>[1]Mitigation!H14975</f>
        <v>irn.mit.rp.oop.all.1</v>
      </c>
      <c r="F1273" s="4" t="str">
        <f t="shared" si="106"/>
        <v>N/A</v>
      </c>
      <c r="G1273" s="4" t="str">
        <f t="shared" si="107"/>
        <v>irn.mit.rp._.all.all.all.all.1</v>
      </c>
      <c r="H1273" s="38" t="s">
        <v>19</v>
      </c>
      <c r="I1273" s="4" t="str">
        <f t="shared" si="108"/>
        <v>rp.</v>
      </c>
      <c r="J1273" s="38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37">
        <v>1</v>
      </c>
    </row>
    <row r="1274" spans="4:22" x14ac:dyDescent="0.45">
      <c r="D1274" s="17" t="str">
        <f>[1]Mitigation!D14976</f>
        <v>Other oil products - consumption</v>
      </c>
      <c r="E1274" s="17" t="str">
        <f>[1]Mitigation!H14976</f>
        <v>irn.mit.con.oop.all.1</v>
      </c>
      <c r="F1274" s="4" t="str">
        <f t="shared" si="106"/>
        <v>N/A</v>
      </c>
      <c r="G1274" s="4" t="str">
        <f t="shared" si="107"/>
        <v>irn.mit.con_.all.all.all.all.1</v>
      </c>
      <c r="H1274" s="38" t="s">
        <v>19</v>
      </c>
      <c r="I1274" s="4" t="str">
        <f t="shared" si="108"/>
        <v>con</v>
      </c>
      <c r="J1274" s="38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37">
        <v>1</v>
      </c>
    </row>
    <row r="1275" spans="4:22" x14ac:dyDescent="0.45">
      <c r="D1275" s="17" t="str">
        <f>[1]Mitigation!D14977</f>
        <v>Other oil products - explicit subsidy</v>
      </c>
      <c r="E1275" s="17" t="str">
        <f>[1]Mitigation!H14977</f>
        <v>irn.mit.expsub.con.oop.all.1</v>
      </c>
      <c r="F1275" s="4" t="str">
        <f t="shared" si="106"/>
        <v>N/A</v>
      </c>
      <c r="G1275" s="4" t="str">
        <f t="shared" si="107"/>
        <v>irn.mit.exp_.all.all.all.all.1</v>
      </c>
      <c r="H1275" s="38" t="s">
        <v>19</v>
      </c>
      <c r="I1275" s="4" t="str">
        <f t="shared" si="108"/>
        <v>exp</v>
      </c>
      <c r="J1275" s="38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37">
        <v>1</v>
      </c>
    </row>
    <row r="1276" spans="4:22" x14ac:dyDescent="0.45">
      <c r="D1276" s="17" t="str">
        <f>[1]Mitigation!D14982</f>
        <v>Natural gas, industry - VAT</v>
      </c>
      <c r="E1276" s="17" t="str">
        <f>[1]Mitigation!H14982</f>
        <v>irn.mit.vatext.nga.ind.1</v>
      </c>
      <c r="F1276" s="4" t="str">
        <f t="shared" si="106"/>
        <v>N/A</v>
      </c>
      <c r="G1276" s="4" t="str">
        <f t="shared" si="107"/>
        <v>irn.mit.vat_.all.all.all.all.1</v>
      </c>
      <c r="H1276" s="38" t="s">
        <v>19</v>
      </c>
      <c r="I1276" s="4" t="str">
        <f t="shared" si="108"/>
        <v>vat</v>
      </c>
      <c r="J1276" s="38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37">
        <v>1</v>
      </c>
    </row>
    <row r="1277" spans="4:22" x14ac:dyDescent="0.45">
      <c r="D1277" s="17" t="str">
        <f>[1]Mitigation!D14983</f>
        <v>Natural gas, industry - efficient price</v>
      </c>
      <c r="E1277" s="17" t="str">
        <f>[1]Mitigation!H14983</f>
        <v>irn.mit.effprice.nga.ind.1</v>
      </c>
      <c r="F1277" s="4" t="str">
        <f t="shared" si="106"/>
        <v>N/A</v>
      </c>
      <c r="G1277" s="4" t="str">
        <f t="shared" si="107"/>
        <v>irn.mit.eff_.all.all.all.all.1</v>
      </c>
      <c r="H1277" s="38" t="s">
        <v>19</v>
      </c>
      <c r="I1277" s="4" t="str">
        <f t="shared" si="108"/>
        <v>eff</v>
      </c>
      <c r="J1277" s="38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37">
        <v>1</v>
      </c>
    </row>
    <row r="1278" spans="4:22" x14ac:dyDescent="0.45">
      <c r="D1278" s="17" t="str">
        <f>[1]Mitigation!D14985</f>
        <v>Natural gas, industry - consumption</v>
      </c>
      <c r="E1278" s="17" t="str">
        <f>[1]Mitigation!H14985</f>
        <v>irn.mit.con.nga.ind.1</v>
      </c>
      <c r="F1278" s="4" t="str">
        <f t="shared" si="106"/>
        <v>N/A</v>
      </c>
      <c r="G1278" s="4" t="str">
        <f t="shared" si="107"/>
        <v>irn.mit.con_.all.all.all.all.1</v>
      </c>
      <c r="H1278" s="38" t="s">
        <v>19</v>
      </c>
      <c r="I1278" s="4" t="str">
        <f t="shared" si="108"/>
        <v>con</v>
      </c>
      <c r="J1278" s="38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37">
        <v>1</v>
      </c>
    </row>
    <row r="1279" spans="4:22" x14ac:dyDescent="0.45">
      <c r="D1279" s="17" t="str">
        <f>[1]Mitigation!D14986</f>
        <v>Natural gas, industry - explicit subsidy</v>
      </c>
      <c r="E1279" s="17" t="str">
        <f>[1]Mitigation!H14986</f>
        <v>irn.mit.expsub.con.nga.ind.1</v>
      </c>
      <c r="F1279" s="4" t="str">
        <f t="shared" si="106"/>
        <v>N/A</v>
      </c>
      <c r="G1279" s="4" t="str">
        <f t="shared" si="107"/>
        <v>irn.mit.exp_.all.all.all.all.1</v>
      </c>
      <c r="H1279" s="38" t="s">
        <v>19</v>
      </c>
      <c r="I1279" s="4" t="str">
        <f t="shared" si="108"/>
        <v>exp</v>
      </c>
      <c r="J1279" s="38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37">
        <v>1</v>
      </c>
    </row>
    <row r="1280" spans="4:22" x14ac:dyDescent="0.45">
      <c r="D1280" s="17" t="str">
        <f>[1]Mitigation!D14987</f>
        <v>Natural gas, industry - implicit subsidy</v>
      </c>
      <c r="E1280" s="17" t="str">
        <f>[1]Mitigation!H14987</f>
        <v>irn.mit.impsub.con.nga.ind.1</v>
      </c>
      <c r="F1280" s="4" t="str">
        <f t="shared" si="106"/>
        <v>N/A</v>
      </c>
      <c r="G1280" s="4" t="str">
        <f t="shared" si="107"/>
        <v>irn.mit.imp_.all.all.all.all.1</v>
      </c>
      <c r="H1280" s="38" t="s">
        <v>19</v>
      </c>
      <c r="I1280" s="4" t="str">
        <f t="shared" si="108"/>
        <v>imp</v>
      </c>
      <c r="J1280" s="38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37">
        <v>1</v>
      </c>
    </row>
    <row r="1281" spans="4:22" x14ac:dyDescent="0.45">
      <c r="D1281" s="17" t="str">
        <f>[1]Mitigation!D14989</f>
        <v>Natural gas, residential - VAT rate</v>
      </c>
      <c r="E1281" s="17" t="str">
        <f>[1]Mitigation!H14989</f>
        <v>irn.mit.vatrate.res.nga.a.1</v>
      </c>
      <c r="F1281" s="4" t="str">
        <f t="shared" si="106"/>
        <v>N/A</v>
      </c>
      <c r="G1281" s="4" t="str">
        <f t="shared" si="107"/>
        <v>irn.mit.vat_.all.all.all.all.1</v>
      </c>
      <c r="H1281" s="38" t="s">
        <v>19</v>
      </c>
      <c r="I1281" s="4" t="str">
        <f t="shared" si="108"/>
        <v>vat</v>
      </c>
      <c r="J1281" s="38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37">
        <v>1</v>
      </c>
    </row>
    <row r="1282" spans="4:22" x14ac:dyDescent="0.45">
      <c r="D1282" s="17" t="str">
        <f>[1]Mitigation!D14993</f>
        <v>Natural gas, residential - efficient price</v>
      </c>
      <c r="E1282" s="17" t="str">
        <f>[1]Mitigation!H14993</f>
        <v>irn.mit.effprice.nga.res.1</v>
      </c>
      <c r="F1282" s="4" t="str">
        <f t="shared" si="106"/>
        <v>N/A</v>
      </c>
      <c r="G1282" s="4" t="str">
        <f t="shared" si="107"/>
        <v>irn.mit.eff_.all.all.all.all.1</v>
      </c>
      <c r="H1282" s="38" t="s">
        <v>19</v>
      </c>
      <c r="I1282" s="4" t="str">
        <f t="shared" si="108"/>
        <v>eff</v>
      </c>
      <c r="J1282" s="38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37">
        <v>1</v>
      </c>
    </row>
    <row r="1283" spans="4:22" x14ac:dyDescent="0.45">
      <c r="D1283" s="17" t="str">
        <f>[1]Mitigation!D14995</f>
        <v>Natural gas, residential - consumption</v>
      </c>
      <c r="E1283" s="17" t="str">
        <f>[1]Mitigation!H14995</f>
        <v>irn.mit.con.nga.res.1</v>
      </c>
      <c r="F1283" s="4" t="str">
        <f t="shared" si="106"/>
        <v>N/A</v>
      </c>
      <c r="G1283" s="4" t="str">
        <f t="shared" si="107"/>
        <v>irn.mit.con_.all.all.all.all.1</v>
      </c>
      <c r="H1283" s="38" t="s">
        <v>19</v>
      </c>
      <c r="I1283" s="4" t="str">
        <f t="shared" si="108"/>
        <v>con</v>
      </c>
      <c r="J1283" s="38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37">
        <v>1</v>
      </c>
    </row>
    <row r="1284" spans="4:22" x14ac:dyDescent="0.45">
      <c r="D1284" s="17" t="str">
        <f>[1]Mitigation!D14996</f>
        <v>Natural gas, residential - explicit subsidy</v>
      </c>
      <c r="E1284" s="17" t="str">
        <f>[1]Mitigation!H14996</f>
        <v>irn.mit.expsub.con.nga.res.1</v>
      </c>
      <c r="F1284" s="4" t="str">
        <f t="shared" si="106"/>
        <v>N/A</v>
      </c>
      <c r="G1284" s="4" t="str">
        <f t="shared" si="107"/>
        <v>irn.mit.exp_.all.all.all.all.1</v>
      </c>
      <c r="H1284" s="38" t="s">
        <v>19</v>
      </c>
      <c r="I1284" s="4" t="str">
        <f t="shared" si="108"/>
        <v>exp</v>
      </c>
      <c r="J1284" s="38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37">
        <v>1</v>
      </c>
    </row>
    <row r="1285" spans="4:22" x14ac:dyDescent="0.45">
      <c r="D1285" s="17" t="str">
        <f>[1]Mitigation!D14997</f>
        <v>Natural gas, residential - implicit subsidy</v>
      </c>
      <c r="E1285" s="17" t="str">
        <f>[1]Mitigation!H14997</f>
        <v>irn.mit.impsub.con.nga.res.1</v>
      </c>
      <c r="F1285" s="4" t="str">
        <f t="shared" si="106"/>
        <v>N/A</v>
      </c>
      <c r="G1285" s="4" t="str">
        <f t="shared" si="107"/>
        <v>irn.mit.imp_.all.all.all.all.1</v>
      </c>
      <c r="H1285" s="38" t="s">
        <v>19</v>
      </c>
      <c r="I1285" s="4" t="str">
        <f t="shared" si="108"/>
        <v>imp</v>
      </c>
      <c r="J1285" s="38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37">
        <v>1</v>
      </c>
    </row>
    <row r="1286" spans="4:22" x14ac:dyDescent="0.45">
      <c r="D1286" s="17" t="str">
        <f>[1]Mitigation!D15002</f>
        <v>Natural gas, power - efficient price</v>
      </c>
      <c r="E1286" s="17" t="str">
        <f>[1]Mitigation!H15002</f>
        <v>irn.mit.effprice.nga.pow.1</v>
      </c>
      <c r="F1286" s="4" t="str">
        <f t="shared" si="106"/>
        <v>N/A</v>
      </c>
      <c r="G1286" s="4" t="str">
        <f t="shared" si="107"/>
        <v>irn.mit.eff_.all.all.all.all.1</v>
      </c>
      <c r="H1286" s="38" t="s">
        <v>19</v>
      </c>
      <c r="I1286" s="4" t="str">
        <f t="shared" si="108"/>
        <v>eff</v>
      </c>
      <c r="J1286" s="38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37">
        <v>1</v>
      </c>
    </row>
    <row r="1287" spans="4:22" x14ac:dyDescent="0.45">
      <c r="D1287" s="17" t="str">
        <f>[1]Mitigation!D15004</f>
        <v>Natural gas, power - consumption</v>
      </c>
      <c r="E1287" s="17" t="str">
        <f>[1]Mitigation!H15004</f>
        <v>irn.mit.con.nga.pow.1</v>
      </c>
      <c r="F1287" s="4" t="str">
        <f t="shared" si="106"/>
        <v>N/A</v>
      </c>
      <c r="G1287" s="4" t="str">
        <f t="shared" si="107"/>
        <v>irn.mit.con_.all.all.all.all.1</v>
      </c>
      <c r="H1287" s="38" t="s">
        <v>19</v>
      </c>
      <c r="I1287" s="4" t="str">
        <f t="shared" si="108"/>
        <v>con</v>
      </c>
      <c r="J1287" s="38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37">
        <v>1</v>
      </c>
    </row>
    <row r="1288" spans="4:22" x14ac:dyDescent="0.45">
      <c r="D1288" s="17" t="str">
        <f>[1]Mitigation!D15005</f>
        <v>Natural gas, power - explicit subsidy</v>
      </c>
      <c r="E1288" s="17" t="str">
        <f>[1]Mitigation!H15005</f>
        <v>irn.mit.expsub.con.nga.pow.1</v>
      </c>
      <c r="F1288" s="4" t="str">
        <f t="shared" si="106"/>
        <v>N/A</v>
      </c>
      <c r="G1288" s="4" t="str">
        <f t="shared" si="107"/>
        <v>irn.mit.exp_.all.all.all.all.1</v>
      </c>
      <c r="H1288" s="38" t="s">
        <v>19</v>
      </c>
      <c r="I1288" s="4" t="str">
        <f t="shared" si="108"/>
        <v>exp</v>
      </c>
      <c r="J1288" s="38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37">
        <v>1</v>
      </c>
    </row>
    <row r="1289" spans="4:22" x14ac:dyDescent="0.45">
      <c r="D1289" s="17" t="str">
        <f>[1]Mitigation!D15006</f>
        <v>Natural gas, power - implicit subsidy</v>
      </c>
      <c r="E1289" s="17" t="str">
        <f>[1]Mitigation!H15006</f>
        <v>irn.mit.impsub.con.nga.pow.1</v>
      </c>
      <c r="F1289" s="4" t="str">
        <f t="shared" si="106"/>
        <v>N/A</v>
      </c>
      <c r="G1289" s="4" t="str">
        <f t="shared" si="107"/>
        <v>irn.mit.imp_.all.all.all.all.1</v>
      </c>
      <c r="H1289" s="38" t="s">
        <v>19</v>
      </c>
      <c r="I1289" s="4" t="str">
        <f t="shared" si="108"/>
        <v>imp</v>
      </c>
      <c r="J1289" s="38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37">
        <v>1</v>
      </c>
    </row>
    <row r="1290" spans="4:22" x14ac:dyDescent="0.45">
      <c r="D1290" s="17" t="str">
        <f>[1]Mitigation!D15008</f>
        <v>Natural gas, other - supply cost</v>
      </c>
      <c r="E1290" s="17" t="str">
        <f>[1]Mitigation!H15008</f>
        <v>irn.mit.supcost.nga.other.1</v>
      </c>
      <c r="F1290" s="4" t="str">
        <f t="shared" si="106"/>
        <v>N/A</v>
      </c>
      <c r="G1290" s="4" t="str">
        <f t="shared" si="107"/>
        <v>irn.mit.sup_.all.all.all.all.1</v>
      </c>
      <c r="H1290" s="38" t="s">
        <v>19</v>
      </c>
      <c r="I1290" s="4" t="str">
        <f t="shared" si="108"/>
        <v>sup</v>
      </c>
      <c r="J1290" s="38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37">
        <v>1</v>
      </c>
    </row>
    <row r="1291" spans="4:22" x14ac:dyDescent="0.45">
      <c r="D1291" s="17" t="str">
        <f>[1]Mitigation!D15009</f>
        <v>Natural gas, other - externalities</v>
      </c>
      <c r="E1291" s="17" t="str">
        <f>[1]Mitigation!H15009</f>
        <v>irn.mit.extcost.nga.other.1</v>
      </c>
      <c r="F1291" s="4" t="str">
        <f t="shared" si="106"/>
        <v>N/A</v>
      </c>
      <c r="G1291" s="4" t="str">
        <f t="shared" si="107"/>
        <v>irn.mit.ext_.all.all.all.all.1</v>
      </c>
      <c r="H1291" s="38" t="s">
        <v>19</v>
      </c>
      <c r="I1291" s="4" t="str">
        <f t="shared" si="108"/>
        <v>ext</v>
      </c>
      <c r="J1291" s="38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37">
        <v>1</v>
      </c>
    </row>
    <row r="1292" spans="4:22" x14ac:dyDescent="0.45">
      <c r="D1292" s="17" t="str">
        <f>[1]Mitigation!D15010</f>
        <v>Natural gas, other - VAT</v>
      </c>
      <c r="E1292" s="17" t="str">
        <f>[1]Mitigation!H15010</f>
        <v>irn.mit.vatext.nga.other.1</v>
      </c>
      <c r="F1292" s="4" t="str">
        <f t="shared" si="106"/>
        <v>N/A</v>
      </c>
      <c r="G1292" s="4" t="str">
        <f t="shared" si="107"/>
        <v>irn.mit.vat_.all.all.all.all.1</v>
      </c>
      <c r="H1292" s="38" t="s">
        <v>19</v>
      </c>
      <c r="I1292" s="4" t="str">
        <f t="shared" si="108"/>
        <v>vat</v>
      </c>
      <c r="J1292" s="38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37">
        <v>1</v>
      </c>
    </row>
    <row r="1293" spans="4:22" x14ac:dyDescent="0.45">
      <c r="D1293" s="17" t="str">
        <f>[1]Mitigation!D15011</f>
        <v>Natural gas, other - efficient price</v>
      </c>
      <c r="E1293" s="17" t="str">
        <f>[1]Mitigation!H15011</f>
        <v>irn.mit.effprice.nga.other.1</v>
      </c>
      <c r="F1293" s="4" t="str">
        <f t="shared" si="106"/>
        <v>N/A</v>
      </c>
      <c r="G1293" s="4" t="str">
        <f t="shared" si="107"/>
        <v>irn.mit.eff_.all.all.all.all.1</v>
      </c>
      <c r="H1293" s="38" t="s">
        <v>19</v>
      </c>
      <c r="I1293" s="4" t="str">
        <f t="shared" si="108"/>
        <v>eff</v>
      </c>
      <c r="J1293" s="38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37">
        <v>1</v>
      </c>
    </row>
    <row r="1294" spans="4:22" x14ac:dyDescent="0.45">
      <c r="D1294" s="17" t="str">
        <f>[1]Mitigation!D15012</f>
        <v>Natural gas, other - retail price, baseline</v>
      </c>
      <c r="E1294" s="17" t="str">
        <f>[1]Mitigation!H15012</f>
        <v>irn.mit.rp.nga.other.1</v>
      </c>
      <c r="F1294" s="4" t="str">
        <f t="shared" si="106"/>
        <v>N/A</v>
      </c>
      <c r="G1294" s="4" t="str">
        <f t="shared" si="107"/>
        <v>irn.mit.rp._.all.all.all.all.1</v>
      </c>
      <c r="H1294" s="38" t="s">
        <v>19</v>
      </c>
      <c r="I1294" s="4" t="str">
        <f t="shared" si="108"/>
        <v>rp.</v>
      </c>
      <c r="J1294" s="38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37">
        <v>1</v>
      </c>
    </row>
    <row r="1295" spans="4:22" x14ac:dyDescent="0.45">
      <c r="D1295" s="17" t="str">
        <f>[1]Mitigation!D15013</f>
        <v>Natural gas, other - consumption</v>
      </c>
      <c r="E1295" s="17" t="str">
        <f>[1]Mitigation!H15013</f>
        <v>irn.mit.con.nga.other.1</v>
      </c>
      <c r="F1295" s="4" t="str">
        <f t="shared" si="106"/>
        <v>N/A</v>
      </c>
      <c r="G1295" s="4" t="str">
        <f t="shared" si="107"/>
        <v>irn.mit.con_.all.all.all.all.1</v>
      </c>
      <c r="H1295" s="38" t="s">
        <v>19</v>
      </c>
      <c r="I1295" s="4" t="str">
        <f t="shared" si="108"/>
        <v>con</v>
      </c>
      <c r="J1295" s="38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37">
        <v>1</v>
      </c>
    </row>
    <row r="1296" spans="4:22" x14ac:dyDescent="0.45">
      <c r="D1296" s="17" t="str">
        <f>[1]Mitigation!D15014</f>
        <v>Natural gas, other - explicit subsidy</v>
      </c>
      <c r="E1296" s="17" t="str">
        <f>[1]Mitigation!H15014</f>
        <v>irn.mit.expsub.con.nga.other.1</v>
      </c>
      <c r="F1296" s="4" t="str">
        <f t="shared" si="106"/>
        <v>N/A</v>
      </c>
      <c r="G1296" s="4" t="str">
        <f t="shared" si="107"/>
        <v>irn.mit.exp_.all.all.all.all.1</v>
      </c>
      <c r="H1296" s="38" t="s">
        <v>19</v>
      </c>
      <c r="I1296" s="4" t="str">
        <f t="shared" si="108"/>
        <v>exp</v>
      </c>
      <c r="J1296" s="38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37">
        <v>1</v>
      </c>
    </row>
    <row r="1297" spans="4:22" x14ac:dyDescent="0.45">
      <c r="D1297" s="17" t="str">
        <f>[1]Mitigation!D15015</f>
        <v>Natural gas, other - implicit subsidy</v>
      </c>
      <c r="E1297" s="17" t="str">
        <f>[1]Mitigation!H15015</f>
        <v>irn.mit.impsub.con.nga.other.1</v>
      </c>
      <c r="F1297" s="4" t="str">
        <f t="shared" si="106"/>
        <v>N/A</v>
      </c>
      <c r="G1297" s="4" t="str">
        <f t="shared" si="107"/>
        <v>irn.mit.imp_.all.all.all.all.1</v>
      </c>
      <c r="H1297" s="38" t="s">
        <v>19</v>
      </c>
      <c r="I1297" s="4" t="str">
        <f t="shared" si="108"/>
        <v>imp</v>
      </c>
      <c r="J1297" s="38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37">
        <v>1</v>
      </c>
    </row>
    <row r="1298" spans="4:22" x14ac:dyDescent="0.45">
      <c r="D1298" s="17" t="str">
        <f>[1]Mitigation!D15020</f>
        <v>Coal, industry - efficient price</v>
      </c>
      <c r="E1298" s="17" t="str">
        <f>[1]Mitigation!H15020</f>
        <v>irn.mit.effprice.coa.ind.1</v>
      </c>
      <c r="F1298" s="4" t="str">
        <f t="shared" si="106"/>
        <v>N/A</v>
      </c>
      <c r="G1298" s="4" t="str">
        <f t="shared" si="107"/>
        <v>irn.mit.eff_.all.all.all.all.1</v>
      </c>
      <c r="H1298" s="38" t="s">
        <v>19</v>
      </c>
      <c r="I1298" s="4" t="str">
        <f t="shared" si="108"/>
        <v>eff</v>
      </c>
      <c r="J1298" s="38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37">
        <v>1</v>
      </c>
    </row>
    <row r="1299" spans="4:22" x14ac:dyDescent="0.45">
      <c r="D1299" s="17" t="str">
        <f>[1]Mitigation!D15022</f>
        <v>Coal, industry - consumption</v>
      </c>
      <c r="E1299" s="17" t="str">
        <f>[1]Mitigation!H15022</f>
        <v>irn.mit.con.coa.ind.1</v>
      </c>
      <c r="F1299" s="4" t="str">
        <f t="shared" si="106"/>
        <v>N/A</v>
      </c>
      <c r="G1299" s="4" t="str">
        <f t="shared" si="107"/>
        <v>irn.mit.con_.all.all.all.all.1</v>
      </c>
      <c r="H1299" s="38" t="s">
        <v>19</v>
      </c>
      <c r="I1299" s="4" t="str">
        <f t="shared" si="108"/>
        <v>con</v>
      </c>
      <c r="J1299" s="38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37">
        <v>1</v>
      </c>
    </row>
    <row r="1300" spans="4:22" x14ac:dyDescent="0.45">
      <c r="D1300" s="17" t="str">
        <f>[1]Mitigation!D15023</f>
        <v>Coal, industry - explicit subsidy</v>
      </c>
      <c r="E1300" s="17" t="str">
        <f>[1]Mitigation!H15023</f>
        <v>irn.mit.expsub.con.coa.ind.1</v>
      </c>
      <c r="F1300" s="4" t="str">
        <f t="shared" si="106"/>
        <v>N/A</v>
      </c>
      <c r="G1300" s="4" t="str">
        <f t="shared" si="107"/>
        <v>irn.mit.exp_.all.all.all.all.1</v>
      </c>
      <c r="H1300" s="38" t="s">
        <v>19</v>
      </c>
      <c r="I1300" s="4" t="str">
        <f t="shared" si="108"/>
        <v>exp</v>
      </c>
      <c r="J1300" s="38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37">
        <v>1</v>
      </c>
    </row>
    <row r="1301" spans="4:22" x14ac:dyDescent="0.45">
      <c r="D1301" s="17" t="str">
        <f>[1]Mitigation!D15024</f>
        <v>Coal, industry - implicit subsidy</v>
      </c>
      <c r="E1301" s="17" t="str">
        <f>[1]Mitigation!H15024</f>
        <v>irn.mit.impsub.con.coa.ind.1</v>
      </c>
      <c r="F1301" s="4" t="str">
        <f t="shared" si="106"/>
        <v>N/A</v>
      </c>
      <c r="G1301" s="4" t="str">
        <f t="shared" si="107"/>
        <v>irn.mit.imp_.all.all.all.all.1</v>
      </c>
      <c r="H1301" s="38" t="s">
        <v>19</v>
      </c>
      <c r="I1301" s="4" t="str">
        <f t="shared" si="108"/>
        <v>imp</v>
      </c>
      <c r="J1301" s="38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37">
        <v>1</v>
      </c>
    </row>
    <row r="1302" spans="4:22" x14ac:dyDescent="0.45">
      <c r="D1302" s="17" t="str">
        <f>[1]Mitigation!D15026</f>
        <v>Coal, residential - VAT rate</v>
      </c>
      <c r="E1302" s="17" t="str">
        <f>[1]Mitigation!H15026</f>
        <v>irn.mit.vatrate.res.coa.a.1</v>
      </c>
      <c r="F1302" s="4" t="str">
        <f t="shared" si="106"/>
        <v>N/A</v>
      </c>
      <c r="G1302" s="4" t="str">
        <f t="shared" si="107"/>
        <v>irn.mit.vat_.all.all.all.all.1</v>
      </c>
      <c r="H1302" s="38" t="s">
        <v>19</v>
      </c>
      <c r="I1302" s="4" t="str">
        <f t="shared" si="108"/>
        <v>vat</v>
      </c>
      <c r="J1302" s="38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37">
        <v>1</v>
      </c>
    </row>
    <row r="1303" spans="4:22" x14ac:dyDescent="0.45">
      <c r="D1303" s="17" t="str">
        <f>[1]Mitigation!D15030</f>
        <v>Coal, residential - efficient price</v>
      </c>
      <c r="E1303" s="17" t="str">
        <f>[1]Mitigation!H15030</f>
        <v>irn.mit.effprice.coa.res.1</v>
      </c>
      <c r="F1303" s="4" t="str">
        <f t="shared" si="106"/>
        <v>N/A</v>
      </c>
      <c r="G1303" s="4" t="str">
        <f t="shared" si="107"/>
        <v>irn.mit.eff_.all.all.all.all.1</v>
      </c>
      <c r="H1303" s="38" t="s">
        <v>19</v>
      </c>
      <c r="I1303" s="4" t="str">
        <f t="shared" si="108"/>
        <v>eff</v>
      </c>
      <c r="J1303" s="38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37">
        <v>1</v>
      </c>
    </row>
    <row r="1304" spans="4:22" x14ac:dyDescent="0.45">
      <c r="D1304" s="17" t="str">
        <f>[1]Mitigation!D15032</f>
        <v>Coal, residential - consumption</v>
      </c>
      <c r="E1304" s="17" t="str">
        <f>[1]Mitigation!H15032</f>
        <v>irn.mit.con.coa.res.1</v>
      </c>
      <c r="F1304" s="4" t="str">
        <f t="shared" si="106"/>
        <v>N/A</v>
      </c>
      <c r="G1304" s="4" t="str">
        <f t="shared" si="107"/>
        <v>irn.mit.con_.all.all.all.all.1</v>
      </c>
      <c r="H1304" s="38" t="s">
        <v>19</v>
      </c>
      <c r="I1304" s="4" t="str">
        <f t="shared" si="108"/>
        <v>con</v>
      </c>
      <c r="J1304" s="38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37">
        <v>1</v>
      </c>
    </row>
    <row r="1305" spans="4:22" x14ac:dyDescent="0.45">
      <c r="D1305" s="17" t="str">
        <f>[1]Mitigation!D15033</f>
        <v>Coal, residential - explicit subsidy</v>
      </c>
      <c r="E1305" s="17" t="str">
        <f>[1]Mitigation!H15033</f>
        <v>irn.mit.expsub.con.coa.res.1</v>
      </c>
      <c r="F1305" s="4" t="str">
        <f t="shared" si="106"/>
        <v>N/A</v>
      </c>
      <c r="G1305" s="4" t="str">
        <f t="shared" si="107"/>
        <v>irn.mit.exp_.all.all.all.all.1</v>
      </c>
      <c r="H1305" s="38" t="s">
        <v>19</v>
      </c>
      <c r="I1305" s="4" t="str">
        <f t="shared" si="108"/>
        <v>exp</v>
      </c>
      <c r="J1305" s="38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37">
        <v>1</v>
      </c>
    </row>
    <row r="1306" spans="4:22" x14ac:dyDescent="0.45">
      <c r="D1306" s="17" t="str">
        <f>[1]Mitigation!D15034</f>
        <v>Coal, residential - implicit subsidy</v>
      </c>
      <c r="E1306" s="17" t="str">
        <f>[1]Mitigation!H15034</f>
        <v>irn.mit.impsub.con.coa.res.1</v>
      </c>
      <c r="F1306" s="4" t="str">
        <f t="shared" si="106"/>
        <v>N/A</v>
      </c>
      <c r="G1306" s="4" t="str">
        <f t="shared" si="107"/>
        <v>irn.mit.imp_.all.all.all.all.1</v>
      </c>
      <c r="H1306" s="38" t="s">
        <v>19</v>
      </c>
      <c r="I1306" s="4" t="str">
        <f t="shared" si="108"/>
        <v>imp</v>
      </c>
      <c r="J1306" s="38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37">
        <v>1</v>
      </c>
    </row>
    <row r="1307" spans="4:22" x14ac:dyDescent="0.45">
      <c r="D1307" s="17" t="str">
        <f>[1]Mitigation!D15039</f>
        <v>Coal, power - efficient price</v>
      </c>
      <c r="E1307" s="17" t="str">
        <f>[1]Mitigation!H15039</f>
        <v>irn.mit.effprice.coa.pow.1</v>
      </c>
      <c r="F1307" s="4" t="str">
        <f t="shared" si="106"/>
        <v>N/A</v>
      </c>
      <c r="G1307" s="4" t="str">
        <f t="shared" si="107"/>
        <v>irn.mit.eff_.all.all.all.all.1</v>
      </c>
      <c r="H1307" s="38" t="s">
        <v>19</v>
      </c>
      <c r="I1307" s="4" t="str">
        <f t="shared" si="108"/>
        <v>eff</v>
      </c>
      <c r="J1307" s="38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37">
        <v>1</v>
      </c>
    </row>
    <row r="1308" spans="4:22" x14ac:dyDescent="0.45">
      <c r="D1308" s="17" t="str">
        <f>[1]Mitigation!D15041</f>
        <v>Coal, power - consumption</v>
      </c>
      <c r="E1308" s="17" t="str">
        <f>[1]Mitigation!H15041</f>
        <v>irn.mit.con.coa.pow.1</v>
      </c>
      <c r="F1308" s="4" t="str">
        <f t="shared" ref="F1308:F1338" si="109">IF(MTAct,E1308&amp;"_"&amp;MSTScenarioID,"N/A")</f>
        <v>N/A</v>
      </c>
      <c r="G1308" s="4" t="str">
        <f t="shared" ref="G1308:G1339" si="110">IF(D1308="","",LOWER(_Country_code)&amp;"."&amp;H1308&amp;"."&amp;IF(I1308="","all",I1308)&amp;"_"&amp;J1308&amp;"."&amp;IF(R1308="","all",R1308)&amp;"."&amp;IF(Q1308="","all",Q1308)&amp;"."&amp;IF(U1308="","all",U1308)&amp;"."&amp;IF(K1308="","all",K1308)&amp;"."&amp;IF(V1308="","all",V1308))</f>
        <v>irn.mit.con_.all.all.all.all.1</v>
      </c>
      <c r="H1308" s="38" t="s">
        <v>19</v>
      </c>
      <c r="I1308" s="4" t="str">
        <f t="shared" si="108"/>
        <v>con</v>
      </c>
      <c r="J1308" s="38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37">
        <v>1</v>
      </c>
    </row>
    <row r="1309" spans="4:22" x14ac:dyDescent="0.45">
      <c r="D1309" s="17" t="str">
        <f>[1]Mitigation!D15042</f>
        <v>Coal, power - explicit subsidy</v>
      </c>
      <c r="E1309" s="17" t="str">
        <f>[1]Mitigation!H15042</f>
        <v>irn.mit.expsub.con.coa.pow.1</v>
      </c>
      <c r="F1309" s="4" t="str">
        <f t="shared" si="109"/>
        <v>N/A</v>
      </c>
      <c r="G1309" s="4" t="str">
        <f t="shared" si="110"/>
        <v>irn.mit.exp_.all.all.all.all.1</v>
      </c>
      <c r="H1309" s="38" t="s">
        <v>19</v>
      </c>
      <c r="I1309" s="4" t="str">
        <f t="shared" ref="I1309:I1339" si="111">MID(E1309, 9, 3)</f>
        <v>exp</v>
      </c>
      <c r="J1309" s="38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37">
        <v>1</v>
      </c>
    </row>
    <row r="1310" spans="4:22" x14ac:dyDescent="0.45">
      <c r="D1310" s="17" t="str">
        <f>[1]Mitigation!D15043</f>
        <v>Coal, power - implicit subsidy</v>
      </c>
      <c r="E1310" s="17" t="str">
        <f>[1]Mitigation!H15043</f>
        <v>irn.mit.impsub.con.coa.pow.1</v>
      </c>
      <c r="F1310" s="4" t="str">
        <f t="shared" si="109"/>
        <v>N/A</v>
      </c>
      <c r="G1310" s="4" t="str">
        <f t="shared" si="110"/>
        <v>irn.mit.imp_.all.all.all.all.1</v>
      </c>
      <c r="H1310" s="38" t="s">
        <v>19</v>
      </c>
      <c r="I1310" s="4" t="str">
        <f t="shared" si="111"/>
        <v>imp</v>
      </c>
      <c r="J1310" s="38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37">
        <v>1</v>
      </c>
    </row>
    <row r="1311" spans="4:22" x14ac:dyDescent="0.45">
      <c r="D1311" s="17" t="str">
        <f>[1]Mitigation!D15045</f>
        <v>Coal, other - supply cost</v>
      </c>
      <c r="E1311" s="17" t="str">
        <f>[1]Mitigation!H15045</f>
        <v>irn.mit.supcost.coa.other.1</v>
      </c>
      <c r="F1311" s="4" t="str">
        <f t="shared" si="109"/>
        <v>N/A</v>
      </c>
      <c r="G1311" s="4" t="str">
        <f t="shared" si="110"/>
        <v>irn.mit.sup_.all.all.all.all.1</v>
      </c>
      <c r="H1311" s="38" t="s">
        <v>19</v>
      </c>
      <c r="I1311" s="4" t="str">
        <f t="shared" si="111"/>
        <v>sup</v>
      </c>
      <c r="J1311" s="38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37">
        <v>1</v>
      </c>
    </row>
    <row r="1312" spans="4:22" x14ac:dyDescent="0.45">
      <c r="D1312" s="17" t="str">
        <f>[1]Mitigation!D15046</f>
        <v>Coal, other - externalities</v>
      </c>
      <c r="E1312" s="17" t="str">
        <f>[1]Mitigation!H15046</f>
        <v>irn.mit.extcost.coa.other.1</v>
      </c>
      <c r="F1312" s="4" t="str">
        <f t="shared" si="109"/>
        <v>N/A</v>
      </c>
      <c r="G1312" s="4" t="str">
        <f t="shared" si="110"/>
        <v>irn.mit.ext_.all.all.all.all.1</v>
      </c>
      <c r="H1312" s="38" t="s">
        <v>19</v>
      </c>
      <c r="I1312" s="4" t="str">
        <f t="shared" si="111"/>
        <v>ext</v>
      </c>
      <c r="J1312" s="38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37">
        <v>1</v>
      </c>
    </row>
    <row r="1313" spans="4:22" x14ac:dyDescent="0.45">
      <c r="D1313" s="17" t="str">
        <f>[1]Mitigation!D15047</f>
        <v>Coal, other - VAT</v>
      </c>
      <c r="E1313" s="17" t="str">
        <f>[1]Mitigation!H15047</f>
        <v>irn.mit.vatext.coa.other.1</v>
      </c>
      <c r="F1313" s="4" t="str">
        <f t="shared" si="109"/>
        <v>N/A</v>
      </c>
      <c r="G1313" s="4" t="str">
        <f t="shared" si="110"/>
        <v>irn.mit.vat_.all.all.all.all.1</v>
      </c>
      <c r="H1313" s="38" t="s">
        <v>19</v>
      </c>
      <c r="I1313" s="4" t="str">
        <f t="shared" si="111"/>
        <v>vat</v>
      </c>
      <c r="J1313" s="38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37">
        <v>1</v>
      </c>
    </row>
    <row r="1314" spans="4:22" x14ac:dyDescent="0.45">
      <c r="D1314" s="17" t="str">
        <f>[1]Mitigation!D15048</f>
        <v>Coal, other - efficient price</v>
      </c>
      <c r="E1314" s="17" t="str">
        <f>[1]Mitigation!H15048</f>
        <v>irn.mit.effprice.coa.other.1</v>
      </c>
      <c r="F1314" s="4" t="str">
        <f t="shared" si="109"/>
        <v>N/A</v>
      </c>
      <c r="G1314" s="4" t="str">
        <f t="shared" si="110"/>
        <v>irn.mit.eff_.all.all.all.all.1</v>
      </c>
      <c r="H1314" s="38" t="s">
        <v>19</v>
      </c>
      <c r="I1314" s="4" t="str">
        <f t="shared" si="111"/>
        <v>eff</v>
      </c>
      <c r="J1314" s="38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37">
        <v>1</v>
      </c>
    </row>
    <row r="1315" spans="4:22" x14ac:dyDescent="0.45">
      <c r="D1315" s="17" t="str">
        <f>[1]Mitigation!D15049</f>
        <v>Coal, other - retail price, baseline</v>
      </c>
      <c r="E1315" s="17" t="str">
        <f>[1]Mitigation!H15049</f>
        <v>irn.mit.rp.coa.other.1</v>
      </c>
      <c r="F1315" s="4" t="str">
        <f t="shared" si="109"/>
        <v>N/A</v>
      </c>
      <c r="G1315" s="4" t="str">
        <f t="shared" si="110"/>
        <v>irn.mit.rp._.all.all.all.all.1</v>
      </c>
      <c r="H1315" s="38" t="s">
        <v>19</v>
      </c>
      <c r="I1315" s="4" t="str">
        <f t="shared" si="111"/>
        <v>rp.</v>
      </c>
      <c r="J1315" s="38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37">
        <v>1</v>
      </c>
    </row>
    <row r="1316" spans="4:22" x14ac:dyDescent="0.45">
      <c r="D1316" s="17" t="str">
        <f>[1]Mitigation!D15050</f>
        <v>Coal, other - consumption</v>
      </c>
      <c r="E1316" s="17" t="str">
        <f>[1]Mitigation!H15050</f>
        <v>irn.mit.con.coa.other.1</v>
      </c>
      <c r="F1316" s="4" t="str">
        <f t="shared" si="109"/>
        <v>N/A</v>
      </c>
      <c r="G1316" s="4" t="str">
        <f t="shared" si="110"/>
        <v>irn.mit.con_.all.all.all.all.1</v>
      </c>
      <c r="H1316" s="38" t="s">
        <v>19</v>
      </c>
      <c r="I1316" s="4" t="str">
        <f t="shared" si="111"/>
        <v>con</v>
      </c>
      <c r="J1316" s="38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37">
        <v>1</v>
      </c>
    </row>
    <row r="1317" spans="4:22" x14ac:dyDescent="0.45">
      <c r="D1317" s="17" t="str">
        <f>[1]Mitigation!D15051</f>
        <v>Coal, other - explicit subsidy</v>
      </c>
      <c r="E1317" s="17" t="str">
        <f>[1]Mitigation!H15051</f>
        <v>irn.mit.expsub.con.coa.other.1</v>
      </c>
      <c r="F1317" s="4" t="str">
        <f t="shared" si="109"/>
        <v>N/A</v>
      </c>
      <c r="G1317" s="4" t="str">
        <f t="shared" si="110"/>
        <v>irn.mit.exp_.all.all.all.all.1</v>
      </c>
      <c r="H1317" s="38" t="s">
        <v>19</v>
      </c>
      <c r="I1317" s="4" t="str">
        <f t="shared" si="111"/>
        <v>exp</v>
      </c>
      <c r="J1317" s="38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37">
        <v>1</v>
      </c>
    </row>
    <row r="1318" spans="4:22" x14ac:dyDescent="0.45">
      <c r="D1318" s="17" t="str">
        <f>[1]Mitigation!D15052</f>
        <v>Coal, other - implicit subsidy</v>
      </c>
      <c r="E1318" s="17" t="str">
        <f>[1]Mitigation!H15052</f>
        <v>irn.mit.impsub.con.coa.other.1</v>
      </c>
      <c r="F1318" s="4" t="str">
        <f t="shared" si="109"/>
        <v>N/A</v>
      </c>
      <c r="G1318" s="4" t="str">
        <f t="shared" si="110"/>
        <v>irn.mit.imp_.all.all.all.all.1</v>
      </c>
      <c r="H1318" s="38" t="s">
        <v>19</v>
      </c>
      <c r="I1318" s="4" t="str">
        <f t="shared" si="111"/>
        <v>imp</v>
      </c>
      <c r="J1318" s="38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37">
        <v>1</v>
      </c>
    </row>
    <row r="1319" spans="4:22" x14ac:dyDescent="0.45">
      <c r="D1319" s="17" t="str">
        <f>[1]Mitigation!D15057</f>
        <v>Electricity, industry - efficient price</v>
      </c>
      <c r="E1319" s="17" t="str">
        <f>[1]Mitigation!H15057</f>
        <v>irn.mit.effprice.ecy.ind.1</v>
      </c>
      <c r="F1319" s="4" t="str">
        <f t="shared" si="109"/>
        <v>N/A</v>
      </c>
      <c r="G1319" s="4" t="str">
        <f t="shared" si="110"/>
        <v>irn.mit.eff_.all.all.all.all.1</v>
      </c>
      <c r="H1319" s="38" t="s">
        <v>19</v>
      </c>
      <c r="I1319" s="4" t="str">
        <f t="shared" si="111"/>
        <v>eff</v>
      </c>
      <c r="J1319" s="38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37">
        <v>1</v>
      </c>
    </row>
    <row r="1320" spans="4:22" x14ac:dyDescent="0.45">
      <c r="D1320" s="17" t="str">
        <f>[1]Mitigation!D15059</f>
        <v>Electricity, industry - consumption</v>
      </c>
      <c r="E1320" s="17" t="str">
        <f>[1]Mitigation!H15059</f>
        <v>irn.mit.con.ecy.ind.1</v>
      </c>
      <c r="F1320" s="4" t="str">
        <f t="shared" si="109"/>
        <v>N/A</v>
      </c>
      <c r="G1320" s="4" t="str">
        <f t="shared" si="110"/>
        <v>irn.mit.con_.all.all.all.all.1</v>
      </c>
      <c r="H1320" s="38" t="s">
        <v>19</v>
      </c>
      <c r="I1320" s="4" t="str">
        <f t="shared" si="111"/>
        <v>con</v>
      </c>
      <c r="J1320" s="38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37">
        <v>1</v>
      </c>
    </row>
    <row r="1321" spans="4:22" x14ac:dyDescent="0.45">
      <c r="D1321" s="17" t="str">
        <f>[1]Mitigation!D15060</f>
        <v>Electricity, industry - explicit subsidy</v>
      </c>
      <c r="E1321" s="17" t="str">
        <f>[1]Mitigation!H15060</f>
        <v>irn.mit.expsub.con.ecy.ind.1</v>
      </c>
      <c r="F1321" s="4" t="str">
        <f t="shared" si="109"/>
        <v>N/A</v>
      </c>
      <c r="G1321" s="4" t="str">
        <f t="shared" si="110"/>
        <v>irn.mit.exp_.all.all.all.all.1</v>
      </c>
      <c r="H1321" s="38" t="s">
        <v>19</v>
      </c>
      <c r="I1321" s="4" t="str">
        <f t="shared" si="111"/>
        <v>exp</v>
      </c>
      <c r="J1321" s="38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37">
        <v>1</v>
      </c>
    </row>
    <row r="1322" spans="4:22" x14ac:dyDescent="0.45">
      <c r="D1322" s="17" t="str">
        <f>[1]Mitigation!D15061</f>
        <v>Electricity, industry - implicit subsidy</v>
      </c>
      <c r="E1322" s="17" t="str">
        <f>[1]Mitigation!H15061</f>
        <v>irn.mit.impsub.con.ecy.ind.1</v>
      </c>
      <c r="F1322" s="4" t="str">
        <f t="shared" si="109"/>
        <v>N/A</v>
      </c>
      <c r="G1322" s="4" t="str">
        <f t="shared" si="110"/>
        <v>irn.mit.imp_.all.all.all.all.1</v>
      </c>
      <c r="H1322" s="38" t="s">
        <v>19</v>
      </c>
      <c r="I1322" s="4" t="str">
        <f t="shared" si="111"/>
        <v>imp</v>
      </c>
      <c r="J1322" s="38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37">
        <v>1</v>
      </c>
    </row>
    <row r="1323" spans="4:22" x14ac:dyDescent="0.45">
      <c r="D1323" s="17" t="str">
        <f>[1]Mitigation!D15063</f>
        <v>Electricity, residential - VAT rate</v>
      </c>
      <c r="E1323" s="17" t="str">
        <f>[1]Mitigation!H15063</f>
        <v>irn.mit.vatrate.res.ecy.t.1</v>
      </c>
      <c r="F1323" s="4" t="str">
        <f t="shared" si="109"/>
        <v>N/A</v>
      </c>
      <c r="G1323" s="4" t="str">
        <f t="shared" si="110"/>
        <v>irn.mit.vat_.all.all.all.all.1</v>
      </c>
      <c r="H1323" s="38" t="s">
        <v>19</v>
      </c>
      <c r="I1323" s="4" t="str">
        <f t="shared" si="111"/>
        <v>vat</v>
      </c>
      <c r="J1323" s="38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37">
        <v>1</v>
      </c>
    </row>
    <row r="1324" spans="4:22" x14ac:dyDescent="0.45">
      <c r="D1324" s="17" t="str">
        <f>[1]Mitigation!D15067</f>
        <v>Electricity, residential - efficient price</v>
      </c>
      <c r="E1324" s="17" t="str">
        <f>[1]Mitigation!H15067</f>
        <v>irn.mit.effprice.ecy.res.1</v>
      </c>
      <c r="F1324" s="4" t="str">
        <f t="shared" si="109"/>
        <v>N/A</v>
      </c>
      <c r="G1324" s="4" t="str">
        <f t="shared" si="110"/>
        <v>irn.mit.eff_.all.all.all.all.1</v>
      </c>
      <c r="H1324" s="38" t="s">
        <v>19</v>
      </c>
      <c r="I1324" s="4" t="str">
        <f t="shared" si="111"/>
        <v>eff</v>
      </c>
      <c r="J1324" s="38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37">
        <v>1</v>
      </c>
    </row>
    <row r="1325" spans="4:22" x14ac:dyDescent="0.45">
      <c r="D1325" s="17" t="str">
        <f>[1]Mitigation!D15069</f>
        <v>Electricity, residential - consumption</v>
      </c>
      <c r="E1325" s="17" t="str">
        <f>[1]Mitigation!H15069</f>
        <v>irn.mit.con.ecy.res.1</v>
      </c>
      <c r="F1325" s="4" t="str">
        <f t="shared" si="109"/>
        <v>N/A</v>
      </c>
      <c r="G1325" s="4" t="str">
        <f t="shared" si="110"/>
        <v>irn.mit.con_.all.all.all.all.1</v>
      </c>
      <c r="H1325" s="38" t="s">
        <v>19</v>
      </c>
      <c r="I1325" s="4" t="str">
        <f t="shared" si="111"/>
        <v>con</v>
      </c>
      <c r="J1325" s="38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37">
        <v>1</v>
      </c>
    </row>
    <row r="1326" spans="4:22" x14ac:dyDescent="0.45">
      <c r="D1326" s="17" t="str">
        <f>[1]Mitigation!D15070</f>
        <v>Electricity, residential - explicit subsidy</v>
      </c>
      <c r="E1326" s="17" t="str">
        <f>[1]Mitigation!H15070</f>
        <v>irn.mit.expsub.con.ecy.res.1</v>
      </c>
      <c r="F1326" s="4" t="str">
        <f t="shared" si="109"/>
        <v>N/A</v>
      </c>
      <c r="G1326" s="4" t="str">
        <f t="shared" si="110"/>
        <v>irn.mit.exp_.all.all.all.all.1</v>
      </c>
      <c r="H1326" s="38" t="s">
        <v>19</v>
      </c>
      <c r="I1326" s="4" t="str">
        <f t="shared" si="111"/>
        <v>exp</v>
      </c>
      <c r="J1326" s="38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37">
        <v>1</v>
      </c>
    </row>
    <row r="1327" spans="4:22" x14ac:dyDescent="0.45">
      <c r="D1327" s="17" t="str">
        <f>[1]Mitigation!D15071</f>
        <v>Electricity, residential - implicit subsidy</v>
      </c>
      <c r="E1327" s="17" t="str">
        <f>[1]Mitigation!H15071</f>
        <v>irn.mit.impsub.con.ecy.res.1</v>
      </c>
      <c r="F1327" s="4" t="str">
        <f t="shared" si="109"/>
        <v>N/A</v>
      </c>
      <c r="G1327" s="4" t="str">
        <f t="shared" si="110"/>
        <v>irn.mit.imp_.all.all.all.all.1</v>
      </c>
      <c r="H1327" s="38" t="s">
        <v>19</v>
      </c>
      <c r="I1327" s="4" t="str">
        <f t="shared" si="111"/>
        <v>imp</v>
      </c>
      <c r="J1327" s="38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37">
        <v>1</v>
      </c>
    </row>
    <row r="1328" spans="4:22" x14ac:dyDescent="0.45">
      <c r="D1328" s="17" t="str">
        <f>[1]Mitigation!D15073</f>
        <v>Electricity, other - supply cost</v>
      </c>
      <c r="E1328" s="17" t="str">
        <f>[1]Mitigation!H15073</f>
        <v>irn.mit.supcost.ecy.other.1</v>
      </c>
      <c r="F1328" s="4" t="str">
        <f t="shared" si="109"/>
        <v>N/A</v>
      </c>
      <c r="G1328" s="4" t="str">
        <f t="shared" si="110"/>
        <v>irn.mit.sup_.all.all.all.all.1</v>
      </c>
      <c r="H1328" s="38" t="s">
        <v>19</v>
      </c>
      <c r="I1328" s="4" t="str">
        <f t="shared" si="111"/>
        <v>sup</v>
      </c>
      <c r="J1328" s="38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37">
        <v>1</v>
      </c>
    </row>
    <row r="1329" spans="4:22" x14ac:dyDescent="0.45">
      <c r="D1329" s="17" t="str">
        <f>[1]Mitigation!D15074</f>
        <v>Electricity, other - externalities</v>
      </c>
      <c r="E1329" s="17" t="str">
        <f>[1]Mitigation!H15074</f>
        <v>irn.mit.extcost.ecy.other.1</v>
      </c>
      <c r="F1329" s="4" t="str">
        <f t="shared" si="109"/>
        <v>N/A</v>
      </c>
      <c r="G1329" s="4" t="str">
        <f t="shared" si="110"/>
        <v>irn.mit.ext_.all.all.all.all.1</v>
      </c>
      <c r="H1329" s="38" t="s">
        <v>19</v>
      </c>
      <c r="I1329" s="4" t="str">
        <f t="shared" si="111"/>
        <v>ext</v>
      </c>
      <c r="J1329" s="38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37">
        <v>1</v>
      </c>
    </row>
    <row r="1330" spans="4:22" x14ac:dyDescent="0.45">
      <c r="D1330" s="17" t="str">
        <f>[1]Mitigation!D15075</f>
        <v>Electricity, other - VAT</v>
      </c>
      <c r="E1330" s="17" t="str">
        <f>[1]Mitigation!H15075</f>
        <v>irn.mit.vatext.ecy.other.1</v>
      </c>
      <c r="F1330" s="4" t="str">
        <f t="shared" si="109"/>
        <v>N/A</v>
      </c>
      <c r="G1330" s="4" t="str">
        <f t="shared" si="110"/>
        <v>irn.mit.vat_.all.all.all.all.1</v>
      </c>
      <c r="H1330" s="38" t="s">
        <v>19</v>
      </c>
      <c r="I1330" s="4" t="str">
        <f t="shared" si="111"/>
        <v>vat</v>
      </c>
      <c r="J1330" s="38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37">
        <v>1</v>
      </c>
    </row>
    <row r="1331" spans="4:22" x14ac:dyDescent="0.45">
      <c r="D1331" s="17" t="str">
        <f>[1]Mitigation!D15076</f>
        <v>Electricity, other - efficient price</v>
      </c>
      <c r="E1331" s="17" t="str">
        <f>[1]Mitigation!H15076</f>
        <v>irn.mit.effprice.ecy.other.1</v>
      </c>
      <c r="F1331" s="4" t="str">
        <f t="shared" si="109"/>
        <v>N/A</v>
      </c>
      <c r="G1331" s="4" t="str">
        <f t="shared" si="110"/>
        <v>irn.mit.eff_.all.all.all.all.1</v>
      </c>
      <c r="H1331" s="38" t="s">
        <v>19</v>
      </c>
      <c r="I1331" s="4" t="str">
        <f t="shared" si="111"/>
        <v>eff</v>
      </c>
      <c r="J1331" s="38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37">
        <v>1</v>
      </c>
    </row>
    <row r="1332" spans="4:22" x14ac:dyDescent="0.45">
      <c r="D1332" s="17" t="str">
        <f>[1]Mitigation!D15077</f>
        <v>Electricity, other - retail price, baseline</v>
      </c>
      <c r="E1332" s="17" t="str">
        <f>[1]Mitigation!H15077</f>
        <v>irn.mit.rp.ecy.other.1</v>
      </c>
      <c r="F1332" s="4" t="str">
        <f t="shared" si="109"/>
        <v>N/A</v>
      </c>
      <c r="G1332" s="4" t="str">
        <f t="shared" si="110"/>
        <v>irn.mit.rp._.all.all.all.all.1</v>
      </c>
      <c r="H1332" s="38" t="s">
        <v>19</v>
      </c>
      <c r="I1332" s="4" t="str">
        <f t="shared" si="111"/>
        <v>rp.</v>
      </c>
      <c r="J1332" s="38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37">
        <v>1</v>
      </c>
    </row>
    <row r="1333" spans="4:22" x14ac:dyDescent="0.45">
      <c r="D1333" s="17" t="str">
        <f>[1]Mitigation!D15078</f>
        <v>Electricity, other - consumption</v>
      </c>
      <c r="E1333" s="17" t="str">
        <f>[1]Mitigation!H15078</f>
        <v>irn.mit.con.ecy.other.1</v>
      </c>
      <c r="F1333" s="4" t="str">
        <f t="shared" si="109"/>
        <v>N/A</v>
      </c>
      <c r="G1333" s="4" t="str">
        <f t="shared" si="110"/>
        <v>irn.mit.con_.all.all.all.all.1</v>
      </c>
      <c r="H1333" s="38" t="s">
        <v>19</v>
      </c>
      <c r="I1333" s="4" t="str">
        <f t="shared" si="111"/>
        <v>con</v>
      </c>
      <c r="J1333" s="38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37">
        <v>1</v>
      </c>
    </row>
    <row r="1334" spans="4:22" x14ac:dyDescent="0.45">
      <c r="D1334" s="17" t="str">
        <f>[1]Mitigation!D15079</f>
        <v>Electricity, other - explicit subsidy</v>
      </c>
      <c r="E1334" s="17" t="str">
        <f>[1]Mitigation!H15079</f>
        <v>irn.mit.expsub.con.ecy.other.1</v>
      </c>
      <c r="F1334" s="4" t="str">
        <f t="shared" si="109"/>
        <v>N/A</v>
      </c>
      <c r="G1334" s="4" t="str">
        <f t="shared" si="110"/>
        <v>irn.mit.exp_.all.all.all.all.1</v>
      </c>
      <c r="H1334" s="38" t="s">
        <v>19</v>
      </c>
      <c r="I1334" s="4" t="str">
        <f t="shared" si="111"/>
        <v>exp</v>
      </c>
      <c r="J1334" s="38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37">
        <v>1</v>
      </c>
    </row>
    <row r="1335" spans="4:22" x14ac:dyDescent="0.45">
      <c r="D1335" s="17" t="str">
        <f>[1]Mitigation!D15080</f>
        <v>Electricity, other - implicit subsidy</v>
      </c>
      <c r="E1335" s="17" t="str">
        <f>[1]Mitigation!H15080</f>
        <v>irn.mit.impsub.con.ecy.other.1</v>
      </c>
      <c r="F1335" s="4" t="str">
        <f t="shared" si="109"/>
        <v>N/A</v>
      </c>
      <c r="G1335" s="4" t="str">
        <f t="shared" si="110"/>
        <v>irn.mit.imp_.all.all.all.all.1</v>
      </c>
      <c r="H1335" s="38" t="s">
        <v>19</v>
      </c>
      <c r="I1335" s="4" t="str">
        <f t="shared" si="111"/>
        <v>imp</v>
      </c>
      <c r="J1335" s="38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37">
        <v>1</v>
      </c>
    </row>
    <row r="1336" spans="4:22" x14ac:dyDescent="0.45">
      <c r="D1336" s="17" t="str">
        <f>[1]Mitigation!D15082</f>
        <v>Total - explicit subsidy</v>
      </c>
      <c r="E1336" s="17" t="str">
        <f>[1]Mitigation!H15082</f>
        <v>irn.mit.expsub.con.all.all.1</v>
      </c>
      <c r="F1336" s="4" t="str">
        <f t="shared" si="109"/>
        <v>N/A</v>
      </c>
      <c r="G1336" s="4" t="str">
        <f t="shared" si="110"/>
        <v>irn.mit.exp_.all.all.all.all.1</v>
      </c>
      <c r="H1336" s="38" t="s">
        <v>19</v>
      </c>
      <c r="I1336" s="4" t="str">
        <f t="shared" si="111"/>
        <v>exp</v>
      </c>
      <c r="J1336" s="38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37">
        <v>1</v>
      </c>
    </row>
    <row r="1337" spans="4:22" x14ac:dyDescent="0.45">
      <c r="D1337" s="17" t="str">
        <f>[1]Mitigation!D15083</f>
        <v>Total - implicit subsidy</v>
      </c>
      <c r="E1337" s="17" t="str">
        <f>[1]Mitigation!H15083</f>
        <v>irn.mit.impsub.con.all.all.1</v>
      </c>
      <c r="F1337" s="4" t="str">
        <f t="shared" si="109"/>
        <v>N/A</v>
      </c>
      <c r="G1337" s="4" t="str">
        <f t="shared" si="110"/>
        <v>irn.mit.imp_.all.all.all.all.1</v>
      </c>
      <c r="H1337" s="38" t="s">
        <v>19</v>
      </c>
      <c r="I1337" s="4" t="str">
        <f t="shared" si="111"/>
        <v>imp</v>
      </c>
      <c r="J1337" s="38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37">
        <v>1</v>
      </c>
    </row>
    <row r="1338" spans="4:22" x14ac:dyDescent="0.45">
      <c r="D1338" s="17" t="str">
        <f>[1]Mitigation!D15084</f>
        <v>Total - explicit subsidy</v>
      </c>
      <c r="E1338" s="17" t="str">
        <f>[1]Mitigation!H15084</f>
        <v>irn.mit.expsubgdp.con.all.all.1</v>
      </c>
      <c r="F1338" s="4" t="str">
        <f t="shared" si="109"/>
        <v>N/A</v>
      </c>
      <c r="G1338" s="4" t="str">
        <f t="shared" si="110"/>
        <v>irn.mit.exp_.all.all.all.all.1</v>
      </c>
      <c r="H1338" s="38" t="s">
        <v>19</v>
      </c>
      <c r="I1338" s="4" t="str">
        <f t="shared" si="111"/>
        <v>exp</v>
      </c>
      <c r="J1338" s="38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37">
        <v>1</v>
      </c>
    </row>
    <row r="1339" spans="4:22" x14ac:dyDescent="0.45">
      <c r="D1339" s="17" t="str">
        <f>[1]Mitigation!D15085</f>
        <v>Total - implicit subsidy</v>
      </c>
      <c r="E1339" s="17" t="str">
        <f>[1]Mitigation!H15085</f>
        <v>irn.mit.impsubgdp.con.all.all.1</v>
      </c>
      <c r="F1339" s="4"/>
      <c r="G1339" s="4" t="str">
        <f t="shared" si="110"/>
        <v>irn.mit.imp_.all.all.all.all.1</v>
      </c>
      <c r="H1339" s="38" t="s">
        <v>19</v>
      </c>
      <c r="I1339" s="4" t="str">
        <f t="shared" si="111"/>
        <v>imp</v>
      </c>
      <c r="J1339" s="38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37">
        <v>1</v>
      </c>
    </row>
    <row r="1340" spans="4:22" x14ac:dyDescent="0.45">
      <c r="D1340" s="2"/>
      <c r="E1340" s="2"/>
      <c r="F1340" s="2"/>
      <c r="G1340" s="2"/>
      <c r="H1340" s="2" t="s">
        <v>18</v>
      </c>
      <c r="I1340" s="2"/>
      <c r="J1340" s="2" t="s">
        <v>18</v>
      </c>
      <c r="K1340" s="2"/>
      <c r="L1340" s="2"/>
      <c r="M1340" s="2"/>
      <c r="N1340" s="2"/>
      <c r="O1340" s="2"/>
      <c r="P1340" s="2" t="str">
        <f>L1340&amp;IF(N1340="",M1340,N1340)&amp;O1340</f>
        <v/>
      </c>
      <c r="Q1340" s="2"/>
      <c r="R1340" s="2"/>
      <c r="S1340" s="2"/>
      <c r="T1340" s="2"/>
      <c r="U1340" s="2" t="str">
        <f>R1340&amp;T1340&amp;S1340</f>
        <v/>
      </c>
      <c r="V1340" s="3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E2DD-D6C2-4110-8B8E-0FCDDEB7BB75}">
  <dimension ref="D4:V1340"/>
  <sheetViews>
    <sheetView workbookViewId="0">
      <selection activeCell="B13" sqref="B13"/>
    </sheetView>
  </sheetViews>
  <sheetFormatPr defaultRowHeight="14.25" x14ac:dyDescent="0.45"/>
  <cols>
    <col min="4" max="4" width="90.19921875" bestFit="1" customWidth="1"/>
    <col min="5" max="5" width="27.6640625" bestFit="1" customWidth="1"/>
  </cols>
  <sheetData>
    <row r="4" spans="4:22" x14ac:dyDescent="0.45">
      <c r="D4" t="s">
        <v>336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</row>
    <row r="5" spans="4:22" x14ac:dyDescent="0.45">
      <c r="G5" t="s">
        <v>18</v>
      </c>
      <c r="J5" t="s">
        <v>18</v>
      </c>
      <c r="P5" t="s">
        <v>18</v>
      </c>
      <c r="U5" t="s">
        <v>18</v>
      </c>
    </row>
    <row r="6" spans="4:22" x14ac:dyDescent="0.45">
      <c r="D6" t="s">
        <v>337</v>
      </c>
      <c r="E6" t="s">
        <v>1357</v>
      </c>
      <c r="F6" t="s">
        <v>290</v>
      </c>
      <c r="G6" t="s">
        <v>1358</v>
      </c>
      <c r="H6" t="s">
        <v>19</v>
      </c>
      <c r="I6" t="s">
        <v>20</v>
      </c>
      <c r="J6" t="s">
        <v>18</v>
      </c>
      <c r="K6" t="s">
        <v>21</v>
      </c>
      <c r="P6" t="s">
        <v>18</v>
      </c>
      <c r="U6" t="s">
        <v>18</v>
      </c>
      <c r="V6" t="s">
        <v>22</v>
      </c>
    </row>
    <row r="7" spans="4:22" x14ac:dyDescent="0.45">
      <c r="D7" t="s">
        <v>338</v>
      </c>
      <c r="E7" t="s">
        <v>1359</v>
      </c>
      <c r="F7" t="s">
        <v>290</v>
      </c>
      <c r="G7" t="s">
        <v>1360</v>
      </c>
      <c r="H7" t="s">
        <v>19</v>
      </c>
      <c r="I7" t="s">
        <v>23</v>
      </c>
      <c r="J7" t="s">
        <v>18</v>
      </c>
      <c r="K7" t="s">
        <v>24</v>
      </c>
      <c r="P7" t="s">
        <v>18</v>
      </c>
      <c r="U7" t="s">
        <v>18</v>
      </c>
      <c r="V7" t="s">
        <v>22</v>
      </c>
    </row>
    <row r="8" spans="4:22" x14ac:dyDescent="0.45">
      <c r="D8" t="s">
        <v>339</v>
      </c>
      <c r="E8" t="s">
        <v>1361</v>
      </c>
      <c r="F8" t="s">
        <v>290</v>
      </c>
      <c r="G8" t="s">
        <v>1362</v>
      </c>
      <c r="H8" t="s">
        <v>19</v>
      </c>
      <c r="I8" t="s">
        <v>25</v>
      </c>
      <c r="J8" t="s">
        <v>18</v>
      </c>
      <c r="K8" t="s">
        <v>24</v>
      </c>
      <c r="P8" t="s">
        <v>18</v>
      </c>
      <c r="U8" t="s">
        <v>18</v>
      </c>
      <c r="V8" t="s">
        <v>22</v>
      </c>
    </row>
    <row r="9" spans="4:22" x14ac:dyDescent="0.45">
      <c r="D9" t="s">
        <v>340</v>
      </c>
      <c r="E9" t="s">
        <v>1363</v>
      </c>
      <c r="F9" t="s">
        <v>290</v>
      </c>
      <c r="G9" t="s">
        <v>1364</v>
      </c>
      <c r="H9" t="s">
        <v>19</v>
      </c>
      <c r="I9" t="s">
        <v>20</v>
      </c>
      <c r="J9" t="s">
        <v>18</v>
      </c>
      <c r="K9" t="s">
        <v>21</v>
      </c>
      <c r="P9" t="s">
        <v>18</v>
      </c>
      <c r="Q9" t="s">
        <v>26</v>
      </c>
      <c r="U9" t="s">
        <v>18</v>
      </c>
      <c r="V9" t="s">
        <v>22</v>
      </c>
    </row>
    <row r="10" spans="4:22" x14ac:dyDescent="0.45">
      <c r="D10" t="s">
        <v>341</v>
      </c>
      <c r="E10" t="s">
        <v>1365</v>
      </c>
      <c r="F10" t="s">
        <v>290</v>
      </c>
      <c r="G10" t="s">
        <v>1366</v>
      </c>
      <c r="H10" t="s">
        <v>19</v>
      </c>
      <c r="I10" t="s">
        <v>20</v>
      </c>
      <c r="J10" t="s">
        <v>18</v>
      </c>
      <c r="K10" t="s">
        <v>21</v>
      </c>
      <c r="P10" t="s">
        <v>18</v>
      </c>
      <c r="Q10" t="s">
        <v>27</v>
      </c>
      <c r="U10" t="s">
        <v>18</v>
      </c>
      <c r="V10" t="s">
        <v>22</v>
      </c>
    </row>
    <row r="11" spans="4:22" x14ac:dyDescent="0.45">
      <c r="D11" t="s">
        <v>342</v>
      </c>
      <c r="E11" t="s">
        <v>1367</v>
      </c>
      <c r="F11" t="s">
        <v>290</v>
      </c>
      <c r="G11" t="s">
        <v>1368</v>
      </c>
      <c r="H11" t="s">
        <v>19</v>
      </c>
      <c r="I11" t="s">
        <v>20</v>
      </c>
      <c r="J11" t="s">
        <v>18</v>
      </c>
      <c r="K11" t="s">
        <v>21</v>
      </c>
      <c r="P11" t="s">
        <v>18</v>
      </c>
      <c r="Q11" t="s">
        <v>28</v>
      </c>
      <c r="U11" t="s">
        <v>18</v>
      </c>
      <c r="V11" t="s">
        <v>22</v>
      </c>
    </row>
    <row r="12" spans="4:22" x14ac:dyDescent="0.45">
      <c r="D12" t="s">
        <v>343</v>
      </c>
      <c r="E12" t="s">
        <v>1369</v>
      </c>
      <c r="F12" t="s">
        <v>290</v>
      </c>
      <c r="G12" t="s">
        <v>1370</v>
      </c>
      <c r="H12" t="s">
        <v>19</v>
      </c>
      <c r="I12" t="s">
        <v>20</v>
      </c>
      <c r="J12" t="s">
        <v>18</v>
      </c>
      <c r="K12" t="s">
        <v>21</v>
      </c>
      <c r="P12" t="s">
        <v>18</v>
      </c>
      <c r="Q12" t="s">
        <v>29</v>
      </c>
      <c r="U12" t="s">
        <v>18</v>
      </c>
      <c r="V12" t="s">
        <v>22</v>
      </c>
    </row>
    <row r="13" spans="4:22" x14ac:dyDescent="0.45">
      <c r="D13" t="s">
        <v>344</v>
      </c>
      <c r="E13" t="s">
        <v>1371</v>
      </c>
      <c r="F13" t="s">
        <v>290</v>
      </c>
      <c r="G13" t="s">
        <v>1372</v>
      </c>
      <c r="H13" t="s">
        <v>19</v>
      </c>
      <c r="I13" t="s">
        <v>20</v>
      </c>
      <c r="J13" t="s">
        <v>18</v>
      </c>
      <c r="K13" t="s">
        <v>21</v>
      </c>
      <c r="P13" t="s">
        <v>18</v>
      </c>
      <c r="Q13" t="s">
        <v>30</v>
      </c>
      <c r="U13" t="s">
        <v>18</v>
      </c>
      <c r="V13" t="s">
        <v>22</v>
      </c>
    </row>
    <row r="14" spans="4:22" x14ac:dyDescent="0.45">
      <c r="G14" t="s">
        <v>18</v>
      </c>
      <c r="H14" t="s">
        <v>18</v>
      </c>
      <c r="J14" t="s">
        <v>18</v>
      </c>
      <c r="P14" t="s">
        <v>18</v>
      </c>
      <c r="U14" t="s">
        <v>18</v>
      </c>
      <c r="V14" t="s">
        <v>18</v>
      </c>
    </row>
    <row r="15" spans="4:22" x14ac:dyDescent="0.45">
      <c r="D15" t="s">
        <v>345</v>
      </c>
      <c r="E15" t="s">
        <v>1373</v>
      </c>
      <c r="F15" t="s">
        <v>290</v>
      </c>
      <c r="G15" t="s">
        <v>1374</v>
      </c>
      <c r="H15" t="s">
        <v>19</v>
      </c>
      <c r="I15" t="s">
        <v>31</v>
      </c>
      <c r="J15" t="s">
        <v>18</v>
      </c>
      <c r="K15" t="s">
        <v>21</v>
      </c>
      <c r="P15" t="s">
        <v>18</v>
      </c>
      <c r="T15" t="s">
        <v>32</v>
      </c>
      <c r="U15" t="s">
        <v>32</v>
      </c>
      <c r="V15" t="s">
        <v>22</v>
      </c>
    </row>
    <row r="16" spans="4:22" x14ac:dyDescent="0.45">
      <c r="D16" t="s">
        <v>1375</v>
      </c>
      <c r="E16" t="s">
        <v>1376</v>
      </c>
      <c r="F16" t="s">
        <v>290</v>
      </c>
      <c r="G16" t="s">
        <v>1377</v>
      </c>
      <c r="H16" t="s">
        <v>19</v>
      </c>
      <c r="I16" t="s">
        <v>31</v>
      </c>
      <c r="J16" t="s">
        <v>18</v>
      </c>
      <c r="K16" t="s">
        <v>21</v>
      </c>
      <c r="P16" t="s">
        <v>18</v>
      </c>
      <c r="T16" t="s">
        <v>33</v>
      </c>
      <c r="U16" t="s">
        <v>33</v>
      </c>
      <c r="V16" t="s">
        <v>22</v>
      </c>
    </row>
    <row r="17" spans="4:22" x14ac:dyDescent="0.45">
      <c r="D17" t="s">
        <v>346</v>
      </c>
      <c r="E17" t="s">
        <v>1378</v>
      </c>
      <c r="F17" t="s">
        <v>290</v>
      </c>
      <c r="G17" t="s">
        <v>1379</v>
      </c>
      <c r="H17" t="s">
        <v>19</v>
      </c>
      <c r="I17" t="s">
        <v>31</v>
      </c>
      <c r="J17" t="s">
        <v>18</v>
      </c>
      <c r="K17" t="s">
        <v>21</v>
      </c>
      <c r="P17" t="s">
        <v>18</v>
      </c>
      <c r="T17" t="s">
        <v>34</v>
      </c>
      <c r="U17" t="s">
        <v>34</v>
      </c>
      <c r="V17" t="s">
        <v>22</v>
      </c>
    </row>
    <row r="18" spans="4:22" x14ac:dyDescent="0.45">
      <c r="D18" t="s">
        <v>347</v>
      </c>
      <c r="E18" t="s">
        <v>1380</v>
      </c>
      <c r="F18" t="s">
        <v>290</v>
      </c>
      <c r="G18" t="s">
        <v>1381</v>
      </c>
      <c r="H18" t="s">
        <v>19</v>
      </c>
      <c r="I18" t="s">
        <v>31</v>
      </c>
      <c r="J18" t="s">
        <v>18</v>
      </c>
      <c r="K18" t="s">
        <v>21</v>
      </c>
      <c r="P18" t="s">
        <v>18</v>
      </c>
      <c r="T18" t="s">
        <v>35</v>
      </c>
      <c r="U18" t="s">
        <v>35</v>
      </c>
      <c r="V18" t="s">
        <v>22</v>
      </c>
    </row>
    <row r="19" spans="4:22" x14ac:dyDescent="0.45">
      <c r="D19" t="s">
        <v>348</v>
      </c>
      <c r="E19" t="s">
        <v>1382</v>
      </c>
      <c r="F19" t="s">
        <v>290</v>
      </c>
      <c r="G19" t="s">
        <v>1383</v>
      </c>
      <c r="H19" t="s">
        <v>19</v>
      </c>
      <c r="I19" t="s">
        <v>31</v>
      </c>
      <c r="J19" t="s">
        <v>18</v>
      </c>
      <c r="K19" t="s">
        <v>21</v>
      </c>
      <c r="P19" t="s">
        <v>18</v>
      </c>
      <c r="T19" t="s">
        <v>36</v>
      </c>
      <c r="U19" t="s">
        <v>36</v>
      </c>
      <c r="V19" t="s">
        <v>22</v>
      </c>
    </row>
    <row r="20" spans="4:22" x14ac:dyDescent="0.45">
      <c r="D20" t="s">
        <v>349</v>
      </c>
      <c r="E20" t="s">
        <v>1384</v>
      </c>
      <c r="F20" t="s">
        <v>290</v>
      </c>
      <c r="G20" t="s">
        <v>1385</v>
      </c>
      <c r="H20" t="s">
        <v>19</v>
      </c>
      <c r="I20" t="s">
        <v>31</v>
      </c>
      <c r="J20" t="s">
        <v>18</v>
      </c>
      <c r="K20" t="s">
        <v>21</v>
      </c>
      <c r="P20" t="s">
        <v>18</v>
      </c>
      <c r="T20" t="s">
        <v>27</v>
      </c>
      <c r="U20" t="s">
        <v>27</v>
      </c>
      <c r="V20" t="s">
        <v>22</v>
      </c>
    </row>
    <row r="21" spans="4:22" x14ac:dyDescent="0.45">
      <c r="D21" t="s">
        <v>350</v>
      </c>
      <c r="E21" t="s">
        <v>1386</v>
      </c>
      <c r="F21" t="s">
        <v>290</v>
      </c>
      <c r="G21" t="s">
        <v>1387</v>
      </c>
      <c r="H21" t="s">
        <v>19</v>
      </c>
      <c r="I21" t="s">
        <v>31</v>
      </c>
      <c r="J21" t="s">
        <v>18</v>
      </c>
      <c r="K21" t="s">
        <v>21</v>
      </c>
      <c r="P21" t="s">
        <v>18</v>
      </c>
      <c r="T21" t="s">
        <v>37</v>
      </c>
      <c r="U21" t="s">
        <v>37</v>
      </c>
      <c r="V21" t="s">
        <v>22</v>
      </c>
    </row>
    <row r="22" spans="4:22" x14ac:dyDescent="0.45">
      <c r="D22" t="s">
        <v>1388</v>
      </c>
      <c r="E22" t="s">
        <v>1389</v>
      </c>
      <c r="F22" t="s">
        <v>290</v>
      </c>
      <c r="G22" t="s">
        <v>1390</v>
      </c>
      <c r="H22" t="s">
        <v>19</v>
      </c>
      <c r="I22" t="s">
        <v>38</v>
      </c>
      <c r="J22" t="s">
        <v>18</v>
      </c>
      <c r="K22" t="s">
        <v>39</v>
      </c>
      <c r="P22" t="s">
        <v>18</v>
      </c>
      <c r="U22" t="s">
        <v>18</v>
      </c>
      <c r="V22" t="s">
        <v>40</v>
      </c>
    </row>
    <row r="23" spans="4:22" x14ac:dyDescent="0.45">
      <c r="D23" t="s">
        <v>1391</v>
      </c>
      <c r="E23" t="s">
        <v>1392</v>
      </c>
      <c r="F23" t="s">
        <v>290</v>
      </c>
      <c r="G23" t="s">
        <v>1393</v>
      </c>
      <c r="H23" t="s">
        <v>19</v>
      </c>
      <c r="I23" t="s">
        <v>38</v>
      </c>
      <c r="J23" t="s">
        <v>18</v>
      </c>
      <c r="K23" t="s">
        <v>39</v>
      </c>
      <c r="P23" t="s">
        <v>18</v>
      </c>
      <c r="U23" t="s">
        <v>18</v>
      </c>
      <c r="V23" t="s">
        <v>22</v>
      </c>
    </row>
    <row r="24" spans="4:22" x14ac:dyDescent="0.45">
      <c r="D24" t="s">
        <v>351</v>
      </c>
      <c r="E24" t="s">
        <v>1394</v>
      </c>
      <c r="F24" t="s">
        <v>290</v>
      </c>
      <c r="G24" t="s">
        <v>1395</v>
      </c>
      <c r="H24" t="s">
        <v>19</v>
      </c>
      <c r="I24" t="s">
        <v>38</v>
      </c>
      <c r="J24" t="s">
        <v>18</v>
      </c>
      <c r="K24" t="s">
        <v>21</v>
      </c>
      <c r="P24" t="s">
        <v>18</v>
      </c>
      <c r="U24" t="s">
        <v>18</v>
      </c>
      <c r="V24" t="s">
        <v>40</v>
      </c>
    </row>
    <row r="25" spans="4:22" x14ac:dyDescent="0.45">
      <c r="D25" t="s">
        <v>352</v>
      </c>
      <c r="E25" t="s">
        <v>1396</v>
      </c>
      <c r="F25" t="s">
        <v>290</v>
      </c>
      <c r="G25" t="s">
        <v>1397</v>
      </c>
      <c r="H25" t="s">
        <v>19</v>
      </c>
      <c r="I25" t="s">
        <v>38</v>
      </c>
      <c r="J25" t="s">
        <v>18</v>
      </c>
      <c r="K25" t="s">
        <v>21</v>
      </c>
      <c r="P25" t="s">
        <v>18</v>
      </c>
      <c r="U25" t="s">
        <v>18</v>
      </c>
      <c r="V25" t="s">
        <v>22</v>
      </c>
    </row>
    <row r="26" spans="4:22" x14ac:dyDescent="0.45">
      <c r="D26" t="s">
        <v>353</v>
      </c>
      <c r="E26" t="s">
        <v>1398</v>
      </c>
      <c r="F26" t="s">
        <v>290</v>
      </c>
      <c r="V26" t="s">
        <v>22</v>
      </c>
    </row>
    <row r="27" spans="4:22" x14ac:dyDescent="0.45">
      <c r="D27" t="s">
        <v>354</v>
      </c>
      <c r="E27" t="s">
        <v>1399</v>
      </c>
      <c r="F27" t="s">
        <v>290</v>
      </c>
      <c r="V27" t="s">
        <v>22</v>
      </c>
    </row>
    <row r="28" spans="4:22" x14ac:dyDescent="0.45">
      <c r="D28" t="s">
        <v>355</v>
      </c>
      <c r="E28" t="s">
        <v>1400</v>
      </c>
      <c r="F28" t="s">
        <v>290</v>
      </c>
      <c r="V28" t="s">
        <v>22</v>
      </c>
    </row>
    <row r="29" spans="4:22" x14ac:dyDescent="0.45">
      <c r="D29" t="s">
        <v>356</v>
      </c>
      <c r="E29" t="s">
        <v>1401</v>
      </c>
      <c r="F29" t="s">
        <v>290</v>
      </c>
      <c r="V29" t="s">
        <v>22</v>
      </c>
    </row>
    <row r="30" spans="4:22" x14ac:dyDescent="0.45">
      <c r="D30" t="s">
        <v>357</v>
      </c>
      <c r="E30" t="s">
        <v>1402</v>
      </c>
      <c r="F30" t="s">
        <v>290</v>
      </c>
      <c r="V30" t="s">
        <v>22</v>
      </c>
    </row>
    <row r="31" spans="4:22" x14ac:dyDescent="0.45">
      <c r="D31" t="s">
        <v>358</v>
      </c>
      <c r="E31" t="s">
        <v>1403</v>
      </c>
      <c r="F31" t="s">
        <v>290</v>
      </c>
      <c r="V31" t="s">
        <v>22</v>
      </c>
    </row>
    <row r="32" spans="4:22" x14ac:dyDescent="0.45">
      <c r="D32" t="s">
        <v>359</v>
      </c>
      <c r="E32" t="s">
        <v>1404</v>
      </c>
      <c r="F32" t="s">
        <v>290</v>
      </c>
      <c r="G32" t="s">
        <v>1405</v>
      </c>
      <c r="H32" t="s">
        <v>19</v>
      </c>
      <c r="I32" t="s">
        <v>41</v>
      </c>
      <c r="J32" t="s">
        <v>18</v>
      </c>
      <c r="K32" t="s">
        <v>42</v>
      </c>
      <c r="P32" t="s">
        <v>18</v>
      </c>
      <c r="U32" t="s">
        <v>18</v>
      </c>
      <c r="V32" t="s">
        <v>40</v>
      </c>
    </row>
    <row r="33" spans="4:22" x14ac:dyDescent="0.45">
      <c r="D33" t="s">
        <v>360</v>
      </c>
      <c r="E33" t="s">
        <v>1406</v>
      </c>
      <c r="F33" t="s">
        <v>290</v>
      </c>
      <c r="G33" t="s">
        <v>1407</v>
      </c>
      <c r="H33" t="s">
        <v>19</v>
      </c>
      <c r="I33" t="s">
        <v>31</v>
      </c>
      <c r="J33" t="s">
        <v>18</v>
      </c>
      <c r="K33" t="s">
        <v>39</v>
      </c>
      <c r="P33" t="s">
        <v>18</v>
      </c>
      <c r="U33" t="s">
        <v>18</v>
      </c>
      <c r="V33" t="s">
        <v>40</v>
      </c>
    </row>
    <row r="34" spans="4:22" x14ac:dyDescent="0.45">
      <c r="D34" t="s">
        <v>361</v>
      </c>
      <c r="E34" t="s">
        <v>1408</v>
      </c>
      <c r="F34" t="s">
        <v>290</v>
      </c>
      <c r="G34" t="s">
        <v>1409</v>
      </c>
      <c r="H34" t="s">
        <v>19</v>
      </c>
      <c r="I34" t="s">
        <v>31</v>
      </c>
      <c r="J34" t="s">
        <v>18</v>
      </c>
      <c r="K34" t="s">
        <v>39</v>
      </c>
      <c r="P34" t="s">
        <v>18</v>
      </c>
      <c r="U34" t="s">
        <v>18</v>
      </c>
      <c r="V34" t="s">
        <v>22</v>
      </c>
    </row>
    <row r="35" spans="4:22" x14ac:dyDescent="0.45">
      <c r="D35" t="s">
        <v>362</v>
      </c>
      <c r="E35" t="s">
        <v>1410</v>
      </c>
      <c r="F35" t="s">
        <v>290</v>
      </c>
      <c r="G35" t="s">
        <v>1411</v>
      </c>
      <c r="H35" t="s">
        <v>19</v>
      </c>
      <c r="I35" t="s">
        <v>43</v>
      </c>
      <c r="J35" t="s">
        <v>18</v>
      </c>
      <c r="K35" t="s">
        <v>44</v>
      </c>
      <c r="P35" t="s">
        <v>18</v>
      </c>
      <c r="U35" t="s">
        <v>18</v>
      </c>
      <c r="V35">
        <v>1</v>
      </c>
    </row>
    <row r="36" spans="4:22" x14ac:dyDescent="0.45">
      <c r="G36" t="s">
        <v>18</v>
      </c>
      <c r="H36" t="s">
        <v>18</v>
      </c>
      <c r="J36" t="s">
        <v>18</v>
      </c>
      <c r="P36" t="s">
        <v>18</v>
      </c>
      <c r="U36" t="s">
        <v>18</v>
      </c>
      <c r="V36" t="s">
        <v>18</v>
      </c>
    </row>
    <row r="37" spans="4:22" x14ac:dyDescent="0.45">
      <c r="D37" t="s">
        <v>363</v>
      </c>
      <c r="E37" t="s">
        <v>1412</v>
      </c>
      <c r="F37" t="s">
        <v>290</v>
      </c>
      <c r="G37" t="s">
        <v>1413</v>
      </c>
      <c r="H37" t="s">
        <v>19</v>
      </c>
      <c r="I37" t="s">
        <v>45</v>
      </c>
      <c r="J37" t="s">
        <v>46</v>
      </c>
      <c r="K37" t="s">
        <v>47</v>
      </c>
      <c r="L37" t="s">
        <v>48</v>
      </c>
      <c r="P37" t="s">
        <v>48</v>
      </c>
      <c r="S37" t="s">
        <v>49</v>
      </c>
      <c r="U37" t="s">
        <v>49</v>
      </c>
      <c r="V37" t="s">
        <v>40</v>
      </c>
    </row>
    <row r="38" spans="4:22" x14ac:dyDescent="0.45">
      <c r="D38" t="s">
        <v>364</v>
      </c>
      <c r="E38" t="s">
        <v>1414</v>
      </c>
      <c r="F38" t="s">
        <v>290</v>
      </c>
      <c r="G38" t="s">
        <v>1413</v>
      </c>
      <c r="H38" t="s">
        <v>19</v>
      </c>
      <c r="I38" t="s">
        <v>45</v>
      </c>
      <c r="J38" t="s">
        <v>46</v>
      </c>
      <c r="K38" t="s">
        <v>47</v>
      </c>
      <c r="L38" t="s">
        <v>50</v>
      </c>
      <c r="P38" t="s">
        <v>50</v>
      </c>
      <c r="S38" t="s">
        <v>49</v>
      </c>
      <c r="U38" t="s">
        <v>49</v>
      </c>
      <c r="V38" t="s">
        <v>40</v>
      </c>
    </row>
    <row r="39" spans="4:22" x14ac:dyDescent="0.45">
      <c r="D39" t="s">
        <v>365</v>
      </c>
      <c r="E39" t="s">
        <v>1415</v>
      </c>
      <c r="F39" t="s">
        <v>290</v>
      </c>
      <c r="G39" t="s">
        <v>1416</v>
      </c>
      <c r="H39" t="s">
        <v>19</v>
      </c>
      <c r="I39" t="s">
        <v>45</v>
      </c>
      <c r="J39" t="s">
        <v>51</v>
      </c>
      <c r="K39" t="s">
        <v>47</v>
      </c>
      <c r="L39" t="s">
        <v>52</v>
      </c>
      <c r="P39" t="s">
        <v>52</v>
      </c>
      <c r="S39" t="s">
        <v>49</v>
      </c>
      <c r="U39" t="s">
        <v>49</v>
      </c>
      <c r="V39" t="s">
        <v>40</v>
      </c>
    </row>
    <row r="40" spans="4:22" x14ac:dyDescent="0.45">
      <c r="D40" t="s">
        <v>366</v>
      </c>
      <c r="E40" t="s">
        <v>1417</v>
      </c>
      <c r="F40" t="s">
        <v>290</v>
      </c>
      <c r="G40" t="s">
        <v>1416</v>
      </c>
      <c r="H40" t="s">
        <v>19</v>
      </c>
      <c r="I40" t="s">
        <v>45</v>
      </c>
      <c r="J40" t="s">
        <v>51</v>
      </c>
      <c r="K40" t="s">
        <v>47</v>
      </c>
      <c r="L40" t="s">
        <v>53</v>
      </c>
      <c r="P40" t="s">
        <v>53</v>
      </c>
      <c r="S40" t="s">
        <v>49</v>
      </c>
      <c r="U40" t="s">
        <v>49</v>
      </c>
      <c r="V40" t="s">
        <v>40</v>
      </c>
    </row>
    <row r="41" spans="4:22" x14ac:dyDescent="0.45">
      <c r="D41" t="s">
        <v>367</v>
      </c>
      <c r="E41" t="s">
        <v>1418</v>
      </c>
      <c r="F41" t="s">
        <v>290</v>
      </c>
      <c r="G41" t="s">
        <v>1416</v>
      </c>
      <c r="H41" t="s">
        <v>19</v>
      </c>
      <c r="I41" t="s">
        <v>45</v>
      </c>
      <c r="J41" t="s">
        <v>51</v>
      </c>
      <c r="K41" t="s">
        <v>47</v>
      </c>
      <c r="L41" t="s">
        <v>54</v>
      </c>
      <c r="P41" t="s">
        <v>54</v>
      </c>
      <c r="S41" t="s">
        <v>49</v>
      </c>
      <c r="U41" t="s">
        <v>49</v>
      </c>
      <c r="V41" t="s">
        <v>40</v>
      </c>
    </row>
    <row r="42" spans="4:22" x14ac:dyDescent="0.45">
      <c r="D42" t="s">
        <v>368</v>
      </c>
      <c r="E42" t="s">
        <v>1419</v>
      </c>
      <c r="F42" t="s">
        <v>290</v>
      </c>
      <c r="G42" t="s">
        <v>1416</v>
      </c>
      <c r="H42" t="s">
        <v>19</v>
      </c>
      <c r="I42" t="s">
        <v>45</v>
      </c>
      <c r="J42" t="s">
        <v>51</v>
      </c>
      <c r="K42" t="s">
        <v>47</v>
      </c>
      <c r="L42" t="s">
        <v>55</v>
      </c>
      <c r="P42" t="s">
        <v>55</v>
      </c>
      <c r="S42" t="s">
        <v>49</v>
      </c>
      <c r="U42" t="s">
        <v>49</v>
      </c>
      <c r="V42" t="s">
        <v>40</v>
      </c>
    </row>
    <row r="43" spans="4:22" x14ac:dyDescent="0.45">
      <c r="D43" t="s">
        <v>369</v>
      </c>
      <c r="E43" t="s">
        <v>1420</v>
      </c>
      <c r="F43" t="s">
        <v>290</v>
      </c>
      <c r="G43" t="s">
        <v>1416</v>
      </c>
      <c r="H43" t="s">
        <v>19</v>
      </c>
      <c r="I43" t="s">
        <v>45</v>
      </c>
      <c r="J43" t="s">
        <v>51</v>
      </c>
      <c r="K43" t="s">
        <v>47</v>
      </c>
      <c r="L43" t="s">
        <v>56</v>
      </c>
      <c r="P43" t="s">
        <v>56</v>
      </c>
      <c r="S43" t="s">
        <v>49</v>
      </c>
      <c r="U43" t="s">
        <v>49</v>
      </c>
      <c r="V43" t="s">
        <v>40</v>
      </c>
    </row>
    <row r="44" spans="4:22" x14ac:dyDescent="0.45">
      <c r="D44" t="s">
        <v>370</v>
      </c>
      <c r="E44" t="s">
        <v>1421</v>
      </c>
      <c r="F44" t="s">
        <v>290</v>
      </c>
      <c r="G44" t="s">
        <v>1422</v>
      </c>
      <c r="H44" t="s">
        <v>19</v>
      </c>
      <c r="I44" t="s">
        <v>45</v>
      </c>
      <c r="J44" t="s">
        <v>46</v>
      </c>
      <c r="K44" t="s">
        <v>57</v>
      </c>
      <c r="L44" t="s">
        <v>37</v>
      </c>
      <c r="P44" t="s">
        <v>37</v>
      </c>
      <c r="S44" t="s">
        <v>58</v>
      </c>
      <c r="U44" t="s">
        <v>58</v>
      </c>
      <c r="V44" t="s">
        <v>40</v>
      </c>
    </row>
    <row r="45" spans="4:22" x14ac:dyDescent="0.45">
      <c r="D45" t="s">
        <v>371</v>
      </c>
      <c r="E45" t="s">
        <v>1423</v>
      </c>
      <c r="F45" t="s">
        <v>290</v>
      </c>
      <c r="G45" t="s">
        <v>1424</v>
      </c>
      <c r="H45" t="s">
        <v>19</v>
      </c>
      <c r="I45" t="s">
        <v>45</v>
      </c>
      <c r="J45" t="s">
        <v>51</v>
      </c>
      <c r="K45" t="s">
        <v>57</v>
      </c>
      <c r="L45" t="s">
        <v>52</v>
      </c>
      <c r="P45" t="s">
        <v>52</v>
      </c>
      <c r="S45" t="s">
        <v>58</v>
      </c>
      <c r="U45" t="s">
        <v>58</v>
      </c>
      <c r="V45" t="s">
        <v>40</v>
      </c>
    </row>
    <row r="46" spans="4:22" x14ac:dyDescent="0.45">
      <c r="D46" t="s">
        <v>372</v>
      </c>
      <c r="E46" t="s">
        <v>1425</v>
      </c>
      <c r="F46" t="s">
        <v>290</v>
      </c>
      <c r="G46" t="s">
        <v>1426</v>
      </c>
      <c r="H46" t="s">
        <v>19</v>
      </c>
      <c r="I46" t="s">
        <v>45</v>
      </c>
      <c r="J46" t="s">
        <v>59</v>
      </c>
      <c r="K46" t="s">
        <v>57</v>
      </c>
      <c r="P46" t="s">
        <v>18</v>
      </c>
      <c r="Q46" t="s">
        <v>60</v>
      </c>
      <c r="S46" t="s">
        <v>58</v>
      </c>
      <c r="U46" t="s">
        <v>58</v>
      </c>
      <c r="V46" t="s">
        <v>40</v>
      </c>
    </row>
    <row r="47" spans="4:22" x14ac:dyDescent="0.45">
      <c r="D47" t="s">
        <v>373</v>
      </c>
      <c r="E47" t="s">
        <v>1427</v>
      </c>
      <c r="F47" t="s">
        <v>290</v>
      </c>
      <c r="G47" t="s">
        <v>1428</v>
      </c>
      <c r="H47" t="s">
        <v>19</v>
      </c>
      <c r="I47" t="s">
        <v>45</v>
      </c>
      <c r="J47" t="s">
        <v>59</v>
      </c>
      <c r="K47" t="s">
        <v>57</v>
      </c>
      <c r="P47" t="s">
        <v>18</v>
      </c>
      <c r="Q47" t="s">
        <v>61</v>
      </c>
      <c r="S47" t="s">
        <v>58</v>
      </c>
      <c r="U47" t="s">
        <v>58</v>
      </c>
      <c r="V47" t="s">
        <v>40</v>
      </c>
    </row>
    <row r="48" spans="4:22" x14ac:dyDescent="0.45">
      <c r="D48" t="s">
        <v>374</v>
      </c>
      <c r="E48" t="s">
        <v>1429</v>
      </c>
      <c r="F48" t="s">
        <v>290</v>
      </c>
      <c r="G48" t="s">
        <v>1430</v>
      </c>
      <c r="H48" t="s">
        <v>19</v>
      </c>
      <c r="I48" t="s">
        <v>45</v>
      </c>
      <c r="J48" t="s">
        <v>59</v>
      </c>
      <c r="K48" t="s">
        <v>57</v>
      </c>
      <c r="P48" t="s">
        <v>18</v>
      </c>
      <c r="Q48" t="s">
        <v>62</v>
      </c>
      <c r="S48" t="s">
        <v>58</v>
      </c>
      <c r="U48" t="s">
        <v>58</v>
      </c>
      <c r="V48" t="s">
        <v>40</v>
      </c>
    </row>
    <row r="49" spans="4:22" x14ac:dyDescent="0.45">
      <c r="D49" t="s">
        <v>375</v>
      </c>
      <c r="E49" t="s">
        <v>1431</v>
      </c>
      <c r="F49" t="s">
        <v>290</v>
      </c>
      <c r="G49" t="s">
        <v>1432</v>
      </c>
      <c r="H49" t="s">
        <v>19</v>
      </c>
      <c r="I49" t="s">
        <v>45</v>
      </c>
      <c r="J49" t="s">
        <v>59</v>
      </c>
      <c r="K49" t="s">
        <v>57</v>
      </c>
      <c r="P49" t="s">
        <v>18</v>
      </c>
      <c r="Q49" t="s">
        <v>63</v>
      </c>
      <c r="S49" t="s">
        <v>58</v>
      </c>
      <c r="U49" t="s">
        <v>58</v>
      </c>
      <c r="V49" t="s">
        <v>40</v>
      </c>
    </row>
    <row r="50" spans="4:22" x14ac:dyDescent="0.45">
      <c r="D50" t="s">
        <v>376</v>
      </c>
      <c r="E50" t="s">
        <v>1433</v>
      </c>
      <c r="F50" t="s">
        <v>290</v>
      </c>
      <c r="G50" t="s">
        <v>1434</v>
      </c>
      <c r="H50" t="s">
        <v>19</v>
      </c>
      <c r="I50" t="s">
        <v>45</v>
      </c>
      <c r="J50" t="s">
        <v>59</v>
      </c>
      <c r="K50" t="s">
        <v>57</v>
      </c>
      <c r="P50" t="s">
        <v>18</v>
      </c>
      <c r="Q50" t="s">
        <v>64</v>
      </c>
      <c r="S50" t="s">
        <v>58</v>
      </c>
      <c r="U50" t="s">
        <v>58</v>
      </c>
      <c r="V50" t="s">
        <v>40</v>
      </c>
    </row>
    <row r="51" spans="4:22" x14ac:dyDescent="0.45">
      <c r="D51" t="s">
        <v>377</v>
      </c>
      <c r="E51" t="s">
        <v>1435</v>
      </c>
      <c r="F51" t="s">
        <v>290</v>
      </c>
      <c r="G51" t="s">
        <v>1436</v>
      </c>
      <c r="H51" t="s">
        <v>19</v>
      </c>
      <c r="I51" t="s">
        <v>45</v>
      </c>
      <c r="J51" t="s">
        <v>59</v>
      </c>
      <c r="K51" t="s">
        <v>57</v>
      </c>
      <c r="P51" t="s">
        <v>18</v>
      </c>
      <c r="Q51" t="s">
        <v>65</v>
      </c>
      <c r="S51" t="s">
        <v>58</v>
      </c>
      <c r="U51" t="s">
        <v>58</v>
      </c>
      <c r="V51" t="s">
        <v>40</v>
      </c>
    </row>
    <row r="52" spans="4:22" x14ac:dyDescent="0.45">
      <c r="D52" t="s">
        <v>378</v>
      </c>
      <c r="E52" t="s">
        <v>1437</v>
      </c>
      <c r="F52" t="s">
        <v>290</v>
      </c>
      <c r="G52" t="s">
        <v>1438</v>
      </c>
      <c r="H52" t="s">
        <v>19</v>
      </c>
      <c r="I52" t="s">
        <v>45</v>
      </c>
      <c r="J52" t="s">
        <v>59</v>
      </c>
      <c r="K52" t="s">
        <v>57</v>
      </c>
      <c r="P52" t="s">
        <v>18</v>
      </c>
      <c r="Q52" t="s">
        <v>66</v>
      </c>
      <c r="S52" t="s">
        <v>58</v>
      </c>
      <c r="U52" t="s">
        <v>58</v>
      </c>
      <c r="V52" t="s">
        <v>40</v>
      </c>
    </row>
    <row r="53" spans="4:22" x14ac:dyDescent="0.45">
      <c r="D53" t="s">
        <v>379</v>
      </c>
      <c r="E53" t="s">
        <v>1439</v>
      </c>
      <c r="F53" t="s">
        <v>290</v>
      </c>
      <c r="G53" t="s">
        <v>1440</v>
      </c>
      <c r="H53" t="s">
        <v>19</v>
      </c>
      <c r="I53" t="s">
        <v>45</v>
      </c>
      <c r="J53" t="s">
        <v>67</v>
      </c>
      <c r="K53" t="s">
        <v>57</v>
      </c>
      <c r="M53" t="s">
        <v>26</v>
      </c>
      <c r="P53" t="s">
        <v>26</v>
      </c>
      <c r="S53" t="s">
        <v>58</v>
      </c>
      <c r="U53" t="s">
        <v>58</v>
      </c>
      <c r="V53" t="s">
        <v>40</v>
      </c>
    </row>
    <row r="54" spans="4:22" x14ac:dyDescent="0.45">
      <c r="D54" t="s">
        <v>380</v>
      </c>
      <c r="E54" t="s">
        <v>1441</v>
      </c>
      <c r="F54" t="s">
        <v>290</v>
      </c>
      <c r="G54" t="s">
        <v>1440</v>
      </c>
      <c r="H54" t="s">
        <v>19</v>
      </c>
      <c r="I54" t="s">
        <v>45</v>
      </c>
      <c r="J54" t="s">
        <v>67</v>
      </c>
      <c r="K54" t="s">
        <v>57</v>
      </c>
      <c r="M54" t="s">
        <v>27</v>
      </c>
      <c r="P54" t="s">
        <v>27</v>
      </c>
      <c r="S54" t="s">
        <v>58</v>
      </c>
      <c r="U54" t="s">
        <v>58</v>
      </c>
      <c r="V54" t="s">
        <v>40</v>
      </c>
    </row>
    <row r="55" spans="4:22" x14ac:dyDescent="0.45">
      <c r="D55" t="s">
        <v>381</v>
      </c>
      <c r="E55" t="s">
        <v>1442</v>
      </c>
      <c r="F55" t="s">
        <v>290</v>
      </c>
      <c r="G55" t="s">
        <v>1440</v>
      </c>
      <c r="H55" t="s">
        <v>19</v>
      </c>
      <c r="I55" t="s">
        <v>45</v>
      </c>
      <c r="J55" t="s">
        <v>67</v>
      </c>
      <c r="K55" t="s">
        <v>57</v>
      </c>
      <c r="M55" t="s">
        <v>28</v>
      </c>
      <c r="P55" t="s">
        <v>28</v>
      </c>
      <c r="S55" t="s">
        <v>58</v>
      </c>
      <c r="U55" t="s">
        <v>58</v>
      </c>
      <c r="V55" t="s">
        <v>40</v>
      </c>
    </row>
    <row r="56" spans="4:22" x14ac:dyDescent="0.45">
      <c r="D56" t="s">
        <v>382</v>
      </c>
      <c r="E56" t="s">
        <v>1443</v>
      </c>
      <c r="F56" t="s">
        <v>290</v>
      </c>
      <c r="G56" t="s">
        <v>1440</v>
      </c>
      <c r="H56" t="s">
        <v>19</v>
      </c>
      <c r="I56" t="s">
        <v>45</v>
      </c>
      <c r="J56" t="s">
        <v>67</v>
      </c>
      <c r="K56" t="s">
        <v>57</v>
      </c>
      <c r="M56" t="s">
        <v>29</v>
      </c>
      <c r="P56" t="s">
        <v>29</v>
      </c>
      <c r="S56" t="s">
        <v>58</v>
      </c>
      <c r="U56" t="s">
        <v>58</v>
      </c>
      <c r="V56" t="s">
        <v>40</v>
      </c>
    </row>
    <row r="57" spans="4:22" x14ac:dyDescent="0.45">
      <c r="D57" t="s">
        <v>383</v>
      </c>
      <c r="E57" t="s">
        <v>1444</v>
      </c>
      <c r="F57" t="s">
        <v>290</v>
      </c>
      <c r="G57" t="s">
        <v>1440</v>
      </c>
      <c r="H57" t="s">
        <v>19</v>
      </c>
      <c r="I57" t="s">
        <v>45</v>
      </c>
      <c r="J57" t="s">
        <v>67</v>
      </c>
      <c r="K57" t="s">
        <v>57</v>
      </c>
      <c r="M57" t="s">
        <v>30</v>
      </c>
      <c r="P57" t="s">
        <v>30</v>
      </c>
      <c r="S57" t="s">
        <v>58</v>
      </c>
      <c r="U57" t="s">
        <v>58</v>
      </c>
      <c r="V57" t="s">
        <v>40</v>
      </c>
    </row>
    <row r="58" spans="4:22" x14ac:dyDescent="0.45">
      <c r="D58" t="s">
        <v>384</v>
      </c>
      <c r="E58" t="s">
        <v>1445</v>
      </c>
      <c r="F58" t="s">
        <v>290</v>
      </c>
      <c r="G58" t="s">
        <v>1446</v>
      </c>
      <c r="H58" t="s">
        <v>19</v>
      </c>
      <c r="I58" t="s">
        <v>45</v>
      </c>
      <c r="J58" t="s">
        <v>46</v>
      </c>
      <c r="K58" t="s">
        <v>47</v>
      </c>
      <c r="L58" t="s">
        <v>48</v>
      </c>
      <c r="P58" t="s">
        <v>48</v>
      </c>
      <c r="S58" t="s">
        <v>49</v>
      </c>
      <c r="U58" t="s">
        <v>49</v>
      </c>
      <c r="V58" t="s">
        <v>22</v>
      </c>
    </row>
    <row r="59" spans="4:22" x14ac:dyDescent="0.45">
      <c r="D59" t="s">
        <v>385</v>
      </c>
      <c r="E59" t="s">
        <v>1447</v>
      </c>
      <c r="F59" t="s">
        <v>290</v>
      </c>
      <c r="G59" t="s">
        <v>1446</v>
      </c>
      <c r="H59" t="s">
        <v>19</v>
      </c>
      <c r="I59" t="s">
        <v>45</v>
      </c>
      <c r="J59" t="s">
        <v>46</v>
      </c>
      <c r="K59" t="s">
        <v>47</v>
      </c>
      <c r="L59" t="s">
        <v>50</v>
      </c>
      <c r="P59" t="s">
        <v>50</v>
      </c>
      <c r="S59" t="s">
        <v>49</v>
      </c>
      <c r="U59" t="s">
        <v>49</v>
      </c>
      <c r="V59" t="s">
        <v>22</v>
      </c>
    </row>
    <row r="60" spans="4:22" x14ac:dyDescent="0.45">
      <c r="D60" t="s">
        <v>386</v>
      </c>
      <c r="E60" t="s">
        <v>1448</v>
      </c>
      <c r="F60" t="s">
        <v>290</v>
      </c>
      <c r="G60" t="s">
        <v>1449</v>
      </c>
      <c r="H60" t="s">
        <v>19</v>
      </c>
      <c r="I60" t="s">
        <v>45</v>
      </c>
      <c r="J60" t="s">
        <v>51</v>
      </c>
      <c r="K60" t="s">
        <v>47</v>
      </c>
      <c r="L60" t="s">
        <v>52</v>
      </c>
      <c r="P60" t="s">
        <v>52</v>
      </c>
      <c r="S60" t="s">
        <v>49</v>
      </c>
      <c r="U60" t="s">
        <v>49</v>
      </c>
      <c r="V60" t="s">
        <v>22</v>
      </c>
    </row>
    <row r="61" spans="4:22" x14ac:dyDescent="0.45">
      <c r="D61" t="s">
        <v>387</v>
      </c>
      <c r="E61" t="s">
        <v>1450</v>
      </c>
      <c r="F61" t="s">
        <v>290</v>
      </c>
      <c r="G61" t="s">
        <v>1449</v>
      </c>
      <c r="H61" t="s">
        <v>19</v>
      </c>
      <c r="I61" t="s">
        <v>45</v>
      </c>
      <c r="J61" t="s">
        <v>51</v>
      </c>
      <c r="K61" t="s">
        <v>47</v>
      </c>
      <c r="L61" t="s">
        <v>53</v>
      </c>
      <c r="P61" t="s">
        <v>53</v>
      </c>
      <c r="S61" t="s">
        <v>49</v>
      </c>
      <c r="U61" t="s">
        <v>49</v>
      </c>
      <c r="V61" t="s">
        <v>22</v>
      </c>
    </row>
    <row r="62" spans="4:22" x14ac:dyDescent="0.45">
      <c r="D62" t="s">
        <v>388</v>
      </c>
      <c r="E62" t="s">
        <v>1451</v>
      </c>
      <c r="F62" t="s">
        <v>290</v>
      </c>
      <c r="G62" t="s">
        <v>1449</v>
      </c>
      <c r="H62" t="s">
        <v>19</v>
      </c>
      <c r="I62" t="s">
        <v>45</v>
      </c>
      <c r="J62" t="s">
        <v>51</v>
      </c>
      <c r="K62" t="s">
        <v>47</v>
      </c>
      <c r="L62" t="s">
        <v>54</v>
      </c>
      <c r="P62" t="s">
        <v>54</v>
      </c>
      <c r="S62" t="s">
        <v>49</v>
      </c>
      <c r="U62" t="s">
        <v>49</v>
      </c>
      <c r="V62" t="s">
        <v>22</v>
      </c>
    </row>
    <row r="63" spans="4:22" x14ac:dyDescent="0.45">
      <c r="D63" t="s">
        <v>389</v>
      </c>
      <c r="E63" t="s">
        <v>1452</v>
      </c>
      <c r="F63" t="s">
        <v>290</v>
      </c>
      <c r="G63" t="s">
        <v>1449</v>
      </c>
      <c r="H63" t="s">
        <v>19</v>
      </c>
      <c r="I63" t="s">
        <v>45</v>
      </c>
      <c r="J63" t="s">
        <v>51</v>
      </c>
      <c r="K63" t="s">
        <v>47</v>
      </c>
      <c r="L63" t="s">
        <v>56</v>
      </c>
      <c r="P63" t="s">
        <v>56</v>
      </c>
      <c r="S63" t="s">
        <v>49</v>
      </c>
      <c r="U63" t="s">
        <v>49</v>
      </c>
      <c r="V63" t="s">
        <v>22</v>
      </c>
    </row>
    <row r="64" spans="4:22" x14ac:dyDescent="0.45">
      <c r="D64" t="s">
        <v>390</v>
      </c>
      <c r="E64" t="s">
        <v>1453</v>
      </c>
      <c r="F64" t="s">
        <v>290</v>
      </c>
      <c r="G64" t="s">
        <v>1449</v>
      </c>
      <c r="H64" t="s">
        <v>19</v>
      </c>
      <c r="I64" t="s">
        <v>45</v>
      </c>
      <c r="J64" t="s">
        <v>51</v>
      </c>
      <c r="K64" t="s">
        <v>47</v>
      </c>
      <c r="L64" t="s">
        <v>55</v>
      </c>
      <c r="P64" t="s">
        <v>55</v>
      </c>
      <c r="S64" t="s">
        <v>49</v>
      </c>
      <c r="U64" t="s">
        <v>49</v>
      </c>
      <c r="V64" t="s">
        <v>22</v>
      </c>
    </row>
    <row r="65" spans="4:22" x14ac:dyDescent="0.45">
      <c r="D65" t="s">
        <v>391</v>
      </c>
      <c r="E65" t="s">
        <v>1454</v>
      </c>
      <c r="F65" t="s">
        <v>290</v>
      </c>
      <c r="G65" t="s">
        <v>1455</v>
      </c>
      <c r="H65" t="s">
        <v>19</v>
      </c>
      <c r="I65" t="s">
        <v>45</v>
      </c>
      <c r="J65" t="s">
        <v>46</v>
      </c>
      <c r="K65" t="s">
        <v>57</v>
      </c>
      <c r="L65" t="s">
        <v>37</v>
      </c>
      <c r="P65" t="s">
        <v>37</v>
      </c>
      <c r="S65" t="s">
        <v>58</v>
      </c>
      <c r="U65" t="s">
        <v>58</v>
      </c>
      <c r="V65" t="s">
        <v>22</v>
      </c>
    </row>
    <row r="66" spans="4:22" x14ac:dyDescent="0.45">
      <c r="D66" t="s">
        <v>392</v>
      </c>
      <c r="E66" t="s">
        <v>1456</v>
      </c>
      <c r="F66" t="s">
        <v>290</v>
      </c>
      <c r="G66" t="s">
        <v>1457</v>
      </c>
      <c r="H66" t="s">
        <v>19</v>
      </c>
      <c r="I66" t="s">
        <v>45</v>
      </c>
      <c r="J66" t="s">
        <v>51</v>
      </c>
      <c r="K66" t="s">
        <v>57</v>
      </c>
      <c r="L66" t="s">
        <v>52</v>
      </c>
      <c r="P66" t="s">
        <v>52</v>
      </c>
      <c r="S66" t="s">
        <v>58</v>
      </c>
      <c r="U66" t="s">
        <v>58</v>
      </c>
      <c r="V66" t="s">
        <v>22</v>
      </c>
    </row>
    <row r="67" spans="4:22" x14ac:dyDescent="0.45">
      <c r="D67" t="s">
        <v>393</v>
      </c>
      <c r="E67" t="s">
        <v>1458</v>
      </c>
      <c r="F67" t="s">
        <v>290</v>
      </c>
      <c r="G67" t="s">
        <v>1459</v>
      </c>
      <c r="H67" t="s">
        <v>19</v>
      </c>
      <c r="I67" t="s">
        <v>45</v>
      </c>
      <c r="J67" t="s">
        <v>59</v>
      </c>
      <c r="K67" t="s">
        <v>57</v>
      </c>
      <c r="P67" t="s">
        <v>18</v>
      </c>
      <c r="Q67" t="s">
        <v>60</v>
      </c>
      <c r="S67" t="s">
        <v>58</v>
      </c>
      <c r="U67" t="s">
        <v>58</v>
      </c>
      <c r="V67" t="s">
        <v>22</v>
      </c>
    </row>
    <row r="68" spans="4:22" x14ac:dyDescent="0.45">
      <c r="D68" t="s">
        <v>394</v>
      </c>
      <c r="E68" t="s">
        <v>1460</v>
      </c>
      <c r="F68" t="s">
        <v>290</v>
      </c>
      <c r="G68" t="s">
        <v>1461</v>
      </c>
      <c r="H68" t="s">
        <v>19</v>
      </c>
      <c r="I68" t="s">
        <v>45</v>
      </c>
      <c r="J68" t="s">
        <v>59</v>
      </c>
      <c r="K68" t="s">
        <v>57</v>
      </c>
      <c r="P68" t="s">
        <v>18</v>
      </c>
      <c r="Q68" t="s">
        <v>61</v>
      </c>
      <c r="S68" t="s">
        <v>58</v>
      </c>
      <c r="U68" t="s">
        <v>58</v>
      </c>
      <c r="V68" t="s">
        <v>22</v>
      </c>
    </row>
    <row r="69" spans="4:22" x14ac:dyDescent="0.45">
      <c r="D69" t="s">
        <v>395</v>
      </c>
      <c r="E69" t="s">
        <v>1462</v>
      </c>
      <c r="F69" t="s">
        <v>290</v>
      </c>
      <c r="G69" t="s">
        <v>1463</v>
      </c>
      <c r="H69" t="s">
        <v>19</v>
      </c>
      <c r="I69" t="s">
        <v>45</v>
      </c>
      <c r="J69" t="s">
        <v>59</v>
      </c>
      <c r="K69" t="s">
        <v>57</v>
      </c>
      <c r="P69" t="s">
        <v>18</v>
      </c>
      <c r="Q69" t="s">
        <v>62</v>
      </c>
      <c r="S69" t="s">
        <v>58</v>
      </c>
      <c r="U69" t="s">
        <v>58</v>
      </c>
      <c r="V69" t="s">
        <v>22</v>
      </c>
    </row>
    <row r="70" spans="4:22" x14ac:dyDescent="0.45">
      <c r="D70" t="s">
        <v>396</v>
      </c>
      <c r="E70" t="s">
        <v>1464</v>
      </c>
      <c r="F70" t="s">
        <v>290</v>
      </c>
      <c r="G70" t="s">
        <v>1465</v>
      </c>
      <c r="H70" t="s">
        <v>19</v>
      </c>
      <c r="I70" t="s">
        <v>45</v>
      </c>
      <c r="J70" t="s">
        <v>59</v>
      </c>
      <c r="K70" t="s">
        <v>57</v>
      </c>
      <c r="P70" t="s">
        <v>18</v>
      </c>
      <c r="Q70" t="s">
        <v>63</v>
      </c>
      <c r="S70" t="s">
        <v>58</v>
      </c>
      <c r="U70" t="s">
        <v>58</v>
      </c>
      <c r="V70" t="s">
        <v>22</v>
      </c>
    </row>
    <row r="71" spans="4:22" x14ac:dyDescent="0.45">
      <c r="D71" t="s">
        <v>397</v>
      </c>
      <c r="E71" t="s">
        <v>1466</v>
      </c>
      <c r="F71" t="s">
        <v>290</v>
      </c>
      <c r="G71" t="s">
        <v>1467</v>
      </c>
      <c r="H71" t="s">
        <v>19</v>
      </c>
      <c r="I71" t="s">
        <v>45</v>
      </c>
      <c r="J71" t="s">
        <v>59</v>
      </c>
      <c r="K71" t="s">
        <v>57</v>
      </c>
      <c r="P71" t="s">
        <v>18</v>
      </c>
      <c r="Q71" t="s">
        <v>64</v>
      </c>
      <c r="S71" t="s">
        <v>58</v>
      </c>
      <c r="U71" t="s">
        <v>58</v>
      </c>
      <c r="V71" t="s">
        <v>22</v>
      </c>
    </row>
    <row r="72" spans="4:22" x14ac:dyDescent="0.45">
      <c r="D72" t="s">
        <v>398</v>
      </c>
      <c r="E72" t="s">
        <v>1468</v>
      </c>
      <c r="F72" t="s">
        <v>290</v>
      </c>
      <c r="G72" t="s">
        <v>1469</v>
      </c>
      <c r="H72" t="s">
        <v>19</v>
      </c>
      <c r="I72" t="s">
        <v>45</v>
      </c>
      <c r="J72" t="s">
        <v>59</v>
      </c>
      <c r="K72" t="s">
        <v>57</v>
      </c>
      <c r="P72" t="s">
        <v>18</v>
      </c>
      <c r="Q72" t="s">
        <v>65</v>
      </c>
      <c r="S72" t="s">
        <v>58</v>
      </c>
      <c r="U72" t="s">
        <v>58</v>
      </c>
      <c r="V72" t="s">
        <v>22</v>
      </c>
    </row>
    <row r="73" spans="4:22" x14ac:dyDescent="0.45">
      <c r="D73" t="s">
        <v>399</v>
      </c>
      <c r="E73" t="s">
        <v>1470</v>
      </c>
      <c r="F73" t="s">
        <v>290</v>
      </c>
      <c r="G73" t="s">
        <v>1471</v>
      </c>
      <c r="H73" t="s">
        <v>19</v>
      </c>
      <c r="I73" t="s">
        <v>45</v>
      </c>
      <c r="J73" t="s">
        <v>59</v>
      </c>
      <c r="K73" t="s">
        <v>57</v>
      </c>
      <c r="P73" t="s">
        <v>18</v>
      </c>
      <c r="Q73" t="s">
        <v>66</v>
      </c>
      <c r="S73" t="s">
        <v>58</v>
      </c>
      <c r="U73" t="s">
        <v>58</v>
      </c>
      <c r="V73" t="s">
        <v>22</v>
      </c>
    </row>
    <row r="74" spans="4:22" x14ac:dyDescent="0.45">
      <c r="D74" t="s">
        <v>400</v>
      </c>
      <c r="E74" t="s">
        <v>1472</v>
      </c>
      <c r="F74" t="s">
        <v>290</v>
      </c>
      <c r="G74" t="s">
        <v>1473</v>
      </c>
      <c r="H74" t="s">
        <v>19</v>
      </c>
      <c r="I74" t="s">
        <v>45</v>
      </c>
      <c r="J74" t="s">
        <v>67</v>
      </c>
      <c r="K74" t="s">
        <v>57</v>
      </c>
      <c r="M74" t="s">
        <v>26</v>
      </c>
      <c r="P74" t="s">
        <v>26</v>
      </c>
      <c r="S74" t="s">
        <v>58</v>
      </c>
      <c r="U74" t="s">
        <v>58</v>
      </c>
      <c r="V74" t="s">
        <v>22</v>
      </c>
    </row>
    <row r="75" spans="4:22" x14ac:dyDescent="0.45">
      <c r="D75" t="s">
        <v>401</v>
      </c>
      <c r="E75" t="s">
        <v>1474</v>
      </c>
      <c r="F75" t="s">
        <v>290</v>
      </c>
      <c r="G75" t="s">
        <v>1473</v>
      </c>
      <c r="H75" t="s">
        <v>19</v>
      </c>
      <c r="I75" t="s">
        <v>45</v>
      </c>
      <c r="J75" t="s">
        <v>67</v>
      </c>
      <c r="K75" t="s">
        <v>57</v>
      </c>
      <c r="M75" t="s">
        <v>27</v>
      </c>
      <c r="P75" t="s">
        <v>27</v>
      </c>
      <c r="S75" t="s">
        <v>58</v>
      </c>
      <c r="U75" t="s">
        <v>58</v>
      </c>
      <c r="V75" t="s">
        <v>22</v>
      </c>
    </row>
    <row r="76" spans="4:22" x14ac:dyDescent="0.45">
      <c r="D76" t="s">
        <v>402</v>
      </c>
      <c r="E76" t="s">
        <v>1475</v>
      </c>
      <c r="F76" t="s">
        <v>290</v>
      </c>
      <c r="G76" t="s">
        <v>1473</v>
      </c>
      <c r="H76" t="s">
        <v>19</v>
      </c>
      <c r="I76" t="s">
        <v>45</v>
      </c>
      <c r="J76" t="s">
        <v>67</v>
      </c>
      <c r="K76" t="s">
        <v>57</v>
      </c>
      <c r="M76" t="s">
        <v>28</v>
      </c>
      <c r="P76" t="s">
        <v>28</v>
      </c>
      <c r="S76" t="s">
        <v>58</v>
      </c>
      <c r="U76" t="s">
        <v>58</v>
      </c>
      <c r="V76" t="s">
        <v>22</v>
      </c>
    </row>
    <row r="77" spans="4:22" x14ac:dyDescent="0.45">
      <c r="D77" t="s">
        <v>403</v>
      </c>
      <c r="E77" t="s">
        <v>1476</v>
      </c>
      <c r="F77" t="s">
        <v>290</v>
      </c>
      <c r="G77" t="s">
        <v>1473</v>
      </c>
      <c r="H77" t="s">
        <v>19</v>
      </c>
      <c r="I77" t="s">
        <v>45</v>
      </c>
      <c r="J77" t="s">
        <v>67</v>
      </c>
      <c r="K77" t="s">
        <v>57</v>
      </c>
      <c r="M77" t="s">
        <v>29</v>
      </c>
      <c r="P77" t="s">
        <v>29</v>
      </c>
      <c r="S77" t="s">
        <v>58</v>
      </c>
      <c r="U77" t="s">
        <v>58</v>
      </c>
      <c r="V77" t="s">
        <v>22</v>
      </c>
    </row>
    <row r="78" spans="4:22" x14ac:dyDescent="0.45">
      <c r="D78" t="s">
        <v>404</v>
      </c>
      <c r="E78" t="s">
        <v>1477</v>
      </c>
      <c r="F78" t="s">
        <v>290</v>
      </c>
      <c r="G78" t="s">
        <v>1473</v>
      </c>
      <c r="H78" t="s">
        <v>19</v>
      </c>
      <c r="I78" t="s">
        <v>45</v>
      </c>
      <c r="J78" t="s">
        <v>67</v>
      </c>
      <c r="K78" t="s">
        <v>57</v>
      </c>
      <c r="M78" t="s">
        <v>30</v>
      </c>
      <c r="P78" t="s">
        <v>30</v>
      </c>
      <c r="S78" t="s">
        <v>58</v>
      </c>
      <c r="U78" t="s">
        <v>58</v>
      </c>
      <c r="V78" t="s">
        <v>22</v>
      </c>
    </row>
    <row r="79" spans="4:22" x14ac:dyDescent="0.45">
      <c r="D79" t="s">
        <v>405</v>
      </c>
      <c r="E79" t="s">
        <v>1478</v>
      </c>
      <c r="F79" t="s">
        <v>290</v>
      </c>
      <c r="G79" t="s">
        <v>1479</v>
      </c>
      <c r="H79" t="s">
        <v>19</v>
      </c>
      <c r="I79" t="s">
        <v>68</v>
      </c>
      <c r="J79" t="s">
        <v>46</v>
      </c>
      <c r="K79" t="s">
        <v>57</v>
      </c>
      <c r="P79" t="s">
        <v>18</v>
      </c>
      <c r="S79" t="s">
        <v>58</v>
      </c>
      <c r="U79" t="s">
        <v>58</v>
      </c>
      <c r="V79" t="s">
        <v>69</v>
      </c>
    </row>
    <row r="80" spans="4:22" x14ac:dyDescent="0.45">
      <c r="D80" t="s">
        <v>406</v>
      </c>
      <c r="E80" t="s">
        <v>1480</v>
      </c>
      <c r="F80" t="s">
        <v>290</v>
      </c>
      <c r="G80" t="s">
        <v>1413</v>
      </c>
      <c r="H80" t="s">
        <v>19</v>
      </c>
      <c r="I80" t="s">
        <v>45</v>
      </c>
      <c r="J80" t="s">
        <v>46</v>
      </c>
      <c r="K80" t="s">
        <v>47</v>
      </c>
      <c r="L80" t="s">
        <v>48</v>
      </c>
      <c r="P80" t="s">
        <v>48</v>
      </c>
      <c r="S80" t="s">
        <v>49</v>
      </c>
      <c r="U80" t="s">
        <v>49</v>
      </c>
      <c r="V80" t="s">
        <v>40</v>
      </c>
    </row>
    <row r="81" spans="4:22" x14ac:dyDescent="0.45">
      <c r="D81" t="s">
        <v>407</v>
      </c>
      <c r="E81" t="s">
        <v>1421</v>
      </c>
      <c r="F81" t="s">
        <v>290</v>
      </c>
      <c r="G81" t="s">
        <v>1422</v>
      </c>
      <c r="H81" t="s">
        <v>19</v>
      </c>
      <c r="I81" t="s">
        <v>45</v>
      </c>
      <c r="J81" t="s">
        <v>46</v>
      </c>
      <c r="K81" t="s">
        <v>57</v>
      </c>
      <c r="L81" t="s">
        <v>48</v>
      </c>
      <c r="P81" t="s">
        <v>48</v>
      </c>
      <c r="S81" t="s">
        <v>58</v>
      </c>
      <c r="U81" t="s">
        <v>58</v>
      </c>
      <c r="V81" t="s">
        <v>40</v>
      </c>
    </row>
    <row r="82" spans="4:22" x14ac:dyDescent="0.45">
      <c r="D82" t="s">
        <v>408</v>
      </c>
      <c r="E82" t="s">
        <v>1481</v>
      </c>
      <c r="F82" t="s">
        <v>290</v>
      </c>
      <c r="G82" t="s">
        <v>1482</v>
      </c>
      <c r="H82" t="s">
        <v>19</v>
      </c>
      <c r="I82" t="s">
        <v>45</v>
      </c>
      <c r="J82" t="s">
        <v>46</v>
      </c>
      <c r="K82" t="s">
        <v>47</v>
      </c>
      <c r="L82" t="s">
        <v>48</v>
      </c>
      <c r="P82" t="s">
        <v>48</v>
      </c>
      <c r="S82" t="s">
        <v>70</v>
      </c>
      <c r="U82" t="s">
        <v>70</v>
      </c>
      <c r="V82" t="s">
        <v>40</v>
      </c>
    </row>
    <row r="83" spans="4:22" x14ac:dyDescent="0.45">
      <c r="D83" t="s">
        <v>409</v>
      </c>
      <c r="E83" t="s">
        <v>1483</v>
      </c>
      <c r="F83" t="s">
        <v>290</v>
      </c>
      <c r="G83" t="s">
        <v>1484</v>
      </c>
      <c r="H83" t="s">
        <v>19</v>
      </c>
      <c r="I83" t="s">
        <v>45</v>
      </c>
      <c r="J83" t="s">
        <v>46</v>
      </c>
      <c r="K83" t="s">
        <v>47</v>
      </c>
      <c r="L83" t="s">
        <v>48</v>
      </c>
      <c r="P83" t="s">
        <v>48</v>
      </c>
      <c r="S83" t="s">
        <v>71</v>
      </c>
      <c r="U83" t="s">
        <v>71</v>
      </c>
      <c r="V83" t="s">
        <v>40</v>
      </c>
    </row>
    <row r="84" spans="4:22" x14ac:dyDescent="0.45">
      <c r="D84" t="s">
        <v>410</v>
      </c>
      <c r="E84" t="s">
        <v>1485</v>
      </c>
      <c r="F84" t="s">
        <v>290</v>
      </c>
      <c r="G84" t="s">
        <v>1486</v>
      </c>
      <c r="H84" t="s">
        <v>19</v>
      </c>
      <c r="I84" t="s">
        <v>45</v>
      </c>
      <c r="J84" t="s">
        <v>46</v>
      </c>
      <c r="K84" t="s">
        <v>47</v>
      </c>
      <c r="L84" t="s">
        <v>48</v>
      </c>
      <c r="P84" t="s">
        <v>48</v>
      </c>
      <c r="S84" t="s">
        <v>72</v>
      </c>
      <c r="U84" t="s">
        <v>72</v>
      </c>
      <c r="V84" t="s">
        <v>40</v>
      </c>
    </row>
    <row r="85" spans="4:22" x14ac:dyDescent="0.45">
      <c r="D85" t="s">
        <v>411</v>
      </c>
      <c r="E85" t="s">
        <v>1487</v>
      </c>
      <c r="F85" t="s">
        <v>290</v>
      </c>
      <c r="G85" t="s">
        <v>1446</v>
      </c>
      <c r="H85" t="s">
        <v>19</v>
      </c>
      <c r="I85" t="s">
        <v>45</v>
      </c>
      <c r="J85" t="s">
        <v>46</v>
      </c>
      <c r="K85" t="s">
        <v>47</v>
      </c>
      <c r="L85" t="s">
        <v>48</v>
      </c>
      <c r="P85" t="s">
        <v>48</v>
      </c>
      <c r="S85" t="s">
        <v>49</v>
      </c>
      <c r="U85" t="s">
        <v>49</v>
      </c>
      <c r="V85" t="s">
        <v>22</v>
      </c>
    </row>
    <row r="86" spans="4:22" x14ac:dyDescent="0.45">
      <c r="D86" t="s">
        <v>412</v>
      </c>
      <c r="E86" t="s">
        <v>1454</v>
      </c>
      <c r="F86" t="s">
        <v>290</v>
      </c>
      <c r="G86" t="s">
        <v>1455</v>
      </c>
      <c r="H86" t="s">
        <v>19</v>
      </c>
      <c r="I86" t="s">
        <v>45</v>
      </c>
      <c r="J86" t="s">
        <v>46</v>
      </c>
      <c r="K86" t="s">
        <v>57</v>
      </c>
      <c r="L86" t="s">
        <v>48</v>
      </c>
      <c r="P86" t="s">
        <v>48</v>
      </c>
      <c r="S86" t="s">
        <v>58</v>
      </c>
      <c r="U86" t="s">
        <v>58</v>
      </c>
      <c r="V86" t="s">
        <v>22</v>
      </c>
    </row>
    <row r="87" spans="4:22" x14ac:dyDescent="0.45">
      <c r="D87" t="s">
        <v>413</v>
      </c>
      <c r="E87" t="s">
        <v>1488</v>
      </c>
      <c r="F87" t="s">
        <v>290</v>
      </c>
      <c r="G87" t="s">
        <v>1489</v>
      </c>
      <c r="H87" t="s">
        <v>19</v>
      </c>
      <c r="I87" t="s">
        <v>45</v>
      </c>
      <c r="J87" t="s">
        <v>46</v>
      </c>
      <c r="K87" t="s">
        <v>47</v>
      </c>
      <c r="L87" t="s">
        <v>48</v>
      </c>
      <c r="P87" t="s">
        <v>48</v>
      </c>
      <c r="S87" t="s">
        <v>70</v>
      </c>
      <c r="U87" t="s">
        <v>70</v>
      </c>
      <c r="V87" t="s">
        <v>22</v>
      </c>
    </row>
    <row r="88" spans="4:22" x14ac:dyDescent="0.45">
      <c r="D88" t="s">
        <v>414</v>
      </c>
      <c r="E88" t="s">
        <v>1490</v>
      </c>
      <c r="F88" t="s">
        <v>290</v>
      </c>
      <c r="G88" t="s">
        <v>1491</v>
      </c>
      <c r="H88" t="s">
        <v>19</v>
      </c>
      <c r="I88" t="s">
        <v>45</v>
      </c>
      <c r="J88" t="s">
        <v>46</v>
      </c>
      <c r="K88" t="s">
        <v>47</v>
      </c>
      <c r="L88" t="s">
        <v>48</v>
      </c>
      <c r="P88" t="s">
        <v>48</v>
      </c>
      <c r="S88" t="s">
        <v>71</v>
      </c>
      <c r="U88" t="s">
        <v>71</v>
      </c>
      <c r="V88" t="s">
        <v>22</v>
      </c>
    </row>
    <row r="89" spans="4:22" x14ac:dyDescent="0.45">
      <c r="D89" t="s">
        <v>415</v>
      </c>
      <c r="E89" t="s">
        <v>1492</v>
      </c>
      <c r="F89" t="s">
        <v>290</v>
      </c>
      <c r="G89" t="s">
        <v>1493</v>
      </c>
      <c r="H89" t="s">
        <v>19</v>
      </c>
      <c r="I89" t="s">
        <v>45</v>
      </c>
      <c r="J89" t="s">
        <v>46</v>
      </c>
      <c r="K89" t="s">
        <v>47</v>
      </c>
      <c r="L89" t="s">
        <v>48</v>
      </c>
      <c r="P89" t="s">
        <v>48</v>
      </c>
      <c r="S89" t="s">
        <v>72</v>
      </c>
      <c r="U89" t="s">
        <v>72</v>
      </c>
      <c r="V89" t="s">
        <v>22</v>
      </c>
    </row>
    <row r="90" spans="4:22" x14ac:dyDescent="0.45">
      <c r="D90" t="s">
        <v>1494</v>
      </c>
      <c r="E90" t="s">
        <v>1495</v>
      </c>
      <c r="F90" t="s">
        <v>290</v>
      </c>
      <c r="G90" t="s">
        <v>1482</v>
      </c>
      <c r="H90" t="s">
        <v>19</v>
      </c>
      <c r="I90" t="s">
        <v>45</v>
      </c>
      <c r="J90" t="s">
        <v>46</v>
      </c>
      <c r="K90" t="s">
        <v>47</v>
      </c>
      <c r="L90" t="s">
        <v>50</v>
      </c>
      <c r="P90" t="s">
        <v>50</v>
      </c>
      <c r="S90" t="s">
        <v>70</v>
      </c>
      <c r="U90" t="s">
        <v>70</v>
      </c>
      <c r="V90" t="s">
        <v>40</v>
      </c>
    </row>
    <row r="91" spans="4:22" x14ac:dyDescent="0.45">
      <c r="D91" t="s">
        <v>1496</v>
      </c>
      <c r="E91" t="s">
        <v>1497</v>
      </c>
      <c r="F91" t="s">
        <v>290</v>
      </c>
      <c r="G91" t="s">
        <v>1482</v>
      </c>
      <c r="H91" t="s">
        <v>19</v>
      </c>
      <c r="I91" t="s">
        <v>45</v>
      </c>
      <c r="J91" t="s">
        <v>46</v>
      </c>
      <c r="K91" t="s">
        <v>47</v>
      </c>
      <c r="L91" t="s">
        <v>48</v>
      </c>
      <c r="P91" t="s">
        <v>48</v>
      </c>
      <c r="S91" t="s">
        <v>70</v>
      </c>
      <c r="U91" t="s">
        <v>70</v>
      </c>
      <c r="V91" t="s">
        <v>40</v>
      </c>
    </row>
    <row r="92" spans="4:22" x14ac:dyDescent="0.45">
      <c r="D92" t="s">
        <v>1498</v>
      </c>
      <c r="E92" t="s">
        <v>1499</v>
      </c>
      <c r="F92" t="s">
        <v>290</v>
      </c>
      <c r="G92" t="s">
        <v>1500</v>
      </c>
      <c r="H92" t="s">
        <v>19</v>
      </c>
      <c r="I92" t="s">
        <v>45</v>
      </c>
      <c r="J92" t="s">
        <v>51</v>
      </c>
      <c r="K92" t="s">
        <v>47</v>
      </c>
      <c r="L92" t="s">
        <v>73</v>
      </c>
      <c r="P92" t="s">
        <v>73</v>
      </c>
      <c r="S92" t="s">
        <v>70</v>
      </c>
      <c r="U92" t="s">
        <v>70</v>
      </c>
      <c r="V92" t="s">
        <v>40</v>
      </c>
    </row>
    <row r="93" spans="4:22" x14ac:dyDescent="0.45">
      <c r="D93" t="s">
        <v>1501</v>
      </c>
      <c r="E93" t="s">
        <v>1502</v>
      </c>
      <c r="F93" t="s">
        <v>290</v>
      </c>
      <c r="G93" t="s">
        <v>1500</v>
      </c>
      <c r="H93" t="s">
        <v>19</v>
      </c>
      <c r="I93" t="s">
        <v>45</v>
      </c>
      <c r="J93" t="s">
        <v>51</v>
      </c>
      <c r="K93" t="s">
        <v>47</v>
      </c>
      <c r="L93" t="s">
        <v>74</v>
      </c>
      <c r="P93" t="s">
        <v>74</v>
      </c>
      <c r="S93" t="s">
        <v>70</v>
      </c>
      <c r="U93" t="s">
        <v>70</v>
      </c>
      <c r="V93" t="s">
        <v>40</v>
      </c>
    </row>
    <row r="94" spans="4:22" x14ac:dyDescent="0.45">
      <c r="D94" t="s">
        <v>1503</v>
      </c>
      <c r="E94" t="s">
        <v>1504</v>
      </c>
      <c r="F94" t="s">
        <v>290</v>
      </c>
      <c r="G94" t="s">
        <v>1500</v>
      </c>
      <c r="H94" t="s">
        <v>19</v>
      </c>
      <c r="I94" t="s">
        <v>45</v>
      </c>
      <c r="J94" t="s">
        <v>51</v>
      </c>
      <c r="K94" t="s">
        <v>47</v>
      </c>
      <c r="L94" t="s">
        <v>75</v>
      </c>
      <c r="P94" t="s">
        <v>75</v>
      </c>
      <c r="S94" t="s">
        <v>70</v>
      </c>
      <c r="U94" t="s">
        <v>70</v>
      </c>
      <c r="V94" t="s">
        <v>40</v>
      </c>
    </row>
    <row r="95" spans="4:22" x14ac:dyDescent="0.45">
      <c r="D95" t="s">
        <v>1505</v>
      </c>
      <c r="E95" t="s">
        <v>1506</v>
      </c>
      <c r="F95" t="s">
        <v>290</v>
      </c>
      <c r="G95" t="s">
        <v>1500</v>
      </c>
      <c r="H95" t="s">
        <v>19</v>
      </c>
      <c r="I95" t="s">
        <v>45</v>
      </c>
      <c r="J95" t="s">
        <v>51</v>
      </c>
      <c r="K95" t="s">
        <v>47</v>
      </c>
      <c r="L95" t="s">
        <v>76</v>
      </c>
      <c r="P95" t="s">
        <v>76</v>
      </c>
      <c r="S95" t="s">
        <v>70</v>
      </c>
      <c r="U95" t="s">
        <v>70</v>
      </c>
      <c r="V95" t="s">
        <v>40</v>
      </c>
    </row>
    <row r="96" spans="4:22" x14ac:dyDescent="0.45">
      <c r="D96" t="s">
        <v>1507</v>
      </c>
      <c r="E96" t="s">
        <v>1508</v>
      </c>
      <c r="F96" t="s">
        <v>290</v>
      </c>
      <c r="G96" t="s">
        <v>1500</v>
      </c>
      <c r="H96" t="s">
        <v>19</v>
      </c>
      <c r="I96" t="s">
        <v>45</v>
      </c>
      <c r="J96" t="s">
        <v>51</v>
      </c>
      <c r="K96" t="s">
        <v>47</v>
      </c>
      <c r="L96" t="s">
        <v>77</v>
      </c>
      <c r="P96" t="s">
        <v>77</v>
      </c>
      <c r="S96" t="s">
        <v>70</v>
      </c>
      <c r="U96" t="s">
        <v>70</v>
      </c>
      <c r="V96" t="s">
        <v>40</v>
      </c>
    </row>
    <row r="97" spans="4:22" x14ac:dyDescent="0.45">
      <c r="D97" t="s">
        <v>1509</v>
      </c>
      <c r="E97" t="s">
        <v>1510</v>
      </c>
      <c r="F97" t="s">
        <v>290</v>
      </c>
      <c r="G97" t="s">
        <v>1500</v>
      </c>
      <c r="H97" t="s">
        <v>19</v>
      </c>
      <c r="I97" t="s">
        <v>45</v>
      </c>
      <c r="J97" t="s">
        <v>51</v>
      </c>
      <c r="K97" t="s">
        <v>47</v>
      </c>
      <c r="L97" t="s">
        <v>30</v>
      </c>
      <c r="P97" t="s">
        <v>30</v>
      </c>
      <c r="S97" t="s">
        <v>70</v>
      </c>
      <c r="U97" t="s">
        <v>70</v>
      </c>
      <c r="V97" t="s">
        <v>40</v>
      </c>
    </row>
    <row r="98" spans="4:22" x14ac:dyDescent="0.45">
      <c r="D98" t="s">
        <v>1511</v>
      </c>
      <c r="E98" t="s">
        <v>1512</v>
      </c>
      <c r="F98" t="s">
        <v>290</v>
      </c>
      <c r="G98" t="s">
        <v>1500</v>
      </c>
      <c r="H98" t="s">
        <v>19</v>
      </c>
      <c r="I98" t="s">
        <v>45</v>
      </c>
      <c r="J98" t="s">
        <v>51</v>
      </c>
      <c r="K98" t="s">
        <v>47</v>
      </c>
      <c r="L98" t="s">
        <v>78</v>
      </c>
      <c r="P98" t="s">
        <v>78</v>
      </c>
      <c r="S98" t="s">
        <v>70</v>
      </c>
      <c r="U98" t="s">
        <v>70</v>
      </c>
      <c r="V98" t="s">
        <v>40</v>
      </c>
    </row>
    <row r="99" spans="4:22" x14ac:dyDescent="0.45">
      <c r="D99" t="s">
        <v>1513</v>
      </c>
      <c r="E99" t="s">
        <v>1514</v>
      </c>
      <c r="F99" t="s">
        <v>290</v>
      </c>
      <c r="G99" t="s">
        <v>1489</v>
      </c>
      <c r="H99" t="s">
        <v>19</v>
      </c>
      <c r="I99" t="s">
        <v>45</v>
      </c>
      <c r="J99" t="s">
        <v>46</v>
      </c>
      <c r="K99" t="s">
        <v>47</v>
      </c>
      <c r="L99" t="s">
        <v>50</v>
      </c>
      <c r="P99" t="s">
        <v>50</v>
      </c>
      <c r="S99" t="s">
        <v>70</v>
      </c>
      <c r="U99" t="s">
        <v>70</v>
      </c>
      <c r="V99" t="s">
        <v>22</v>
      </c>
    </row>
    <row r="100" spans="4:22" x14ac:dyDescent="0.45">
      <c r="D100" t="s">
        <v>1515</v>
      </c>
      <c r="E100" t="s">
        <v>1516</v>
      </c>
      <c r="F100" t="s">
        <v>290</v>
      </c>
      <c r="G100" t="s">
        <v>1489</v>
      </c>
      <c r="H100" t="s">
        <v>19</v>
      </c>
      <c r="I100" t="s">
        <v>45</v>
      </c>
      <c r="J100" t="s">
        <v>46</v>
      </c>
      <c r="K100" t="s">
        <v>47</v>
      </c>
      <c r="L100" t="s">
        <v>48</v>
      </c>
      <c r="P100" t="s">
        <v>48</v>
      </c>
      <c r="S100" t="s">
        <v>70</v>
      </c>
      <c r="U100" t="s">
        <v>70</v>
      </c>
      <c r="V100" t="s">
        <v>22</v>
      </c>
    </row>
    <row r="101" spans="4:22" x14ac:dyDescent="0.45">
      <c r="D101" t="s">
        <v>1517</v>
      </c>
      <c r="E101" t="s">
        <v>1518</v>
      </c>
      <c r="F101" t="s">
        <v>290</v>
      </c>
      <c r="G101" t="s">
        <v>1519</v>
      </c>
      <c r="H101" t="s">
        <v>19</v>
      </c>
      <c r="I101" t="s">
        <v>45</v>
      </c>
      <c r="J101" t="s">
        <v>51</v>
      </c>
      <c r="K101" t="s">
        <v>47</v>
      </c>
      <c r="L101" t="s">
        <v>73</v>
      </c>
      <c r="P101" t="s">
        <v>73</v>
      </c>
      <c r="S101" t="s">
        <v>70</v>
      </c>
      <c r="U101" t="s">
        <v>70</v>
      </c>
      <c r="V101" t="s">
        <v>22</v>
      </c>
    </row>
    <row r="102" spans="4:22" x14ac:dyDescent="0.45">
      <c r="D102" t="s">
        <v>1520</v>
      </c>
      <c r="E102" t="s">
        <v>1521</v>
      </c>
      <c r="F102" t="s">
        <v>290</v>
      </c>
      <c r="G102" t="s">
        <v>1519</v>
      </c>
      <c r="H102" t="s">
        <v>19</v>
      </c>
      <c r="I102" t="s">
        <v>45</v>
      </c>
      <c r="J102" t="s">
        <v>51</v>
      </c>
      <c r="K102" t="s">
        <v>47</v>
      </c>
      <c r="L102" t="s">
        <v>74</v>
      </c>
      <c r="P102" t="s">
        <v>74</v>
      </c>
      <c r="S102" t="s">
        <v>70</v>
      </c>
      <c r="U102" t="s">
        <v>70</v>
      </c>
      <c r="V102" t="s">
        <v>22</v>
      </c>
    </row>
    <row r="103" spans="4:22" x14ac:dyDescent="0.45">
      <c r="D103" t="s">
        <v>1503</v>
      </c>
      <c r="E103" t="s">
        <v>1522</v>
      </c>
      <c r="F103" t="s">
        <v>290</v>
      </c>
      <c r="G103" t="s">
        <v>1519</v>
      </c>
      <c r="H103" t="s">
        <v>19</v>
      </c>
      <c r="I103" t="s">
        <v>45</v>
      </c>
      <c r="J103" t="s">
        <v>51</v>
      </c>
      <c r="K103" t="s">
        <v>47</v>
      </c>
      <c r="L103" t="s">
        <v>75</v>
      </c>
      <c r="P103" t="s">
        <v>75</v>
      </c>
      <c r="S103" t="s">
        <v>70</v>
      </c>
      <c r="U103" t="s">
        <v>70</v>
      </c>
      <c r="V103" t="s">
        <v>22</v>
      </c>
    </row>
    <row r="104" spans="4:22" x14ac:dyDescent="0.45">
      <c r="D104" t="s">
        <v>1523</v>
      </c>
      <c r="E104" t="s">
        <v>1524</v>
      </c>
      <c r="F104" t="s">
        <v>290</v>
      </c>
      <c r="G104" t="s">
        <v>1519</v>
      </c>
      <c r="H104" t="s">
        <v>19</v>
      </c>
      <c r="I104" t="s">
        <v>45</v>
      </c>
      <c r="J104" t="s">
        <v>51</v>
      </c>
      <c r="K104" t="s">
        <v>47</v>
      </c>
      <c r="L104" t="s">
        <v>76</v>
      </c>
      <c r="P104" t="s">
        <v>76</v>
      </c>
      <c r="S104" t="s">
        <v>70</v>
      </c>
      <c r="U104" t="s">
        <v>70</v>
      </c>
      <c r="V104" t="s">
        <v>22</v>
      </c>
    </row>
    <row r="105" spans="4:22" x14ac:dyDescent="0.45">
      <c r="D105" t="s">
        <v>1525</v>
      </c>
      <c r="E105" t="s">
        <v>1526</v>
      </c>
      <c r="F105" t="s">
        <v>290</v>
      </c>
      <c r="G105" t="s">
        <v>1519</v>
      </c>
      <c r="H105" t="s">
        <v>19</v>
      </c>
      <c r="I105" t="s">
        <v>45</v>
      </c>
      <c r="J105" t="s">
        <v>51</v>
      </c>
      <c r="K105" t="s">
        <v>47</v>
      </c>
      <c r="L105" t="s">
        <v>77</v>
      </c>
      <c r="P105" t="s">
        <v>77</v>
      </c>
      <c r="S105" t="s">
        <v>70</v>
      </c>
      <c r="U105" t="s">
        <v>70</v>
      </c>
      <c r="V105" t="s">
        <v>22</v>
      </c>
    </row>
    <row r="106" spans="4:22" x14ac:dyDescent="0.45">
      <c r="D106" t="s">
        <v>1527</v>
      </c>
      <c r="E106" t="s">
        <v>1528</v>
      </c>
      <c r="F106" t="s">
        <v>290</v>
      </c>
      <c r="G106" t="s">
        <v>1519</v>
      </c>
      <c r="H106" t="s">
        <v>19</v>
      </c>
      <c r="I106" t="s">
        <v>45</v>
      </c>
      <c r="J106" t="s">
        <v>51</v>
      </c>
      <c r="K106" t="s">
        <v>47</v>
      </c>
      <c r="L106" t="s">
        <v>30</v>
      </c>
      <c r="P106" t="s">
        <v>30</v>
      </c>
      <c r="S106" t="s">
        <v>70</v>
      </c>
      <c r="U106" t="s">
        <v>70</v>
      </c>
      <c r="V106" t="s">
        <v>22</v>
      </c>
    </row>
    <row r="107" spans="4:22" x14ac:dyDescent="0.45">
      <c r="D107" t="s">
        <v>1529</v>
      </c>
      <c r="E107" t="s">
        <v>1530</v>
      </c>
      <c r="F107" t="s">
        <v>290</v>
      </c>
      <c r="G107" t="s">
        <v>1519</v>
      </c>
      <c r="H107" t="s">
        <v>19</v>
      </c>
      <c r="I107" t="s">
        <v>45</v>
      </c>
      <c r="J107" t="s">
        <v>51</v>
      </c>
      <c r="K107" t="s">
        <v>47</v>
      </c>
      <c r="L107" t="s">
        <v>78</v>
      </c>
      <c r="P107" t="s">
        <v>78</v>
      </c>
      <c r="S107" t="s">
        <v>70</v>
      </c>
      <c r="U107" t="s">
        <v>70</v>
      </c>
      <c r="V107" t="s">
        <v>22</v>
      </c>
    </row>
    <row r="108" spans="4:22" x14ac:dyDescent="0.45">
      <c r="D108" t="s">
        <v>416</v>
      </c>
      <c r="E108" t="s">
        <v>1531</v>
      </c>
      <c r="F108" t="s">
        <v>290</v>
      </c>
      <c r="G108" t="s">
        <v>1532</v>
      </c>
      <c r="H108" t="s">
        <v>19</v>
      </c>
      <c r="I108" t="s">
        <v>45</v>
      </c>
      <c r="J108" t="s">
        <v>46</v>
      </c>
      <c r="K108" t="s">
        <v>79</v>
      </c>
      <c r="L108" t="s">
        <v>80</v>
      </c>
      <c r="P108" t="s">
        <v>80</v>
      </c>
      <c r="U108" t="s">
        <v>18</v>
      </c>
      <c r="V108" t="s">
        <v>40</v>
      </c>
    </row>
    <row r="109" spans="4:22" x14ac:dyDescent="0.45">
      <c r="D109" t="s">
        <v>1533</v>
      </c>
      <c r="E109" t="s">
        <v>1534</v>
      </c>
      <c r="F109" t="s">
        <v>290</v>
      </c>
      <c r="G109" t="s">
        <v>1535</v>
      </c>
      <c r="H109" t="s">
        <v>19</v>
      </c>
      <c r="I109" t="s">
        <v>45</v>
      </c>
      <c r="J109" t="s">
        <v>46</v>
      </c>
      <c r="K109" t="s">
        <v>79</v>
      </c>
      <c r="L109" t="s">
        <v>80</v>
      </c>
      <c r="P109" t="s">
        <v>80</v>
      </c>
      <c r="U109" t="s">
        <v>18</v>
      </c>
      <c r="V109" t="s">
        <v>22</v>
      </c>
    </row>
    <row r="110" spans="4:22" x14ac:dyDescent="0.45">
      <c r="D110" t="s">
        <v>417</v>
      </c>
      <c r="E110" t="s">
        <v>1536</v>
      </c>
      <c r="F110" t="s">
        <v>290</v>
      </c>
      <c r="G110" t="s">
        <v>1537</v>
      </c>
      <c r="H110" t="s">
        <v>19</v>
      </c>
      <c r="I110" t="s">
        <v>81</v>
      </c>
      <c r="J110" t="s">
        <v>18</v>
      </c>
      <c r="K110" t="s">
        <v>21</v>
      </c>
      <c r="L110" t="s">
        <v>50</v>
      </c>
      <c r="P110" t="s">
        <v>50</v>
      </c>
      <c r="S110" t="s">
        <v>49</v>
      </c>
      <c r="U110" t="s">
        <v>49</v>
      </c>
      <c r="V110">
        <v>2</v>
      </c>
    </row>
    <row r="111" spans="4:22" x14ac:dyDescent="0.45">
      <c r="D111" t="s">
        <v>418</v>
      </c>
      <c r="E111" t="s">
        <v>1538</v>
      </c>
      <c r="F111" t="s">
        <v>290</v>
      </c>
      <c r="G111" t="s">
        <v>1539</v>
      </c>
      <c r="H111" t="s">
        <v>19</v>
      </c>
      <c r="I111" t="s">
        <v>82</v>
      </c>
      <c r="J111" t="s">
        <v>18</v>
      </c>
      <c r="K111" t="s">
        <v>83</v>
      </c>
      <c r="L111" t="s">
        <v>84</v>
      </c>
      <c r="P111" t="s">
        <v>84</v>
      </c>
      <c r="Q111" t="s">
        <v>85</v>
      </c>
      <c r="U111" t="s">
        <v>18</v>
      </c>
      <c r="V111">
        <v>1</v>
      </c>
    </row>
    <row r="112" spans="4:22" x14ac:dyDescent="0.45">
      <c r="D112" t="s">
        <v>419</v>
      </c>
      <c r="E112" t="s">
        <v>1540</v>
      </c>
      <c r="F112" t="s">
        <v>290</v>
      </c>
      <c r="G112" t="s">
        <v>1541</v>
      </c>
      <c r="H112" t="s">
        <v>19</v>
      </c>
      <c r="I112" t="s">
        <v>86</v>
      </c>
      <c r="J112" t="s">
        <v>18</v>
      </c>
      <c r="K112" t="s">
        <v>83</v>
      </c>
      <c r="L112" t="s">
        <v>87</v>
      </c>
      <c r="P112" t="s">
        <v>87</v>
      </c>
      <c r="U112" t="s">
        <v>18</v>
      </c>
      <c r="V112">
        <v>1</v>
      </c>
    </row>
    <row r="113" spans="4:22" x14ac:dyDescent="0.45">
      <c r="D113" t="s">
        <v>420</v>
      </c>
      <c r="E113" t="s">
        <v>1542</v>
      </c>
      <c r="F113" t="s">
        <v>290</v>
      </c>
      <c r="G113" t="s">
        <v>1543</v>
      </c>
      <c r="H113" t="s">
        <v>19</v>
      </c>
      <c r="I113" t="s">
        <v>88</v>
      </c>
      <c r="J113" t="s">
        <v>18</v>
      </c>
      <c r="K113" t="s">
        <v>83</v>
      </c>
      <c r="L113" t="s">
        <v>87</v>
      </c>
      <c r="P113" t="s">
        <v>87</v>
      </c>
      <c r="U113" t="s">
        <v>18</v>
      </c>
      <c r="V113">
        <v>1</v>
      </c>
    </row>
    <row r="114" spans="4:22" x14ac:dyDescent="0.45">
      <c r="D114" t="s">
        <v>421</v>
      </c>
      <c r="E114" t="s">
        <v>1544</v>
      </c>
      <c r="F114" t="s">
        <v>290</v>
      </c>
      <c r="G114" t="s">
        <v>1545</v>
      </c>
      <c r="H114" t="s">
        <v>19</v>
      </c>
      <c r="I114" t="s">
        <v>89</v>
      </c>
      <c r="J114" t="s">
        <v>18</v>
      </c>
      <c r="K114" t="s">
        <v>79</v>
      </c>
      <c r="L114" t="s">
        <v>79</v>
      </c>
      <c r="P114" t="s">
        <v>79</v>
      </c>
      <c r="U114" t="s">
        <v>18</v>
      </c>
      <c r="V114">
        <v>1</v>
      </c>
    </row>
    <row r="115" spans="4:22" x14ac:dyDescent="0.45">
      <c r="D115" t="s">
        <v>422</v>
      </c>
      <c r="E115" t="s">
        <v>1546</v>
      </c>
      <c r="F115" t="s">
        <v>290</v>
      </c>
      <c r="G115" t="s">
        <v>1547</v>
      </c>
      <c r="H115" t="s">
        <v>19</v>
      </c>
      <c r="I115" t="s">
        <v>90</v>
      </c>
      <c r="J115" t="s">
        <v>18</v>
      </c>
      <c r="K115" t="s">
        <v>79</v>
      </c>
      <c r="L115" t="s">
        <v>79</v>
      </c>
      <c r="P115" t="s">
        <v>79</v>
      </c>
      <c r="U115" t="s">
        <v>18</v>
      </c>
      <c r="V115">
        <v>1</v>
      </c>
    </row>
    <row r="116" spans="4:22" x14ac:dyDescent="0.45">
      <c r="D116" t="s">
        <v>423</v>
      </c>
      <c r="E116" t="s">
        <v>1548</v>
      </c>
      <c r="F116" t="s">
        <v>290</v>
      </c>
      <c r="G116" t="s">
        <v>1549</v>
      </c>
      <c r="H116" t="s">
        <v>19</v>
      </c>
      <c r="I116" t="s">
        <v>91</v>
      </c>
      <c r="J116" t="s">
        <v>18</v>
      </c>
      <c r="K116" t="s">
        <v>92</v>
      </c>
      <c r="L116" t="s">
        <v>93</v>
      </c>
      <c r="P116" t="s">
        <v>93</v>
      </c>
      <c r="U116" t="s">
        <v>18</v>
      </c>
      <c r="V116">
        <v>1</v>
      </c>
    </row>
    <row r="117" spans="4:22" x14ac:dyDescent="0.45">
      <c r="D117" t="s">
        <v>424</v>
      </c>
      <c r="E117" t="s">
        <v>1550</v>
      </c>
      <c r="F117" t="s">
        <v>290</v>
      </c>
      <c r="G117" t="s">
        <v>1551</v>
      </c>
      <c r="H117" t="s">
        <v>19</v>
      </c>
      <c r="I117" t="s">
        <v>94</v>
      </c>
      <c r="J117" t="s">
        <v>18</v>
      </c>
      <c r="K117" t="s">
        <v>92</v>
      </c>
      <c r="L117" t="s">
        <v>93</v>
      </c>
      <c r="P117" t="s">
        <v>93</v>
      </c>
      <c r="U117" t="s">
        <v>18</v>
      </c>
      <c r="V117">
        <v>1</v>
      </c>
    </row>
    <row r="118" spans="4:22" x14ac:dyDescent="0.45">
      <c r="D118" t="s">
        <v>425</v>
      </c>
      <c r="E118" t="s">
        <v>1552</v>
      </c>
      <c r="F118" t="s">
        <v>290</v>
      </c>
      <c r="G118" t="s">
        <v>1553</v>
      </c>
      <c r="H118" t="s">
        <v>19</v>
      </c>
      <c r="I118" t="s">
        <v>95</v>
      </c>
      <c r="J118" t="s">
        <v>18</v>
      </c>
      <c r="K118" t="s">
        <v>96</v>
      </c>
      <c r="P118" t="s">
        <v>18</v>
      </c>
      <c r="T118">
        <v>2030</v>
      </c>
      <c r="U118" t="s">
        <v>1554</v>
      </c>
      <c r="V118">
        <v>1</v>
      </c>
    </row>
    <row r="119" spans="4:22" x14ac:dyDescent="0.45">
      <c r="D119" t="s">
        <v>426</v>
      </c>
      <c r="E119" t="s">
        <v>1555</v>
      </c>
      <c r="F119" t="s">
        <v>290</v>
      </c>
      <c r="G119" t="s">
        <v>1556</v>
      </c>
      <c r="H119" t="s">
        <v>19</v>
      </c>
      <c r="I119" t="s">
        <v>97</v>
      </c>
      <c r="J119" t="s">
        <v>18</v>
      </c>
      <c r="K119" t="s">
        <v>96</v>
      </c>
      <c r="P119" t="s">
        <v>18</v>
      </c>
      <c r="T119">
        <v>2030</v>
      </c>
      <c r="U119" t="s">
        <v>1554</v>
      </c>
      <c r="V119">
        <v>1</v>
      </c>
    </row>
    <row r="120" spans="4:22" x14ac:dyDescent="0.45">
      <c r="D120" t="s">
        <v>427</v>
      </c>
      <c r="E120" t="s">
        <v>1557</v>
      </c>
      <c r="F120" t="s">
        <v>290</v>
      </c>
      <c r="G120" t="s">
        <v>1558</v>
      </c>
      <c r="H120" t="s">
        <v>19</v>
      </c>
      <c r="I120" t="s">
        <v>98</v>
      </c>
      <c r="J120" t="s">
        <v>18</v>
      </c>
      <c r="K120" t="s">
        <v>96</v>
      </c>
      <c r="P120" t="s">
        <v>18</v>
      </c>
      <c r="T120">
        <v>2030</v>
      </c>
      <c r="U120" t="s">
        <v>1554</v>
      </c>
      <c r="V120">
        <v>1</v>
      </c>
    </row>
    <row r="121" spans="4:22" x14ac:dyDescent="0.45">
      <c r="G121" t="s">
        <v>18</v>
      </c>
      <c r="H121" t="s">
        <v>18</v>
      </c>
      <c r="J121" t="s">
        <v>18</v>
      </c>
      <c r="P121" t="s">
        <v>18</v>
      </c>
      <c r="U121" t="s">
        <v>18</v>
      </c>
    </row>
    <row r="122" spans="4:22" x14ac:dyDescent="0.45">
      <c r="D122" t="s">
        <v>428</v>
      </c>
      <c r="E122" t="s">
        <v>1559</v>
      </c>
      <c r="F122" t="s">
        <v>290</v>
      </c>
      <c r="H122" t="s">
        <v>19</v>
      </c>
    </row>
    <row r="123" spans="4:22" x14ac:dyDescent="0.45">
      <c r="D123" t="s">
        <v>429</v>
      </c>
      <c r="E123" t="s">
        <v>1560</v>
      </c>
      <c r="F123" t="s">
        <v>290</v>
      </c>
      <c r="H123" t="s">
        <v>19</v>
      </c>
    </row>
    <row r="124" spans="4:22" x14ac:dyDescent="0.45">
      <c r="D124" t="s">
        <v>430</v>
      </c>
      <c r="E124" t="s">
        <v>1561</v>
      </c>
      <c r="F124" t="s">
        <v>290</v>
      </c>
      <c r="H124" t="s">
        <v>19</v>
      </c>
    </row>
    <row r="125" spans="4:22" x14ac:dyDescent="0.45">
      <c r="D125" t="s">
        <v>431</v>
      </c>
      <c r="E125" t="s">
        <v>1562</v>
      </c>
      <c r="F125" t="s">
        <v>290</v>
      </c>
      <c r="H125" t="s">
        <v>19</v>
      </c>
    </row>
    <row r="126" spans="4:22" x14ac:dyDescent="0.45">
      <c r="D126" t="s">
        <v>432</v>
      </c>
      <c r="E126" t="s">
        <v>1563</v>
      </c>
      <c r="F126" t="s">
        <v>290</v>
      </c>
      <c r="H126" t="s">
        <v>19</v>
      </c>
    </row>
    <row r="127" spans="4:22" x14ac:dyDescent="0.45">
      <c r="D127" t="s">
        <v>433</v>
      </c>
      <c r="E127" t="s">
        <v>1564</v>
      </c>
      <c r="F127" t="s">
        <v>290</v>
      </c>
      <c r="H127" t="s">
        <v>19</v>
      </c>
    </row>
    <row r="128" spans="4:22" x14ac:dyDescent="0.45">
      <c r="D128" t="s">
        <v>434</v>
      </c>
      <c r="E128" t="s">
        <v>1565</v>
      </c>
      <c r="F128" t="s">
        <v>290</v>
      </c>
      <c r="H128" t="s">
        <v>19</v>
      </c>
    </row>
    <row r="129" spans="4:22" x14ac:dyDescent="0.45">
      <c r="D129" t="s">
        <v>435</v>
      </c>
      <c r="E129" t="s">
        <v>1566</v>
      </c>
      <c r="F129" t="s">
        <v>290</v>
      </c>
      <c r="H129" t="s">
        <v>19</v>
      </c>
    </row>
    <row r="130" spans="4:22" x14ac:dyDescent="0.45">
      <c r="D130" t="s">
        <v>436</v>
      </c>
      <c r="E130" t="s">
        <v>1567</v>
      </c>
      <c r="F130" t="s">
        <v>290</v>
      </c>
      <c r="H130" t="s">
        <v>19</v>
      </c>
    </row>
    <row r="131" spans="4:22" x14ac:dyDescent="0.45">
      <c r="G131" t="s">
        <v>18</v>
      </c>
      <c r="H131" t="s">
        <v>18</v>
      </c>
      <c r="J131" t="s">
        <v>18</v>
      </c>
      <c r="P131" t="s">
        <v>18</v>
      </c>
      <c r="U131" t="s">
        <v>18</v>
      </c>
    </row>
    <row r="132" spans="4:22" x14ac:dyDescent="0.45">
      <c r="D132" t="s">
        <v>437</v>
      </c>
      <c r="E132" t="s">
        <v>1568</v>
      </c>
      <c r="F132" t="s">
        <v>290</v>
      </c>
      <c r="H132" t="s">
        <v>19</v>
      </c>
    </row>
    <row r="133" spans="4:22" x14ac:dyDescent="0.45">
      <c r="D133" t="s">
        <v>438</v>
      </c>
      <c r="E133" t="s">
        <v>1564</v>
      </c>
      <c r="F133" t="s">
        <v>290</v>
      </c>
      <c r="H133" t="s">
        <v>19</v>
      </c>
    </row>
    <row r="134" spans="4:22" x14ac:dyDescent="0.45">
      <c r="D134" t="s">
        <v>439</v>
      </c>
      <c r="E134" t="s">
        <v>1561</v>
      </c>
      <c r="F134" t="s">
        <v>290</v>
      </c>
      <c r="H134" t="s">
        <v>19</v>
      </c>
    </row>
    <row r="135" spans="4:22" x14ac:dyDescent="0.45">
      <c r="D135" t="s">
        <v>440</v>
      </c>
      <c r="E135" t="s">
        <v>1562</v>
      </c>
      <c r="F135" t="s">
        <v>290</v>
      </c>
      <c r="H135" t="s">
        <v>19</v>
      </c>
    </row>
    <row r="136" spans="4:22" x14ac:dyDescent="0.45">
      <c r="D136" t="s">
        <v>441</v>
      </c>
      <c r="E136" t="s">
        <v>1559</v>
      </c>
      <c r="F136" t="s">
        <v>290</v>
      </c>
      <c r="H136" t="s">
        <v>19</v>
      </c>
    </row>
    <row r="137" spans="4:22" x14ac:dyDescent="0.45">
      <c r="D137" t="s">
        <v>442</v>
      </c>
      <c r="E137" t="s">
        <v>1560</v>
      </c>
      <c r="F137" t="s">
        <v>290</v>
      </c>
      <c r="H137" t="s">
        <v>19</v>
      </c>
    </row>
    <row r="138" spans="4:22" x14ac:dyDescent="0.45">
      <c r="D138" t="s">
        <v>443</v>
      </c>
      <c r="E138" t="s">
        <v>1569</v>
      </c>
      <c r="F138" t="s">
        <v>290</v>
      </c>
      <c r="H138" t="s">
        <v>19</v>
      </c>
    </row>
    <row r="139" spans="4:22" x14ac:dyDescent="0.45">
      <c r="D139" t="s">
        <v>444</v>
      </c>
      <c r="E139" t="s">
        <v>1566</v>
      </c>
      <c r="F139" t="s">
        <v>290</v>
      </c>
      <c r="H139" t="s">
        <v>19</v>
      </c>
    </row>
    <row r="140" spans="4:22" x14ac:dyDescent="0.45">
      <c r="D140" t="s">
        <v>445</v>
      </c>
      <c r="E140" t="s">
        <v>1563</v>
      </c>
      <c r="F140" t="s">
        <v>290</v>
      </c>
      <c r="H140" t="s">
        <v>19</v>
      </c>
    </row>
    <row r="141" spans="4:22" x14ac:dyDescent="0.45">
      <c r="D141" t="s">
        <v>446</v>
      </c>
      <c r="E141" t="s">
        <v>1565</v>
      </c>
      <c r="F141" t="s">
        <v>290</v>
      </c>
      <c r="H141" t="s">
        <v>19</v>
      </c>
    </row>
    <row r="142" spans="4:22" x14ac:dyDescent="0.45">
      <c r="G142" t="s">
        <v>18</v>
      </c>
      <c r="H142" t="s">
        <v>18</v>
      </c>
      <c r="J142" t="s">
        <v>18</v>
      </c>
      <c r="P142" t="s">
        <v>18</v>
      </c>
      <c r="U142" t="s">
        <v>18</v>
      </c>
    </row>
    <row r="143" spans="4:22" x14ac:dyDescent="0.45">
      <c r="D143" t="s">
        <v>447</v>
      </c>
      <c r="E143" t="s">
        <v>1570</v>
      </c>
      <c r="F143" t="s">
        <v>290</v>
      </c>
      <c r="G143" t="s">
        <v>1571</v>
      </c>
      <c r="H143" t="s">
        <v>19</v>
      </c>
      <c r="I143" t="s">
        <v>99</v>
      </c>
      <c r="J143" t="s">
        <v>18</v>
      </c>
      <c r="K143" t="s">
        <v>100</v>
      </c>
      <c r="P143" t="s">
        <v>18</v>
      </c>
      <c r="Q143" t="s">
        <v>101</v>
      </c>
      <c r="U143" t="s">
        <v>18</v>
      </c>
      <c r="V143">
        <v>1</v>
      </c>
    </row>
    <row r="144" spans="4:22" x14ac:dyDescent="0.45">
      <c r="D144" t="s">
        <v>448</v>
      </c>
      <c r="E144" t="s">
        <v>1572</v>
      </c>
      <c r="F144" t="s">
        <v>290</v>
      </c>
      <c r="G144" t="s">
        <v>1573</v>
      </c>
      <c r="H144" t="s">
        <v>19</v>
      </c>
      <c r="I144" t="s">
        <v>99</v>
      </c>
      <c r="J144" t="s">
        <v>18</v>
      </c>
      <c r="K144" t="s">
        <v>102</v>
      </c>
      <c r="P144" t="s">
        <v>18</v>
      </c>
      <c r="Q144" t="s">
        <v>60</v>
      </c>
      <c r="U144" t="s">
        <v>18</v>
      </c>
      <c r="V144">
        <v>1</v>
      </c>
    </row>
    <row r="145" spans="4:22" x14ac:dyDescent="0.45">
      <c r="D145" t="s">
        <v>449</v>
      </c>
      <c r="E145" t="s">
        <v>1574</v>
      </c>
      <c r="F145" t="s">
        <v>290</v>
      </c>
      <c r="G145" t="s">
        <v>1575</v>
      </c>
      <c r="H145" t="s">
        <v>19</v>
      </c>
      <c r="I145" t="s">
        <v>99</v>
      </c>
      <c r="J145" t="s">
        <v>18</v>
      </c>
      <c r="K145" t="s">
        <v>102</v>
      </c>
      <c r="P145" t="s">
        <v>18</v>
      </c>
      <c r="Q145" t="s">
        <v>61</v>
      </c>
      <c r="U145" t="s">
        <v>18</v>
      </c>
      <c r="V145">
        <v>1</v>
      </c>
    </row>
    <row r="146" spans="4:22" x14ac:dyDescent="0.45">
      <c r="D146" t="s">
        <v>450</v>
      </c>
      <c r="E146" t="s">
        <v>1576</v>
      </c>
      <c r="F146" t="s">
        <v>290</v>
      </c>
      <c r="G146" t="s">
        <v>1577</v>
      </c>
      <c r="H146" t="s">
        <v>19</v>
      </c>
      <c r="I146" t="s">
        <v>99</v>
      </c>
      <c r="J146" t="s">
        <v>18</v>
      </c>
      <c r="K146" t="s">
        <v>103</v>
      </c>
      <c r="P146" t="s">
        <v>18</v>
      </c>
      <c r="Q146" t="s">
        <v>62</v>
      </c>
      <c r="U146" t="s">
        <v>18</v>
      </c>
      <c r="V146">
        <v>1</v>
      </c>
    </row>
    <row r="147" spans="4:22" x14ac:dyDescent="0.45">
      <c r="D147" t="s">
        <v>451</v>
      </c>
      <c r="E147" t="s">
        <v>1578</v>
      </c>
      <c r="F147" t="s">
        <v>290</v>
      </c>
      <c r="G147" t="s">
        <v>1579</v>
      </c>
      <c r="H147" t="s">
        <v>19</v>
      </c>
      <c r="I147" t="s">
        <v>99</v>
      </c>
      <c r="J147" t="s">
        <v>18</v>
      </c>
      <c r="K147" t="s">
        <v>104</v>
      </c>
      <c r="P147" t="s">
        <v>18</v>
      </c>
      <c r="Q147" t="s">
        <v>63</v>
      </c>
      <c r="U147" t="s">
        <v>18</v>
      </c>
      <c r="V147">
        <v>1</v>
      </c>
    </row>
    <row r="148" spans="4:22" x14ac:dyDescent="0.45">
      <c r="D148" t="s">
        <v>452</v>
      </c>
      <c r="E148" t="s">
        <v>1580</v>
      </c>
      <c r="F148" t="s">
        <v>290</v>
      </c>
      <c r="G148" t="s">
        <v>1581</v>
      </c>
      <c r="H148" t="s">
        <v>19</v>
      </c>
      <c r="I148" t="s">
        <v>99</v>
      </c>
      <c r="J148" t="s">
        <v>18</v>
      </c>
      <c r="K148" t="s">
        <v>104</v>
      </c>
      <c r="P148" t="s">
        <v>18</v>
      </c>
      <c r="Q148" t="s">
        <v>64</v>
      </c>
      <c r="U148" t="s">
        <v>18</v>
      </c>
      <c r="V148">
        <v>1</v>
      </c>
    </row>
    <row r="149" spans="4:22" x14ac:dyDescent="0.45">
      <c r="D149" t="s">
        <v>453</v>
      </c>
      <c r="E149" t="s">
        <v>1582</v>
      </c>
      <c r="F149" t="s">
        <v>290</v>
      </c>
      <c r="G149" t="s">
        <v>1583</v>
      </c>
      <c r="H149" t="s">
        <v>19</v>
      </c>
      <c r="I149" t="s">
        <v>99</v>
      </c>
      <c r="J149" t="s">
        <v>18</v>
      </c>
      <c r="K149" t="s">
        <v>104</v>
      </c>
      <c r="P149" t="s">
        <v>18</v>
      </c>
      <c r="Q149" t="s">
        <v>65</v>
      </c>
      <c r="U149" t="s">
        <v>18</v>
      </c>
      <c r="V149">
        <v>1</v>
      </c>
    </row>
    <row r="150" spans="4:22" x14ac:dyDescent="0.45">
      <c r="D150" t="s">
        <v>454</v>
      </c>
      <c r="E150" t="s">
        <v>1584</v>
      </c>
      <c r="F150" t="s">
        <v>290</v>
      </c>
      <c r="G150" t="s">
        <v>1585</v>
      </c>
      <c r="H150" t="s">
        <v>19</v>
      </c>
      <c r="I150" t="s">
        <v>99</v>
      </c>
      <c r="J150" t="s">
        <v>18</v>
      </c>
      <c r="K150" t="s">
        <v>104</v>
      </c>
      <c r="P150" t="s">
        <v>18</v>
      </c>
      <c r="Q150" t="s">
        <v>66</v>
      </c>
      <c r="U150" t="s">
        <v>18</v>
      </c>
      <c r="V150">
        <v>1</v>
      </c>
    </row>
    <row r="151" spans="4:22" x14ac:dyDescent="0.45">
      <c r="D151" t="s">
        <v>447</v>
      </c>
      <c r="E151" t="s">
        <v>1586</v>
      </c>
      <c r="F151" t="s">
        <v>290</v>
      </c>
      <c r="G151" t="s">
        <v>1587</v>
      </c>
      <c r="H151" t="s">
        <v>19</v>
      </c>
      <c r="I151" t="s">
        <v>99</v>
      </c>
      <c r="J151" t="s">
        <v>18</v>
      </c>
      <c r="K151" t="s">
        <v>100</v>
      </c>
      <c r="P151" t="s">
        <v>18</v>
      </c>
      <c r="Q151" t="s">
        <v>101</v>
      </c>
      <c r="U151" t="s">
        <v>18</v>
      </c>
      <c r="V151">
        <v>2</v>
      </c>
    </row>
    <row r="152" spans="4:22" x14ac:dyDescent="0.45">
      <c r="D152" t="s">
        <v>448</v>
      </c>
      <c r="E152" t="s">
        <v>1588</v>
      </c>
      <c r="F152" t="s">
        <v>290</v>
      </c>
      <c r="G152" t="s">
        <v>1589</v>
      </c>
      <c r="H152" t="s">
        <v>19</v>
      </c>
      <c r="I152" t="s">
        <v>99</v>
      </c>
      <c r="J152" t="s">
        <v>18</v>
      </c>
      <c r="K152" t="s">
        <v>102</v>
      </c>
      <c r="P152" t="s">
        <v>18</v>
      </c>
      <c r="Q152" t="s">
        <v>60</v>
      </c>
      <c r="U152" t="s">
        <v>18</v>
      </c>
      <c r="V152">
        <v>2</v>
      </c>
    </row>
    <row r="153" spans="4:22" x14ac:dyDescent="0.45">
      <c r="D153" t="s">
        <v>449</v>
      </c>
      <c r="E153" t="s">
        <v>1590</v>
      </c>
      <c r="F153" t="s">
        <v>290</v>
      </c>
      <c r="G153" t="s">
        <v>1591</v>
      </c>
      <c r="H153" t="s">
        <v>19</v>
      </c>
      <c r="I153" t="s">
        <v>99</v>
      </c>
      <c r="J153" t="s">
        <v>18</v>
      </c>
      <c r="K153" t="s">
        <v>102</v>
      </c>
      <c r="P153" t="s">
        <v>18</v>
      </c>
      <c r="Q153" t="s">
        <v>61</v>
      </c>
      <c r="U153" t="s">
        <v>18</v>
      </c>
      <c r="V153">
        <v>2</v>
      </c>
    </row>
    <row r="154" spans="4:22" x14ac:dyDescent="0.45">
      <c r="D154" t="s">
        <v>450</v>
      </c>
      <c r="E154" t="s">
        <v>1592</v>
      </c>
      <c r="F154" t="s">
        <v>290</v>
      </c>
      <c r="G154" t="s">
        <v>1593</v>
      </c>
      <c r="H154" t="s">
        <v>19</v>
      </c>
      <c r="I154" t="s">
        <v>99</v>
      </c>
      <c r="J154" t="s">
        <v>18</v>
      </c>
      <c r="K154" t="s">
        <v>103</v>
      </c>
      <c r="P154" t="s">
        <v>18</v>
      </c>
      <c r="Q154" t="s">
        <v>62</v>
      </c>
      <c r="U154" t="s">
        <v>18</v>
      </c>
      <c r="V154">
        <v>2</v>
      </c>
    </row>
    <row r="155" spans="4:22" x14ac:dyDescent="0.45">
      <c r="D155" t="s">
        <v>451</v>
      </c>
      <c r="E155" t="s">
        <v>1594</v>
      </c>
      <c r="F155" t="s">
        <v>290</v>
      </c>
      <c r="G155" t="s">
        <v>1595</v>
      </c>
      <c r="H155" t="s">
        <v>19</v>
      </c>
      <c r="I155" t="s">
        <v>99</v>
      </c>
      <c r="J155" t="s">
        <v>18</v>
      </c>
      <c r="K155" t="s">
        <v>104</v>
      </c>
      <c r="P155" t="s">
        <v>18</v>
      </c>
      <c r="Q155" t="s">
        <v>63</v>
      </c>
      <c r="U155" t="s">
        <v>18</v>
      </c>
      <c r="V155">
        <v>2</v>
      </c>
    </row>
    <row r="156" spans="4:22" x14ac:dyDescent="0.45">
      <c r="D156" t="s">
        <v>452</v>
      </c>
      <c r="E156" t="s">
        <v>1596</v>
      </c>
      <c r="F156" t="s">
        <v>290</v>
      </c>
      <c r="G156" t="s">
        <v>1597</v>
      </c>
      <c r="H156" t="s">
        <v>19</v>
      </c>
      <c r="I156" t="s">
        <v>99</v>
      </c>
      <c r="J156" t="s">
        <v>18</v>
      </c>
      <c r="K156" t="s">
        <v>104</v>
      </c>
      <c r="P156" t="s">
        <v>18</v>
      </c>
      <c r="Q156" t="s">
        <v>64</v>
      </c>
      <c r="U156" t="s">
        <v>18</v>
      </c>
      <c r="V156">
        <v>2</v>
      </c>
    </row>
    <row r="157" spans="4:22" x14ac:dyDescent="0.45">
      <c r="D157" t="s">
        <v>453</v>
      </c>
      <c r="E157" t="s">
        <v>1598</v>
      </c>
      <c r="F157" t="s">
        <v>290</v>
      </c>
      <c r="G157" t="s">
        <v>1599</v>
      </c>
      <c r="H157" t="s">
        <v>19</v>
      </c>
      <c r="I157" t="s">
        <v>99</v>
      </c>
      <c r="J157" t="s">
        <v>18</v>
      </c>
      <c r="K157" t="s">
        <v>104</v>
      </c>
      <c r="P157" t="s">
        <v>18</v>
      </c>
      <c r="Q157" t="s">
        <v>65</v>
      </c>
      <c r="U157" t="s">
        <v>18</v>
      </c>
      <c r="V157">
        <v>2</v>
      </c>
    </row>
    <row r="158" spans="4:22" x14ac:dyDescent="0.45">
      <c r="D158" t="s">
        <v>454</v>
      </c>
      <c r="E158" t="s">
        <v>1600</v>
      </c>
      <c r="F158" t="s">
        <v>290</v>
      </c>
      <c r="G158" t="s">
        <v>1601</v>
      </c>
      <c r="H158" t="s">
        <v>19</v>
      </c>
      <c r="I158" t="s">
        <v>99</v>
      </c>
      <c r="J158" t="s">
        <v>18</v>
      </c>
      <c r="K158" t="s">
        <v>104</v>
      </c>
      <c r="P158" t="s">
        <v>18</v>
      </c>
      <c r="Q158" t="s">
        <v>66</v>
      </c>
      <c r="U158" t="s">
        <v>18</v>
      </c>
      <c r="V158">
        <v>2</v>
      </c>
    </row>
    <row r="159" spans="4:22" x14ac:dyDescent="0.45">
      <c r="D159" t="s">
        <v>455</v>
      </c>
      <c r="E159" t="s">
        <v>1602</v>
      </c>
      <c r="F159" t="s">
        <v>290</v>
      </c>
      <c r="G159" t="s">
        <v>1603</v>
      </c>
      <c r="H159" t="s">
        <v>19</v>
      </c>
      <c r="I159" t="s">
        <v>99</v>
      </c>
      <c r="J159" t="s">
        <v>18</v>
      </c>
      <c r="K159" t="s">
        <v>21</v>
      </c>
      <c r="P159" t="s">
        <v>18</v>
      </c>
      <c r="Q159" t="s">
        <v>101</v>
      </c>
      <c r="U159" t="s">
        <v>18</v>
      </c>
      <c r="V159">
        <v>2</v>
      </c>
    </row>
    <row r="160" spans="4:22" x14ac:dyDescent="0.45">
      <c r="D160" t="s">
        <v>456</v>
      </c>
      <c r="E160" t="s">
        <v>1604</v>
      </c>
      <c r="F160" t="s">
        <v>290</v>
      </c>
      <c r="G160" t="s">
        <v>1605</v>
      </c>
      <c r="H160" t="s">
        <v>19</v>
      </c>
      <c r="I160" t="s">
        <v>99</v>
      </c>
      <c r="J160" t="s">
        <v>18</v>
      </c>
      <c r="K160" t="s">
        <v>21</v>
      </c>
      <c r="P160" t="s">
        <v>18</v>
      </c>
      <c r="Q160" t="s">
        <v>60</v>
      </c>
      <c r="U160" t="s">
        <v>18</v>
      </c>
      <c r="V160">
        <v>2</v>
      </c>
    </row>
    <row r="161" spans="4:22" x14ac:dyDescent="0.45">
      <c r="D161" t="s">
        <v>457</v>
      </c>
      <c r="E161" t="s">
        <v>1606</v>
      </c>
      <c r="F161" t="s">
        <v>290</v>
      </c>
      <c r="G161" t="s">
        <v>1607</v>
      </c>
      <c r="H161" t="s">
        <v>19</v>
      </c>
      <c r="I161" t="s">
        <v>99</v>
      </c>
      <c r="J161" t="s">
        <v>18</v>
      </c>
      <c r="K161" t="s">
        <v>21</v>
      </c>
      <c r="P161" t="s">
        <v>18</v>
      </c>
      <c r="Q161" t="s">
        <v>61</v>
      </c>
      <c r="U161" t="s">
        <v>18</v>
      </c>
      <c r="V161">
        <v>2</v>
      </c>
    </row>
    <row r="162" spans="4:22" x14ac:dyDescent="0.45">
      <c r="D162" t="s">
        <v>458</v>
      </c>
      <c r="E162" t="s">
        <v>1608</v>
      </c>
      <c r="F162" t="s">
        <v>290</v>
      </c>
      <c r="G162" t="s">
        <v>1609</v>
      </c>
      <c r="H162" t="s">
        <v>19</v>
      </c>
      <c r="I162" t="s">
        <v>99</v>
      </c>
      <c r="J162" t="s">
        <v>18</v>
      </c>
      <c r="K162" t="s">
        <v>21</v>
      </c>
      <c r="P162" t="s">
        <v>18</v>
      </c>
      <c r="Q162" t="s">
        <v>62</v>
      </c>
      <c r="U162" t="s">
        <v>18</v>
      </c>
      <c r="V162">
        <v>2</v>
      </c>
    </row>
    <row r="163" spans="4:22" x14ac:dyDescent="0.45">
      <c r="D163" t="s">
        <v>459</v>
      </c>
      <c r="E163" t="s">
        <v>1610</v>
      </c>
      <c r="F163" t="s">
        <v>290</v>
      </c>
      <c r="G163" t="s">
        <v>1611</v>
      </c>
      <c r="H163" t="s">
        <v>19</v>
      </c>
      <c r="I163" t="s">
        <v>99</v>
      </c>
      <c r="J163" t="s">
        <v>18</v>
      </c>
      <c r="K163" t="s">
        <v>21</v>
      </c>
      <c r="P163" t="s">
        <v>18</v>
      </c>
      <c r="Q163" t="s">
        <v>63</v>
      </c>
      <c r="U163" t="s">
        <v>18</v>
      </c>
      <c r="V163">
        <v>2</v>
      </c>
    </row>
    <row r="164" spans="4:22" x14ac:dyDescent="0.45">
      <c r="D164" t="s">
        <v>460</v>
      </c>
      <c r="E164" t="s">
        <v>1612</v>
      </c>
      <c r="F164" t="s">
        <v>290</v>
      </c>
      <c r="G164" t="s">
        <v>1613</v>
      </c>
      <c r="H164" t="s">
        <v>19</v>
      </c>
      <c r="I164" t="s">
        <v>99</v>
      </c>
      <c r="J164" t="s">
        <v>18</v>
      </c>
      <c r="K164" t="s">
        <v>21</v>
      </c>
      <c r="P164" t="s">
        <v>18</v>
      </c>
      <c r="Q164" t="s">
        <v>64</v>
      </c>
      <c r="U164" t="s">
        <v>18</v>
      </c>
      <c r="V164">
        <v>2</v>
      </c>
    </row>
    <row r="165" spans="4:22" x14ac:dyDescent="0.45">
      <c r="D165" t="s">
        <v>461</v>
      </c>
      <c r="E165" t="s">
        <v>1614</v>
      </c>
      <c r="F165" t="s">
        <v>290</v>
      </c>
      <c r="G165" t="s">
        <v>1615</v>
      </c>
      <c r="H165" t="s">
        <v>19</v>
      </c>
      <c r="I165" t="s">
        <v>99</v>
      </c>
      <c r="J165" t="s">
        <v>18</v>
      </c>
      <c r="K165" t="s">
        <v>21</v>
      </c>
      <c r="P165" t="s">
        <v>18</v>
      </c>
      <c r="Q165" t="s">
        <v>65</v>
      </c>
      <c r="U165" t="s">
        <v>18</v>
      </c>
      <c r="V165">
        <v>2</v>
      </c>
    </row>
    <row r="166" spans="4:22" x14ac:dyDescent="0.45">
      <c r="D166" t="s">
        <v>462</v>
      </c>
      <c r="E166" t="s">
        <v>1616</v>
      </c>
      <c r="F166" t="s">
        <v>290</v>
      </c>
      <c r="G166" t="s">
        <v>1617</v>
      </c>
      <c r="H166" t="s">
        <v>19</v>
      </c>
      <c r="I166" t="s">
        <v>99</v>
      </c>
      <c r="J166" t="s">
        <v>18</v>
      </c>
      <c r="K166" t="s">
        <v>21</v>
      </c>
      <c r="P166" t="s">
        <v>18</v>
      </c>
      <c r="Q166" t="s">
        <v>66</v>
      </c>
      <c r="U166" t="s">
        <v>18</v>
      </c>
      <c r="V166">
        <v>2</v>
      </c>
    </row>
    <row r="167" spans="4:22" x14ac:dyDescent="0.45">
      <c r="D167" t="s">
        <v>463</v>
      </c>
      <c r="E167" t="s">
        <v>1618</v>
      </c>
      <c r="F167" t="s">
        <v>290</v>
      </c>
      <c r="G167" t="s">
        <v>1619</v>
      </c>
      <c r="H167" t="s">
        <v>19</v>
      </c>
      <c r="I167" t="s">
        <v>105</v>
      </c>
      <c r="J167" t="s">
        <v>18</v>
      </c>
      <c r="K167" t="s">
        <v>106</v>
      </c>
      <c r="M167" t="s">
        <v>107</v>
      </c>
      <c r="P167" t="s">
        <v>107</v>
      </c>
      <c r="U167" t="s">
        <v>18</v>
      </c>
      <c r="V167">
        <v>2</v>
      </c>
    </row>
    <row r="168" spans="4:22" x14ac:dyDescent="0.45">
      <c r="D168" t="s">
        <v>464</v>
      </c>
      <c r="E168" t="s">
        <v>1620</v>
      </c>
      <c r="F168" t="s">
        <v>290</v>
      </c>
      <c r="G168" t="s">
        <v>1621</v>
      </c>
      <c r="H168" t="s">
        <v>19</v>
      </c>
      <c r="I168" t="s">
        <v>108</v>
      </c>
      <c r="J168" t="s">
        <v>18</v>
      </c>
      <c r="K168" t="s">
        <v>24</v>
      </c>
      <c r="M168" t="s">
        <v>109</v>
      </c>
      <c r="N168" t="s">
        <v>85</v>
      </c>
      <c r="P168" t="s">
        <v>85</v>
      </c>
      <c r="U168" t="s">
        <v>18</v>
      </c>
      <c r="V168">
        <v>2</v>
      </c>
    </row>
    <row r="169" spans="4:22" x14ac:dyDescent="0.45">
      <c r="D169" t="s">
        <v>465</v>
      </c>
      <c r="E169" t="s">
        <v>1622</v>
      </c>
      <c r="F169" t="s">
        <v>290</v>
      </c>
      <c r="G169" t="s">
        <v>1623</v>
      </c>
      <c r="H169" t="s">
        <v>19</v>
      </c>
      <c r="I169" t="s">
        <v>110</v>
      </c>
      <c r="J169" t="s">
        <v>18</v>
      </c>
      <c r="K169" t="s">
        <v>24</v>
      </c>
      <c r="P169" t="s">
        <v>18</v>
      </c>
      <c r="Q169" t="s">
        <v>46</v>
      </c>
      <c r="U169" t="s">
        <v>18</v>
      </c>
      <c r="V169">
        <v>1</v>
      </c>
    </row>
    <row r="170" spans="4:22" x14ac:dyDescent="0.45">
      <c r="D170" t="s">
        <v>465</v>
      </c>
      <c r="E170" t="s">
        <v>1624</v>
      </c>
      <c r="F170" t="s">
        <v>290</v>
      </c>
      <c r="G170" t="s">
        <v>1625</v>
      </c>
      <c r="H170" t="s">
        <v>19</v>
      </c>
      <c r="I170" t="s">
        <v>110</v>
      </c>
      <c r="J170" t="s">
        <v>18</v>
      </c>
      <c r="K170" t="s">
        <v>24</v>
      </c>
      <c r="P170" t="s">
        <v>18</v>
      </c>
      <c r="Q170" t="s">
        <v>46</v>
      </c>
      <c r="U170" t="s">
        <v>18</v>
      </c>
      <c r="V170">
        <v>2</v>
      </c>
    </row>
    <row r="171" spans="4:22" x14ac:dyDescent="0.45">
      <c r="D171" t="s">
        <v>466</v>
      </c>
      <c r="E171" t="s">
        <v>1626</v>
      </c>
      <c r="F171" t="s">
        <v>290</v>
      </c>
      <c r="G171" t="s">
        <v>1571</v>
      </c>
      <c r="H171" t="s">
        <v>19</v>
      </c>
      <c r="I171" t="s">
        <v>99</v>
      </c>
      <c r="K171" t="s">
        <v>100</v>
      </c>
      <c r="P171" t="s">
        <v>29</v>
      </c>
      <c r="Q171" t="s">
        <v>101</v>
      </c>
      <c r="V171">
        <v>1</v>
      </c>
    </row>
    <row r="172" spans="4:22" x14ac:dyDescent="0.45">
      <c r="D172" t="s">
        <v>467</v>
      </c>
      <c r="E172" t="s">
        <v>1627</v>
      </c>
      <c r="F172" t="s">
        <v>290</v>
      </c>
      <c r="G172" t="s">
        <v>1571</v>
      </c>
      <c r="H172" t="s">
        <v>19</v>
      </c>
      <c r="I172" t="s">
        <v>99</v>
      </c>
      <c r="K172" t="s">
        <v>100</v>
      </c>
      <c r="P172" t="s">
        <v>28</v>
      </c>
      <c r="Q172" t="s">
        <v>101</v>
      </c>
      <c r="V172">
        <v>1</v>
      </c>
    </row>
    <row r="173" spans="4:22" x14ac:dyDescent="0.45">
      <c r="D173" t="s">
        <v>468</v>
      </c>
      <c r="E173" t="s">
        <v>1628</v>
      </c>
      <c r="F173" t="s">
        <v>290</v>
      </c>
      <c r="G173" t="s">
        <v>1573</v>
      </c>
      <c r="H173" t="s">
        <v>19</v>
      </c>
      <c r="I173" t="s">
        <v>99</v>
      </c>
      <c r="K173" t="s">
        <v>102</v>
      </c>
      <c r="P173" t="s">
        <v>29</v>
      </c>
      <c r="Q173" t="s">
        <v>60</v>
      </c>
      <c r="V173">
        <v>1</v>
      </c>
    </row>
    <row r="174" spans="4:22" x14ac:dyDescent="0.45">
      <c r="D174" t="s">
        <v>469</v>
      </c>
      <c r="E174" t="s">
        <v>1629</v>
      </c>
      <c r="F174" t="s">
        <v>290</v>
      </c>
      <c r="G174" t="s">
        <v>1575</v>
      </c>
      <c r="H174" t="s">
        <v>19</v>
      </c>
      <c r="I174" t="s">
        <v>99</v>
      </c>
      <c r="K174" t="s">
        <v>102</v>
      </c>
      <c r="P174" t="s">
        <v>29</v>
      </c>
      <c r="Q174" t="s">
        <v>61</v>
      </c>
      <c r="V174">
        <v>1</v>
      </c>
    </row>
    <row r="175" spans="4:22" x14ac:dyDescent="0.45">
      <c r="D175" t="s">
        <v>470</v>
      </c>
      <c r="E175" t="s">
        <v>1630</v>
      </c>
      <c r="F175" t="s">
        <v>290</v>
      </c>
      <c r="G175" t="s">
        <v>1573</v>
      </c>
      <c r="H175" t="s">
        <v>19</v>
      </c>
      <c r="I175" t="s">
        <v>99</v>
      </c>
      <c r="K175" t="s">
        <v>102</v>
      </c>
      <c r="P175" t="s">
        <v>28</v>
      </c>
      <c r="Q175" t="s">
        <v>60</v>
      </c>
      <c r="V175">
        <v>1</v>
      </c>
    </row>
    <row r="176" spans="4:22" x14ac:dyDescent="0.45">
      <c r="D176" t="s">
        <v>471</v>
      </c>
      <c r="E176" t="s">
        <v>1631</v>
      </c>
      <c r="F176" t="s">
        <v>290</v>
      </c>
      <c r="G176" t="s">
        <v>1575</v>
      </c>
      <c r="H176" t="s">
        <v>19</v>
      </c>
      <c r="I176" t="s">
        <v>99</v>
      </c>
      <c r="K176" t="s">
        <v>102</v>
      </c>
      <c r="P176" t="s">
        <v>28</v>
      </c>
      <c r="Q176" t="s">
        <v>61</v>
      </c>
      <c r="V176">
        <v>1</v>
      </c>
    </row>
    <row r="177" spans="4:22" x14ac:dyDescent="0.45">
      <c r="D177" t="s">
        <v>472</v>
      </c>
      <c r="E177" t="s">
        <v>1632</v>
      </c>
      <c r="F177" t="s">
        <v>290</v>
      </c>
      <c r="G177" t="s">
        <v>1573</v>
      </c>
      <c r="H177" t="s">
        <v>19</v>
      </c>
      <c r="I177" t="s">
        <v>99</v>
      </c>
      <c r="K177" t="s">
        <v>102</v>
      </c>
      <c r="P177" t="s">
        <v>26</v>
      </c>
      <c r="Q177" t="s">
        <v>60</v>
      </c>
      <c r="V177">
        <v>1</v>
      </c>
    </row>
    <row r="178" spans="4:22" x14ac:dyDescent="0.45">
      <c r="D178" t="s">
        <v>473</v>
      </c>
      <c r="E178" t="s">
        <v>1633</v>
      </c>
      <c r="F178" t="s">
        <v>290</v>
      </c>
      <c r="G178" t="s">
        <v>1575</v>
      </c>
      <c r="H178" t="s">
        <v>19</v>
      </c>
      <c r="I178" t="s">
        <v>99</v>
      </c>
      <c r="K178" t="s">
        <v>102</v>
      </c>
      <c r="P178" t="s">
        <v>26</v>
      </c>
      <c r="Q178" t="s">
        <v>61</v>
      </c>
      <c r="V178">
        <v>1</v>
      </c>
    </row>
    <row r="179" spans="4:22" x14ac:dyDescent="0.45">
      <c r="D179" t="s">
        <v>474</v>
      </c>
      <c r="E179" t="s">
        <v>1634</v>
      </c>
      <c r="F179" t="s">
        <v>290</v>
      </c>
      <c r="G179" t="s">
        <v>1587</v>
      </c>
      <c r="H179" t="s">
        <v>19</v>
      </c>
      <c r="I179" t="s">
        <v>99</v>
      </c>
      <c r="K179" t="s">
        <v>100</v>
      </c>
      <c r="P179" t="s">
        <v>29</v>
      </c>
      <c r="Q179" t="s">
        <v>101</v>
      </c>
      <c r="V179">
        <v>2</v>
      </c>
    </row>
    <row r="180" spans="4:22" x14ac:dyDescent="0.45">
      <c r="D180" t="s">
        <v>475</v>
      </c>
      <c r="E180" t="s">
        <v>1635</v>
      </c>
      <c r="F180" t="s">
        <v>290</v>
      </c>
      <c r="G180" t="s">
        <v>1587</v>
      </c>
      <c r="H180" t="s">
        <v>19</v>
      </c>
      <c r="I180" t="s">
        <v>99</v>
      </c>
      <c r="K180" t="s">
        <v>100</v>
      </c>
      <c r="P180" t="s">
        <v>28</v>
      </c>
      <c r="Q180" t="s">
        <v>101</v>
      </c>
      <c r="V180">
        <v>2</v>
      </c>
    </row>
    <row r="181" spans="4:22" x14ac:dyDescent="0.45">
      <c r="D181" t="s">
        <v>476</v>
      </c>
      <c r="E181" t="s">
        <v>1636</v>
      </c>
      <c r="F181" t="s">
        <v>290</v>
      </c>
      <c r="G181" t="s">
        <v>1589</v>
      </c>
      <c r="H181" t="s">
        <v>19</v>
      </c>
      <c r="I181" t="s">
        <v>99</v>
      </c>
      <c r="K181" t="s">
        <v>102</v>
      </c>
      <c r="P181" t="s">
        <v>29</v>
      </c>
      <c r="Q181" t="s">
        <v>60</v>
      </c>
      <c r="V181">
        <v>2</v>
      </c>
    </row>
    <row r="182" spans="4:22" x14ac:dyDescent="0.45">
      <c r="D182" t="s">
        <v>477</v>
      </c>
      <c r="E182" t="s">
        <v>1637</v>
      </c>
      <c r="F182" t="s">
        <v>290</v>
      </c>
      <c r="G182" t="s">
        <v>1591</v>
      </c>
      <c r="H182" t="s">
        <v>19</v>
      </c>
      <c r="I182" t="s">
        <v>99</v>
      </c>
      <c r="K182" t="s">
        <v>102</v>
      </c>
      <c r="P182" t="s">
        <v>29</v>
      </c>
      <c r="Q182" t="s">
        <v>61</v>
      </c>
      <c r="V182">
        <v>2</v>
      </c>
    </row>
    <row r="183" spans="4:22" x14ac:dyDescent="0.45">
      <c r="D183" t="s">
        <v>478</v>
      </c>
      <c r="E183" t="s">
        <v>1638</v>
      </c>
      <c r="F183" t="s">
        <v>290</v>
      </c>
      <c r="G183" t="s">
        <v>1589</v>
      </c>
      <c r="H183" t="s">
        <v>19</v>
      </c>
      <c r="I183" t="s">
        <v>99</v>
      </c>
      <c r="K183" t="s">
        <v>102</v>
      </c>
      <c r="P183" t="s">
        <v>28</v>
      </c>
      <c r="Q183" t="s">
        <v>60</v>
      </c>
      <c r="V183">
        <v>2</v>
      </c>
    </row>
    <row r="184" spans="4:22" x14ac:dyDescent="0.45">
      <c r="D184" t="s">
        <v>479</v>
      </c>
      <c r="E184" t="s">
        <v>1639</v>
      </c>
      <c r="F184" t="s">
        <v>290</v>
      </c>
      <c r="G184" t="s">
        <v>1591</v>
      </c>
      <c r="H184" t="s">
        <v>19</v>
      </c>
      <c r="I184" t="s">
        <v>99</v>
      </c>
      <c r="K184" t="s">
        <v>102</v>
      </c>
      <c r="P184" t="s">
        <v>28</v>
      </c>
      <c r="Q184" t="s">
        <v>61</v>
      </c>
      <c r="V184">
        <v>2</v>
      </c>
    </row>
    <row r="185" spans="4:22" x14ac:dyDescent="0.45">
      <c r="D185" t="s">
        <v>480</v>
      </c>
      <c r="E185" t="s">
        <v>1640</v>
      </c>
      <c r="F185" t="s">
        <v>290</v>
      </c>
      <c r="G185" t="s">
        <v>1589</v>
      </c>
      <c r="H185" t="s">
        <v>19</v>
      </c>
      <c r="I185" t="s">
        <v>99</v>
      </c>
      <c r="K185" t="s">
        <v>102</v>
      </c>
      <c r="P185" t="s">
        <v>26</v>
      </c>
      <c r="Q185" t="s">
        <v>60</v>
      </c>
      <c r="V185">
        <v>2</v>
      </c>
    </row>
    <row r="186" spans="4:22" x14ac:dyDescent="0.45">
      <c r="D186" t="s">
        <v>481</v>
      </c>
      <c r="E186" t="s">
        <v>1641</v>
      </c>
      <c r="F186" t="s">
        <v>290</v>
      </c>
      <c r="G186" t="s">
        <v>1591</v>
      </c>
      <c r="H186" t="s">
        <v>19</v>
      </c>
      <c r="I186" t="s">
        <v>99</v>
      </c>
      <c r="K186" t="s">
        <v>102</v>
      </c>
      <c r="P186" t="s">
        <v>26</v>
      </c>
      <c r="Q186" t="s">
        <v>61</v>
      </c>
      <c r="V186">
        <v>2</v>
      </c>
    </row>
    <row r="187" spans="4:22" x14ac:dyDescent="0.45">
      <c r="H187" t="s">
        <v>18</v>
      </c>
      <c r="J187" t="s">
        <v>18</v>
      </c>
      <c r="P187" t="s">
        <v>18</v>
      </c>
      <c r="U187" t="s">
        <v>18</v>
      </c>
    </row>
    <row r="188" spans="4:22" x14ac:dyDescent="0.45">
      <c r="D188" t="s">
        <v>482</v>
      </c>
      <c r="E188" t="s">
        <v>1642</v>
      </c>
      <c r="F188" t="s">
        <v>290</v>
      </c>
      <c r="G188" t="s">
        <v>1643</v>
      </c>
      <c r="H188" t="s">
        <v>19</v>
      </c>
      <c r="I188" t="s">
        <v>111</v>
      </c>
      <c r="J188" t="s">
        <v>18</v>
      </c>
      <c r="K188" t="s">
        <v>100</v>
      </c>
      <c r="P188" t="s">
        <v>29</v>
      </c>
      <c r="Q188" t="s">
        <v>101</v>
      </c>
      <c r="U188" t="s">
        <v>18</v>
      </c>
      <c r="V188">
        <v>1</v>
      </c>
    </row>
    <row r="189" spans="4:22" x14ac:dyDescent="0.45">
      <c r="D189" t="s">
        <v>483</v>
      </c>
      <c r="E189" t="s">
        <v>1644</v>
      </c>
      <c r="F189" t="s">
        <v>290</v>
      </c>
      <c r="G189" t="s">
        <v>1643</v>
      </c>
      <c r="H189" t="s">
        <v>19</v>
      </c>
      <c r="I189" t="s">
        <v>111</v>
      </c>
      <c r="J189" t="s">
        <v>18</v>
      </c>
      <c r="K189" t="s">
        <v>100</v>
      </c>
      <c r="P189" t="s">
        <v>28</v>
      </c>
      <c r="Q189" t="s">
        <v>101</v>
      </c>
      <c r="U189" t="s">
        <v>18</v>
      </c>
      <c r="V189">
        <v>1</v>
      </c>
    </row>
    <row r="190" spans="4:22" x14ac:dyDescent="0.45">
      <c r="D190" t="s">
        <v>484</v>
      </c>
      <c r="E190" t="s">
        <v>1645</v>
      </c>
      <c r="F190" t="s">
        <v>290</v>
      </c>
      <c r="G190" t="s">
        <v>1646</v>
      </c>
      <c r="H190" t="s">
        <v>19</v>
      </c>
      <c r="I190" t="s">
        <v>112</v>
      </c>
      <c r="K190" t="s">
        <v>102</v>
      </c>
      <c r="P190" t="s">
        <v>29</v>
      </c>
      <c r="Q190" t="s">
        <v>60</v>
      </c>
      <c r="V190">
        <v>1</v>
      </c>
    </row>
    <row r="191" spans="4:22" x14ac:dyDescent="0.45">
      <c r="D191" t="s">
        <v>485</v>
      </c>
      <c r="E191" t="s">
        <v>1647</v>
      </c>
      <c r="F191" t="s">
        <v>290</v>
      </c>
      <c r="G191" t="s">
        <v>1648</v>
      </c>
      <c r="H191" t="s">
        <v>19</v>
      </c>
      <c r="I191" t="s">
        <v>112</v>
      </c>
      <c r="K191" t="s">
        <v>102</v>
      </c>
      <c r="P191" t="s">
        <v>29</v>
      </c>
      <c r="Q191" t="s">
        <v>61</v>
      </c>
      <c r="V191">
        <v>1</v>
      </c>
    </row>
    <row r="192" spans="4:22" x14ac:dyDescent="0.45">
      <c r="D192" t="s">
        <v>486</v>
      </c>
      <c r="E192" t="s">
        <v>1649</v>
      </c>
      <c r="F192" t="s">
        <v>290</v>
      </c>
      <c r="G192" t="s">
        <v>1646</v>
      </c>
      <c r="H192" t="s">
        <v>19</v>
      </c>
      <c r="I192" t="s">
        <v>112</v>
      </c>
      <c r="K192" t="s">
        <v>102</v>
      </c>
      <c r="P192" t="s">
        <v>28</v>
      </c>
      <c r="Q192" t="s">
        <v>60</v>
      </c>
      <c r="V192">
        <v>1</v>
      </c>
    </row>
    <row r="193" spans="4:22" x14ac:dyDescent="0.45">
      <c r="D193" t="s">
        <v>487</v>
      </c>
      <c r="E193" t="s">
        <v>1650</v>
      </c>
      <c r="F193" t="s">
        <v>290</v>
      </c>
      <c r="G193" t="s">
        <v>1648</v>
      </c>
      <c r="H193" t="s">
        <v>19</v>
      </c>
      <c r="I193" t="s">
        <v>112</v>
      </c>
      <c r="K193" t="s">
        <v>102</v>
      </c>
      <c r="P193" t="s">
        <v>28</v>
      </c>
      <c r="Q193" t="s">
        <v>61</v>
      </c>
      <c r="V193">
        <v>1</v>
      </c>
    </row>
    <row r="194" spans="4:22" x14ac:dyDescent="0.45">
      <c r="D194" t="s">
        <v>488</v>
      </c>
      <c r="E194" t="s">
        <v>1651</v>
      </c>
      <c r="F194" t="s">
        <v>290</v>
      </c>
      <c r="G194" t="s">
        <v>1646</v>
      </c>
      <c r="H194" t="s">
        <v>19</v>
      </c>
      <c r="I194" t="s">
        <v>112</v>
      </c>
      <c r="K194" t="s">
        <v>102</v>
      </c>
      <c r="P194" t="s">
        <v>26</v>
      </c>
      <c r="Q194" t="s">
        <v>60</v>
      </c>
      <c r="V194">
        <v>1</v>
      </c>
    </row>
    <row r="195" spans="4:22" x14ac:dyDescent="0.45">
      <c r="D195" t="s">
        <v>489</v>
      </c>
      <c r="E195" t="s">
        <v>1652</v>
      </c>
      <c r="F195" t="s">
        <v>290</v>
      </c>
      <c r="G195" t="s">
        <v>1648</v>
      </c>
      <c r="H195" t="s">
        <v>19</v>
      </c>
      <c r="I195" t="s">
        <v>112</v>
      </c>
      <c r="K195" t="s">
        <v>102</v>
      </c>
      <c r="P195" t="s">
        <v>26</v>
      </c>
      <c r="Q195" t="s">
        <v>61</v>
      </c>
      <c r="V195">
        <v>1</v>
      </c>
    </row>
    <row r="196" spans="4:22" x14ac:dyDescent="0.45">
      <c r="D196" t="s">
        <v>490</v>
      </c>
      <c r="E196" t="s">
        <v>1653</v>
      </c>
      <c r="F196" t="s">
        <v>290</v>
      </c>
      <c r="G196" t="s">
        <v>1654</v>
      </c>
      <c r="H196" t="s">
        <v>19</v>
      </c>
      <c r="I196" t="s">
        <v>112</v>
      </c>
      <c r="K196" t="s">
        <v>103</v>
      </c>
      <c r="P196" t="s">
        <v>46</v>
      </c>
      <c r="Q196" t="s">
        <v>113</v>
      </c>
      <c r="V196">
        <v>1</v>
      </c>
    </row>
    <row r="197" spans="4:22" x14ac:dyDescent="0.45">
      <c r="D197" t="s">
        <v>491</v>
      </c>
      <c r="E197" t="s">
        <v>1655</v>
      </c>
      <c r="F197" t="s">
        <v>290</v>
      </c>
      <c r="G197" t="s">
        <v>1656</v>
      </c>
      <c r="H197" t="s">
        <v>19</v>
      </c>
      <c r="I197" t="s">
        <v>112</v>
      </c>
      <c r="K197" t="s">
        <v>104</v>
      </c>
      <c r="P197" t="s">
        <v>46</v>
      </c>
      <c r="Q197" t="s">
        <v>63</v>
      </c>
      <c r="V197">
        <v>1</v>
      </c>
    </row>
    <row r="198" spans="4:22" x14ac:dyDescent="0.45">
      <c r="D198" t="s">
        <v>492</v>
      </c>
      <c r="E198" t="s">
        <v>1657</v>
      </c>
      <c r="F198" t="s">
        <v>290</v>
      </c>
      <c r="G198" t="s">
        <v>1658</v>
      </c>
      <c r="H198" t="s">
        <v>19</v>
      </c>
      <c r="I198" t="s">
        <v>112</v>
      </c>
      <c r="K198" t="s">
        <v>104</v>
      </c>
      <c r="P198" t="s">
        <v>46</v>
      </c>
      <c r="Q198" t="s">
        <v>64</v>
      </c>
      <c r="V198">
        <v>1</v>
      </c>
    </row>
    <row r="199" spans="4:22" x14ac:dyDescent="0.45">
      <c r="D199" t="s">
        <v>493</v>
      </c>
      <c r="E199" t="s">
        <v>1659</v>
      </c>
      <c r="F199" t="s">
        <v>290</v>
      </c>
      <c r="G199" t="s">
        <v>1660</v>
      </c>
      <c r="H199" t="s">
        <v>19</v>
      </c>
      <c r="I199" t="s">
        <v>112</v>
      </c>
      <c r="K199" t="s">
        <v>104</v>
      </c>
      <c r="P199" t="s">
        <v>46</v>
      </c>
      <c r="Q199" t="s">
        <v>65</v>
      </c>
      <c r="V199">
        <v>1</v>
      </c>
    </row>
    <row r="200" spans="4:22" x14ac:dyDescent="0.45">
      <c r="D200" t="s">
        <v>494</v>
      </c>
      <c r="E200" t="s">
        <v>1661</v>
      </c>
      <c r="F200" t="s">
        <v>290</v>
      </c>
      <c r="G200" t="s">
        <v>1662</v>
      </c>
      <c r="H200" t="s">
        <v>19</v>
      </c>
      <c r="I200" t="s">
        <v>112</v>
      </c>
      <c r="K200" t="s">
        <v>104</v>
      </c>
      <c r="P200" t="s">
        <v>46</v>
      </c>
      <c r="Q200" t="s">
        <v>66</v>
      </c>
      <c r="V200">
        <v>1</v>
      </c>
    </row>
    <row r="201" spans="4:22" x14ac:dyDescent="0.45">
      <c r="D201" t="s">
        <v>495</v>
      </c>
      <c r="E201" t="s">
        <v>1663</v>
      </c>
      <c r="F201" t="s">
        <v>290</v>
      </c>
      <c r="G201" t="s">
        <v>1664</v>
      </c>
      <c r="H201" t="s">
        <v>19</v>
      </c>
      <c r="I201" t="s">
        <v>114</v>
      </c>
      <c r="K201" t="s">
        <v>100</v>
      </c>
      <c r="P201" t="s">
        <v>29</v>
      </c>
      <c r="Q201" t="s">
        <v>101</v>
      </c>
      <c r="V201">
        <v>1</v>
      </c>
    </row>
    <row r="202" spans="4:22" x14ac:dyDescent="0.45">
      <c r="D202" t="s">
        <v>496</v>
      </c>
      <c r="E202" t="s">
        <v>1665</v>
      </c>
      <c r="F202" t="s">
        <v>290</v>
      </c>
      <c r="G202" t="s">
        <v>1664</v>
      </c>
      <c r="H202" t="s">
        <v>19</v>
      </c>
      <c r="I202" t="s">
        <v>114</v>
      </c>
      <c r="K202" t="s">
        <v>100</v>
      </c>
      <c r="P202" t="s">
        <v>28</v>
      </c>
      <c r="Q202" t="s">
        <v>101</v>
      </c>
      <c r="V202">
        <v>1</v>
      </c>
    </row>
    <row r="203" spans="4:22" x14ac:dyDescent="0.45">
      <c r="D203" t="s">
        <v>497</v>
      </c>
      <c r="E203" t="s">
        <v>1666</v>
      </c>
      <c r="F203" t="s">
        <v>290</v>
      </c>
      <c r="G203" t="s">
        <v>1667</v>
      </c>
      <c r="H203" t="s">
        <v>19</v>
      </c>
      <c r="I203" t="s">
        <v>114</v>
      </c>
      <c r="K203" t="s">
        <v>102</v>
      </c>
      <c r="P203" t="s">
        <v>29</v>
      </c>
      <c r="Q203" t="s">
        <v>60</v>
      </c>
      <c r="V203">
        <v>1</v>
      </c>
    </row>
    <row r="204" spans="4:22" x14ac:dyDescent="0.45">
      <c r="D204" t="s">
        <v>498</v>
      </c>
      <c r="E204" t="s">
        <v>1668</v>
      </c>
      <c r="F204" t="s">
        <v>290</v>
      </c>
      <c r="G204" t="s">
        <v>1669</v>
      </c>
      <c r="H204" t="s">
        <v>19</v>
      </c>
      <c r="I204" t="s">
        <v>114</v>
      </c>
      <c r="K204" t="s">
        <v>102</v>
      </c>
      <c r="P204" t="s">
        <v>29</v>
      </c>
      <c r="Q204" t="s">
        <v>61</v>
      </c>
      <c r="V204">
        <v>1</v>
      </c>
    </row>
    <row r="205" spans="4:22" x14ac:dyDescent="0.45">
      <c r="D205" t="s">
        <v>499</v>
      </c>
      <c r="E205" t="s">
        <v>1670</v>
      </c>
      <c r="F205" t="s">
        <v>290</v>
      </c>
      <c r="G205" t="s">
        <v>1667</v>
      </c>
      <c r="H205" t="s">
        <v>19</v>
      </c>
      <c r="I205" t="s">
        <v>114</v>
      </c>
      <c r="K205" t="s">
        <v>102</v>
      </c>
      <c r="P205" t="s">
        <v>28</v>
      </c>
      <c r="Q205" t="s">
        <v>60</v>
      </c>
      <c r="V205">
        <v>1</v>
      </c>
    </row>
    <row r="206" spans="4:22" x14ac:dyDescent="0.45">
      <c r="D206" t="s">
        <v>500</v>
      </c>
      <c r="E206" t="s">
        <v>1671</v>
      </c>
      <c r="F206" t="s">
        <v>290</v>
      </c>
      <c r="G206" t="s">
        <v>1669</v>
      </c>
      <c r="H206" t="s">
        <v>19</v>
      </c>
      <c r="I206" t="s">
        <v>114</v>
      </c>
      <c r="K206" t="s">
        <v>102</v>
      </c>
      <c r="P206" t="s">
        <v>28</v>
      </c>
      <c r="Q206" t="s">
        <v>61</v>
      </c>
      <c r="V206">
        <v>1</v>
      </c>
    </row>
    <row r="207" spans="4:22" x14ac:dyDescent="0.45">
      <c r="D207" t="s">
        <v>501</v>
      </c>
      <c r="E207" t="s">
        <v>1672</v>
      </c>
      <c r="F207" t="s">
        <v>290</v>
      </c>
      <c r="G207" t="s">
        <v>1667</v>
      </c>
      <c r="H207" t="s">
        <v>19</v>
      </c>
      <c r="I207" t="s">
        <v>114</v>
      </c>
      <c r="K207" t="s">
        <v>102</v>
      </c>
      <c r="P207" t="s">
        <v>26</v>
      </c>
      <c r="Q207" t="s">
        <v>60</v>
      </c>
      <c r="V207">
        <v>1</v>
      </c>
    </row>
    <row r="208" spans="4:22" x14ac:dyDescent="0.45">
      <c r="D208" t="s">
        <v>502</v>
      </c>
      <c r="E208" t="s">
        <v>1673</v>
      </c>
      <c r="F208" t="s">
        <v>290</v>
      </c>
      <c r="G208" t="s">
        <v>1669</v>
      </c>
      <c r="H208" t="s">
        <v>19</v>
      </c>
      <c r="I208" t="s">
        <v>114</v>
      </c>
      <c r="K208" t="s">
        <v>102</v>
      </c>
      <c r="P208" t="s">
        <v>26</v>
      </c>
      <c r="Q208" t="s">
        <v>61</v>
      </c>
      <c r="V208">
        <v>1</v>
      </c>
    </row>
    <row r="209" spans="4:22" x14ac:dyDescent="0.45">
      <c r="D209" t="s">
        <v>503</v>
      </c>
      <c r="E209" t="s">
        <v>1674</v>
      </c>
      <c r="F209" t="s">
        <v>290</v>
      </c>
      <c r="G209" t="s">
        <v>1675</v>
      </c>
      <c r="H209" t="s">
        <v>19</v>
      </c>
      <c r="I209" t="s">
        <v>114</v>
      </c>
      <c r="K209" t="s">
        <v>103</v>
      </c>
      <c r="P209" t="s">
        <v>46</v>
      </c>
      <c r="Q209" t="s">
        <v>113</v>
      </c>
      <c r="V209">
        <v>1</v>
      </c>
    </row>
    <row r="210" spans="4:22" x14ac:dyDescent="0.45">
      <c r="D210" t="s">
        <v>504</v>
      </c>
      <c r="E210" t="s">
        <v>1676</v>
      </c>
      <c r="F210" t="s">
        <v>290</v>
      </c>
      <c r="G210" t="s">
        <v>1677</v>
      </c>
      <c r="H210" t="s">
        <v>19</v>
      </c>
      <c r="I210" t="s">
        <v>114</v>
      </c>
      <c r="K210" t="s">
        <v>104</v>
      </c>
      <c r="P210" t="s">
        <v>46</v>
      </c>
      <c r="Q210" t="s">
        <v>63</v>
      </c>
      <c r="V210">
        <v>1</v>
      </c>
    </row>
    <row r="211" spans="4:22" x14ac:dyDescent="0.45">
      <c r="D211" t="s">
        <v>505</v>
      </c>
      <c r="E211" t="s">
        <v>1678</v>
      </c>
      <c r="F211" t="s">
        <v>290</v>
      </c>
      <c r="G211" t="s">
        <v>1679</v>
      </c>
      <c r="H211" t="s">
        <v>19</v>
      </c>
      <c r="I211" t="s">
        <v>114</v>
      </c>
      <c r="K211" t="s">
        <v>104</v>
      </c>
      <c r="P211" t="s">
        <v>46</v>
      </c>
      <c r="Q211" t="s">
        <v>64</v>
      </c>
      <c r="V211">
        <v>1</v>
      </c>
    </row>
    <row r="212" spans="4:22" x14ac:dyDescent="0.45">
      <c r="D212" t="s">
        <v>506</v>
      </c>
      <c r="E212" t="s">
        <v>1680</v>
      </c>
      <c r="F212" t="s">
        <v>290</v>
      </c>
      <c r="G212" t="s">
        <v>1681</v>
      </c>
      <c r="H212" t="s">
        <v>19</v>
      </c>
      <c r="I212" t="s">
        <v>114</v>
      </c>
      <c r="K212" t="s">
        <v>104</v>
      </c>
      <c r="P212" t="s">
        <v>46</v>
      </c>
      <c r="Q212" t="s">
        <v>65</v>
      </c>
      <c r="V212">
        <v>1</v>
      </c>
    </row>
    <row r="213" spans="4:22" x14ac:dyDescent="0.45">
      <c r="D213" t="s">
        <v>507</v>
      </c>
      <c r="E213" t="s">
        <v>1682</v>
      </c>
      <c r="F213" t="s">
        <v>290</v>
      </c>
      <c r="G213" t="s">
        <v>1683</v>
      </c>
      <c r="H213" t="s">
        <v>19</v>
      </c>
      <c r="I213" t="s">
        <v>114</v>
      </c>
      <c r="K213" t="s">
        <v>104</v>
      </c>
      <c r="P213" t="s">
        <v>46</v>
      </c>
      <c r="Q213" t="s">
        <v>66</v>
      </c>
      <c r="V213">
        <v>1</v>
      </c>
    </row>
    <row r="214" spans="4:22" x14ac:dyDescent="0.45">
      <c r="D214" t="s">
        <v>508</v>
      </c>
      <c r="E214" t="s">
        <v>1684</v>
      </c>
      <c r="F214" t="s">
        <v>290</v>
      </c>
      <c r="G214" t="s">
        <v>1685</v>
      </c>
      <c r="H214" t="s">
        <v>115</v>
      </c>
      <c r="I214" t="s">
        <v>116</v>
      </c>
      <c r="K214" t="s">
        <v>100</v>
      </c>
      <c r="P214" t="s">
        <v>29</v>
      </c>
      <c r="Q214" t="s">
        <v>101</v>
      </c>
      <c r="V214">
        <v>1</v>
      </c>
    </row>
    <row r="215" spans="4:22" x14ac:dyDescent="0.45">
      <c r="D215" t="s">
        <v>509</v>
      </c>
      <c r="E215" t="s">
        <v>1686</v>
      </c>
      <c r="F215" t="s">
        <v>290</v>
      </c>
      <c r="G215" t="s">
        <v>1687</v>
      </c>
      <c r="H215" t="s">
        <v>19</v>
      </c>
      <c r="I215" t="s">
        <v>116</v>
      </c>
      <c r="K215" t="s">
        <v>100</v>
      </c>
      <c r="P215" t="s">
        <v>28</v>
      </c>
      <c r="Q215" t="s">
        <v>101</v>
      </c>
      <c r="V215">
        <v>1</v>
      </c>
    </row>
    <row r="216" spans="4:22" x14ac:dyDescent="0.45">
      <c r="D216" t="s">
        <v>510</v>
      </c>
      <c r="E216" t="s">
        <v>1688</v>
      </c>
      <c r="F216" t="s">
        <v>290</v>
      </c>
      <c r="G216" t="s">
        <v>1689</v>
      </c>
      <c r="H216" t="s">
        <v>19</v>
      </c>
      <c r="I216" t="s">
        <v>116</v>
      </c>
      <c r="K216" t="s">
        <v>102</v>
      </c>
      <c r="P216" t="s">
        <v>29</v>
      </c>
      <c r="Q216" t="s">
        <v>60</v>
      </c>
      <c r="V216">
        <v>1</v>
      </c>
    </row>
    <row r="217" spans="4:22" x14ac:dyDescent="0.45">
      <c r="D217" t="s">
        <v>511</v>
      </c>
      <c r="E217" t="s">
        <v>1690</v>
      </c>
      <c r="F217" t="s">
        <v>290</v>
      </c>
      <c r="G217" t="s">
        <v>1691</v>
      </c>
      <c r="H217" t="s">
        <v>19</v>
      </c>
      <c r="I217" t="s">
        <v>116</v>
      </c>
      <c r="K217" t="s">
        <v>102</v>
      </c>
      <c r="P217" t="s">
        <v>29</v>
      </c>
      <c r="Q217" t="s">
        <v>61</v>
      </c>
      <c r="V217">
        <v>1</v>
      </c>
    </row>
    <row r="218" spans="4:22" x14ac:dyDescent="0.45">
      <c r="D218" t="s">
        <v>512</v>
      </c>
      <c r="E218" t="s">
        <v>1692</v>
      </c>
      <c r="F218" t="s">
        <v>290</v>
      </c>
      <c r="G218" t="s">
        <v>1689</v>
      </c>
      <c r="H218" t="s">
        <v>19</v>
      </c>
      <c r="I218" t="s">
        <v>116</v>
      </c>
      <c r="K218" t="s">
        <v>102</v>
      </c>
      <c r="P218" t="s">
        <v>28</v>
      </c>
      <c r="Q218" t="s">
        <v>60</v>
      </c>
      <c r="V218">
        <v>1</v>
      </c>
    </row>
    <row r="219" spans="4:22" x14ac:dyDescent="0.45">
      <c r="D219" t="s">
        <v>513</v>
      </c>
      <c r="E219" t="s">
        <v>1693</v>
      </c>
      <c r="F219" t="s">
        <v>290</v>
      </c>
      <c r="G219" t="s">
        <v>1691</v>
      </c>
      <c r="H219" t="s">
        <v>19</v>
      </c>
      <c r="I219" t="s">
        <v>116</v>
      </c>
      <c r="K219" t="s">
        <v>102</v>
      </c>
      <c r="P219" t="s">
        <v>28</v>
      </c>
      <c r="Q219" t="s">
        <v>61</v>
      </c>
      <c r="V219">
        <v>1</v>
      </c>
    </row>
    <row r="220" spans="4:22" x14ac:dyDescent="0.45">
      <c r="D220" t="s">
        <v>514</v>
      </c>
      <c r="E220" t="s">
        <v>1694</v>
      </c>
      <c r="F220" t="s">
        <v>290</v>
      </c>
      <c r="G220" t="s">
        <v>1689</v>
      </c>
      <c r="H220" t="s">
        <v>19</v>
      </c>
      <c r="I220" t="s">
        <v>116</v>
      </c>
      <c r="K220" t="s">
        <v>102</v>
      </c>
      <c r="P220" t="s">
        <v>26</v>
      </c>
      <c r="Q220" t="s">
        <v>60</v>
      </c>
      <c r="V220">
        <v>1</v>
      </c>
    </row>
    <row r="221" spans="4:22" x14ac:dyDescent="0.45">
      <c r="D221" t="s">
        <v>515</v>
      </c>
      <c r="E221" t="s">
        <v>1695</v>
      </c>
      <c r="F221" t="s">
        <v>290</v>
      </c>
      <c r="G221" t="s">
        <v>1691</v>
      </c>
      <c r="H221" t="s">
        <v>19</v>
      </c>
      <c r="I221" t="s">
        <v>116</v>
      </c>
      <c r="K221" t="s">
        <v>102</v>
      </c>
      <c r="P221" t="s">
        <v>26</v>
      </c>
      <c r="Q221" t="s">
        <v>61</v>
      </c>
      <c r="V221">
        <v>1</v>
      </c>
    </row>
    <row r="222" spans="4:22" x14ac:dyDescent="0.45">
      <c r="D222" t="s">
        <v>516</v>
      </c>
      <c r="E222" t="s">
        <v>1696</v>
      </c>
      <c r="F222" t="s">
        <v>290</v>
      </c>
      <c r="G222" t="s">
        <v>1697</v>
      </c>
      <c r="H222" t="s">
        <v>19</v>
      </c>
      <c r="I222" t="s">
        <v>116</v>
      </c>
      <c r="K222" t="s">
        <v>103</v>
      </c>
      <c r="P222" t="s">
        <v>46</v>
      </c>
      <c r="Q222" t="s">
        <v>113</v>
      </c>
      <c r="V222">
        <v>1</v>
      </c>
    </row>
    <row r="223" spans="4:22" x14ac:dyDescent="0.45">
      <c r="D223" t="s">
        <v>517</v>
      </c>
      <c r="E223" t="s">
        <v>1698</v>
      </c>
      <c r="F223" t="s">
        <v>290</v>
      </c>
      <c r="G223" t="s">
        <v>1699</v>
      </c>
      <c r="H223" t="s">
        <v>19</v>
      </c>
      <c r="I223" t="s">
        <v>116</v>
      </c>
      <c r="K223" t="s">
        <v>104</v>
      </c>
      <c r="P223" t="s">
        <v>46</v>
      </c>
      <c r="Q223" t="s">
        <v>63</v>
      </c>
      <c r="V223">
        <v>1</v>
      </c>
    </row>
    <row r="224" spans="4:22" x14ac:dyDescent="0.45">
      <c r="D224" t="s">
        <v>518</v>
      </c>
      <c r="E224" t="s">
        <v>1700</v>
      </c>
      <c r="F224" t="s">
        <v>290</v>
      </c>
      <c r="G224" t="s">
        <v>1701</v>
      </c>
      <c r="H224" t="s">
        <v>19</v>
      </c>
      <c r="I224" t="s">
        <v>116</v>
      </c>
      <c r="K224" t="s">
        <v>104</v>
      </c>
      <c r="P224" t="s">
        <v>46</v>
      </c>
      <c r="Q224" t="s">
        <v>64</v>
      </c>
      <c r="V224">
        <v>1</v>
      </c>
    </row>
    <row r="225" spans="4:22" x14ac:dyDescent="0.45">
      <c r="D225" t="s">
        <v>519</v>
      </c>
      <c r="E225" t="s">
        <v>1702</v>
      </c>
      <c r="F225" t="s">
        <v>290</v>
      </c>
      <c r="G225" t="s">
        <v>1703</v>
      </c>
      <c r="H225" t="s">
        <v>19</v>
      </c>
      <c r="I225" t="s">
        <v>116</v>
      </c>
      <c r="K225" t="s">
        <v>104</v>
      </c>
      <c r="P225" t="s">
        <v>46</v>
      </c>
      <c r="Q225" t="s">
        <v>65</v>
      </c>
      <c r="V225">
        <v>1</v>
      </c>
    </row>
    <row r="226" spans="4:22" x14ac:dyDescent="0.45">
      <c r="D226" t="s">
        <v>520</v>
      </c>
      <c r="E226" t="s">
        <v>1704</v>
      </c>
      <c r="F226" t="s">
        <v>290</v>
      </c>
      <c r="G226" t="s">
        <v>1705</v>
      </c>
      <c r="H226" t="s">
        <v>19</v>
      </c>
      <c r="I226" t="s">
        <v>116</v>
      </c>
      <c r="K226" t="s">
        <v>104</v>
      </c>
      <c r="P226" t="s">
        <v>46</v>
      </c>
      <c r="Q226" t="s">
        <v>66</v>
      </c>
      <c r="V226">
        <v>1</v>
      </c>
    </row>
    <row r="227" spans="4:22" x14ac:dyDescent="0.45">
      <c r="D227" t="s">
        <v>521</v>
      </c>
      <c r="E227" t="s">
        <v>1706</v>
      </c>
      <c r="F227" t="s">
        <v>290</v>
      </c>
      <c r="G227" t="s">
        <v>1687</v>
      </c>
      <c r="H227" t="s">
        <v>19</v>
      </c>
      <c r="I227" t="s">
        <v>116</v>
      </c>
      <c r="K227" t="s">
        <v>100</v>
      </c>
      <c r="P227" t="s">
        <v>29</v>
      </c>
      <c r="Q227" t="s">
        <v>101</v>
      </c>
      <c r="V227">
        <v>1</v>
      </c>
    </row>
    <row r="228" spans="4:22" x14ac:dyDescent="0.45">
      <c r="D228" t="s">
        <v>522</v>
      </c>
      <c r="E228" t="s">
        <v>1707</v>
      </c>
      <c r="F228" t="s">
        <v>290</v>
      </c>
      <c r="G228" t="s">
        <v>1687</v>
      </c>
      <c r="H228" t="s">
        <v>19</v>
      </c>
      <c r="I228" t="s">
        <v>116</v>
      </c>
      <c r="K228" t="s">
        <v>100</v>
      </c>
      <c r="P228" t="s">
        <v>28</v>
      </c>
      <c r="Q228" t="s">
        <v>101</v>
      </c>
      <c r="V228">
        <v>1</v>
      </c>
    </row>
    <row r="229" spans="4:22" x14ac:dyDescent="0.45">
      <c r="D229" t="s">
        <v>523</v>
      </c>
      <c r="E229" t="s">
        <v>1708</v>
      </c>
      <c r="F229" t="s">
        <v>290</v>
      </c>
      <c r="G229" t="s">
        <v>1689</v>
      </c>
      <c r="H229" t="s">
        <v>19</v>
      </c>
      <c r="I229" t="s">
        <v>116</v>
      </c>
      <c r="K229" t="s">
        <v>102</v>
      </c>
      <c r="P229" t="s">
        <v>29</v>
      </c>
      <c r="Q229" t="s">
        <v>60</v>
      </c>
      <c r="V229">
        <v>1</v>
      </c>
    </row>
    <row r="230" spans="4:22" x14ac:dyDescent="0.45">
      <c r="D230" t="s">
        <v>524</v>
      </c>
      <c r="E230" t="s">
        <v>1709</v>
      </c>
      <c r="F230" t="s">
        <v>290</v>
      </c>
      <c r="G230" t="s">
        <v>1691</v>
      </c>
      <c r="H230" t="s">
        <v>19</v>
      </c>
      <c r="I230" t="s">
        <v>116</v>
      </c>
      <c r="K230" t="s">
        <v>102</v>
      </c>
      <c r="P230" t="s">
        <v>29</v>
      </c>
      <c r="Q230" t="s">
        <v>61</v>
      </c>
      <c r="V230">
        <v>1</v>
      </c>
    </row>
    <row r="231" spans="4:22" x14ac:dyDescent="0.45">
      <c r="D231" t="s">
        <v>525</v>
      </c>
      <c r="E231" t="s">
        <v>1710</v>
      </c>
      <c r="F231" t="s">
        <v>290</v>
      </c>
      <c r="G231" t="s">
        <v>1689</v>
      </c>
      <c r="H231" t="s">
        <v>19</v>
      </c>
      <c r="I231" t="s">
        <v>116</v>
      </c>
      <c r="K231" t="s">
        <v>102</v>
      </c>
      <c r="P231" t="s">
        <v>28</v>
      </c>
      <c r="Q231" t="s">
        <v>60</v>
      </c>
      <c r="V231">
        <v>1</v>
      </c>
    </row>
    <row r="232" spans="4:22" x14ac:dyDescent="0.45">
      <c r="D232" t="s">
        <v>526</v>
      </c>
      <c r="E232" t="s">
        <v>1711</v>
      </c>
      <c r="F232" t="s">
        <v>290</v>
      </c>
      <c r="G232" t="s">
        <v>1691</v>
      </c>
      <c r="H232" t="s">
        <v>19</v>
      </c>
      <c r="I232" t="s">
        <v>116</v>
      </c>
      <c r="K232" t="s">
        <v>102</v>
      </c>
      <c r="P232" t="s">
        <v>28</v>
      </c>
      <c r="Q232" t="s">
        <v>61</v>
      </c>
      <c r="V232">
        <v>1</v>
      </c>
    </row>
    <row r="233" spans="4:22" x14ac:dyDescent="0.45">
      <c r="D233" t="s">
        <v>527</v>
      </c>
      <c r="E233" t="s">
        <v>1712</v>
      </c>
      <c r="F233" t="s">
        <v>290</v>
      </c>
      <c r="G233" t="s">
        <v>1689</v>
      </c>
      <c r="H233" t="s">
        <v>19</v>
      </c>
      <c r="I233" t="s">
        <v>116</v>
      </c>
      <c r="K233" t="s">
        <v>102</v>
      </c>
      <c r="P233" t="s">
        <v>26</v>
      </c>
      <c r="Q233" t="s">
        <v>60</v>
      </c>
      <c r="V233">
        <v>1</v>
      </c>
    </row>
    <row r="234" spans="4:22" x14ac:dyDescent="0.45">
      <c r="D234" t="s">
        <v>528</v>
      </c>
      <c r="E234" t="s">
        <v>1713</v>
      </c>
      <c r="F234" t="s">
        <v>290</v>
      </c>
      <c r="G234" t="s">
        <v>1691</v>
      </c>
      <c r="H234" t="s">
        <v>19</v>
      </c>
      <c r="I234" t="s">
        <v>116</v>
      </c>
      <c r="K234" t="s">
        <v>102</v>
      </c>
      <c r="P234" t="s">
        <v>26</v>
      </c>
      <c r="Q234" t="s">
        <v>61</v>
      </c>
      <c r="V234">
        <v>1</v>
      </c>
    </row>
    <row r="235" spans="4:22" x14ac:dyDescent="0.45">
      <c r="D235" t="s">
        <v>529</v>
      </c>
      <c r="E235" t="s">
        <v>1714</v>
      </c>
      <c r="F235" t="s">
        <v>290</v>
      </c>
      <c r="G235" t="s">
        <v>1697</v>
      </c>
      <c r="H235" t="s">
        <v>19</v>
      </c>
      <c r="I235" t="s">
        <v>116</v>
      </c>
      <c r="K235" t="s">
        <v>103</v>
      </c>
      <c r="P235" t="s">
        <v>46</v>
      </c>
      <c r="Q235" t="s">
        <v>113</v>
      </c>
      <c r="V235">
        <v>1</v>
      </c>
    </row>
    <row r="236" spans="4:22" x14ac:dyDescent="0.45">
      <c r="D236" t="s">
        <v>530</v>
      </c>
      <c r="E236" t="s">
        <v>1715</v>
      </c>
      <c r="F236" t="s">
        <v>290</v>
      </c>
      <c r="G236" t="s">
        <v>1699</v>
      </c>
      <c r="H236" t="s">
        <v>19</v>
      </c>
      <c r="I236" t="s">
        <v>116</v>
      </c>
      <c r="K236" t="s">
        <v>104</v>
      </c>
      <c r="P236" t="s">
        <v>46</v>
      </c>
      <c r="Q236" t="s">
        <v>63</v>
      </c>
      <c r="V236">
        <v>1</v>
      </c>
    </row>
    <row r="237" spans="4:22" x14ac:dyDescent="0.45">
      <c r="D237" t="s">
        <v>531</v>
      </c>
      <c r="E237" t="s">
        <v>1716</v>
      </c>
      <c r="F237" t="s">
        <v>290</v>
      </c>
      <c r="G237" t="s">
        <v>1701</v>
      </c>
      <c r="H237" t="s">
        <v>19</v>
      </c>
      <c r="I237" t="s">
        <v>116</v>
      </c>
      <c r="K237" t="s">
        <v>104</v>
      </c>
      <c r="P237" t="s">
        <v>46</v>
      </c>
      <c r="Q237" t="s">
        <v>64</v>
      </c>
      <c r="V237">
        <v>1</v>
      </c>
    </row>
    <row r="238" spans="4:22" x14ac:dyDescent="0.45">
      <c r="D238" t="s">
        <v>532</v>
      </c>
      <c r="E238" t="s">
        <v>1717</v>
      </c>
      <c r="F238" t="s">
        <v>290</v>
      </c>
      <c r="G238" t="s">
        <v>1703</v>
      </c>
      <c r="H238" t="s">
        <v>19</v>
      </c>
      <c r="I238" t="s">
        <v>116</v>
      </c>
      <c r="K238" t="s">
        <v>104</v>
      </c>
      <c r="P238" t="s">
        <v>46</v>
      </c>
      <c r="Q238" t="s">
        <v>65</v>
      </c>
      <c r="V238">
        <v>1</v>
      </c>
    </row>
    <row r="239" spans="4:22" x14ac:dyDescent="0.45">
      <c r="D239" t="s">
        <v>533</v>
      </c>
      <c r="E239" t="s">
        <v>1718</v>
      </c>
      <c r="F239" t="s">
        <v>290</v>
      </c>
      <c r="G239" t="s">
        <v>1705</v>
      </c>
      <c r="H239" t="s">
        <v>19</v>
      </c>
      <c r="I239" t="s">
        <v>116</v>
      </c>
      <c r="K239" t="s">
        <v>104</v>
      </c>
      <c r="P239" t="s">
        <v>46</v>
      </c>
      <c r="Q239" t="s">
        <v>66</v>
      </c>
      <c r="V239">
        <v>1</v>
      </c>
    </row>
    <row r="240" spans="4:22" x14ac:dyDescent="0.45">
      <c r="D240" t="s">
        <v>534</v>
      </c>
      <c r="E240" t="s">
        <v>1719</v>
      </c>
      <c r="F240" t="s">
        <v>290</v>
      </c>
      <c r="G240" t="s">
        <v>1720</v>
      </c>
      <c r="H240" t="s">
        <v>19</v>
      </c>
      <c r="I240" t="s">
        <v>117</v>
      </c>
      <c r="K240" t="s">
        <v>100</v>
      </c>
      <c r="P240" t="s">
        <v>29</v>
      </c>
      <c r="Q240" t="s">
        <v>101</v>
      </c>
      <c r="V240">
        <v>1</v>
      </c>
    </row>
    <row r="241" spans="4:22" x14ac:dyDescent="0.45">
      <c r="D241" t="s">
        <v>535</v>
      </c>
      <c r="E241" t="s">
        <v>1721</v>
      </c>
      <c r="F241" t="s">
        <v>290</v>
      </c>
      <c r="G241" t="s">
        <v>1720</v>
      </c>
      <c r="H241" t="s">
        <v>19</v>
      </c>
      <c r="I241" t="s">
        <v>117</v>
      </c>
      <c r="K241" t="s">
        <v>100</v>
      </c>
      <c r="P241" t="s">
        <v>28</v>
      </c>
      <c r="Q241" t="s">
        <v>101</v>
      </c>
      <c r="V241">
        <v>1</v>
      </c>
    </row>
    <row r="242" spans="4:22" x14ac:dyDescent="0.45">
      <c r="D242" t="s">
        <v>536</v>
      </c>
      <c r="E242" t="s">
        <v>1722</v>
      </c>
      <c r="F242" t="s">
        <v>290</v>
      </c>
      <c r="G242" t="s">
        <v>1723</v>
      </c>
      <c r="H242" t="s">
        <v>19</v>
      </c>
      <c r="I242" t="s">
        <v>117</v>
      </c>
      <c r="K242" t="s">
        <v>102</v>
      </c>
      <c r="P242" t="s">
        <v>29</v>
      </c>
      <c r="Q242" t="s">
        <v>60</v>
      </c>
      <c r="V242">
        <v>1</v>
      </c>
    </row>
    <row r="243" spans="4:22" x14ac:dyDescent="0.45">
      <c r="D243" t="s">
        <v>537</v>
      </c>
      <c r="E243" t="s">
        <v>1724</v>
      </c>
      <c r="F243" t="s">
        <v>290</v>
      </c>
      <c r="G243" t="s">
        <v>1725</v>
      </c>
      <c r="H243" t="s">
        <v>19</v>
      </c>
      <c r="I243" t="s">
        <v>117</v>
      </c>
      <c r="K243" t="s">
        <v>102</v>
      </c>
      <c r="P243" t="s">
        <v>29</v>
      </c>
      <c r="Q243" t="s">
        <v>61</v>
      </c>
      <c r="V243">
        <v>1</v>
      </c>
    </row>
    <row r="244" spans="4:22" x14ac:dyDescent="0.45">
      <c r="D244" t="s">
        <v>538</v>
      </c>
      <c r="E244" t="s">
        <v>1726</v>
      </c>
      <c r="F244" t="s">
        <v>290</v>
      </c>
      <c r="G244" t="s">
        <v>1723</v>
      </c>
      <c r="H244" t="s">
        <v>19</v>
      </c>
      <c r="I244" t="s">
        <v>117</v>
      </c>
      <c r="K244" t="s">
        <v>102</v>
      </c>
      <c r="P244" t="s">
        <v>28</v>
      </c>
      <c r="Q244" t="s">
        <v>60</v>
      </c>
      <c r="V244">
        <v>1</v>
      </c>
    </row>
    <row r="245" spans="4:22" x14ac:dyDescent="0.45">
      <c r="D245" t="s">
        <v>539</v>
      </c>
      <c r="E245" t="s">
        <v>1727</v>
      </c>
      <c r="F245" t="s">
        <v>290</v>
      </c>
      <c r="G245" t="s">
        <v>1725</v>
      </c>
      <c r="H245" t="s">
        <v>19</v>
      </c>
      <c r="I245" t="s">
        <v>117</v>
      </c>
      <c r="K245" t="s">
        <v>102</v>
      </c>
      <c r="P245" t="s">
        <v>28</v>
      </c>
      <c r="Q245" t="s">
        <v>61</v>
      </c>
      <c r="V245">
        <v>1</v>
      </c>
    </row>
    <row r="246" spans="4:22" x14ac:dyDescent="0.45">
      <c r="D246" t="s">
        <v>540</v>
      </c>
      <c r="E246" t="s">
        <v>1728</v>
      </c>
      <c r="F246" t="s">
        <v>290</v>
      </c>
      <c r="G246" t="s">
        <v>1723</v>
      </c>
      <c r="H246" t="s">
        <v>19</v>
      </c>
      <c r="I246" t="s">
        <v>117</v>
      </c>
      <c r="K246" t="s">
        <v>102</v>
      </c>
      <c r="P246" t="s">
        <v>26</v>
      </c>
      <c r="Q246" t="s">
        <v>60</v>
      </c>
      <c r="V246">
        <v>1</v>
      </c>
    </row>
    <row r="247" spans="4:22" x14ac:dyDescent="0.45">
      <c r="D247" t="s">
        <v>541</v>
      </c>
      <c r="E247" t="s">
        <v>1729</v>
      </c>
      <c r="F247" t="s">
        <v>290</v>
      </c>
      <c r="G247" t="s">
        <v>1725</v>
      </c>
      <c r="H247" t="s">
        <v>19</v>
      </c>
      <c r="I247" t="s">
        <v>117</v>
      </c>
      <c r="K247" t="s">
        <v>102</v>
      </c>
      <c r="P247" t="s">
        <v>26</v>
      </c>
      <c r="Q247" t="s">
        <v>61</v>
      </c>
      <c r="V247">
        <v>1</v>
      </c>
    </row>
    <row r="248" spans="4:22" x14ac:dyDescent="0.45">
      <c r="D248" t="s">
        <v>542</v>
      </c>
      <c r="E248" t="s">
        <v>1730</v>
      </c>
      <c r="F248" t="s">
        <v>290</v>
      </c>
      <c r="G248" t="s">
        <v>1731</v>
      </c>
      <c r="H248" t="s">
        <v>19</v>
      </c>
      <c r="I248" t="s">
        <v>117</v>
      </c>
      <c r="K248" t="s">
        <v>103</v>
      </c>
      <c r="P248" t="s">
        <v>46</v>
      </c>
      <c r="Q248" t="s">
        <v>113</v>
      </c>
      <c r="V248">
        <v>1</v>
      </c>
    </row>
    <row r="249" spans="4:22" x14ac:dyDescent="0.45">
      <c r="D249" t="s">
        <v>543</v>
      </c>
      <c r="E249" t="s">
        <v>1732</v>
      </c>
      <c r="F249" t="s">
        <v>290</v>
      </c>
      <c r="G249" t="s">
        <v>1733</v>
      </c>
      <c r="H249" t="s">
        <v>19</v>
      </c>
      <c r="I249" t="s">
        <v>117</v>
      </c>
      <c r="K249" t="s">
        <v>104</v>
      </c>
      <c r="P249" t="s">
        <v>46</v>
      </c>
      <c r="Q249" t="s">
        <v>63</v>
      </c>
      <c r="V249">
        <v>1</v>
      </c>
    </row>
    <row r="250" spans="4:22" x14ac:dyDescent="0.45">
      <c r="D250" t="s">
        <v>544</v>
      </c>
      <c r="E250" t="s">
        <v>1734</v>
      </c>
      <c r="F250" t="s">
        <v>290</v>
      </c>
      <c r="G250" t="s">
        <v>1735</v>
      </c>
      <c r="H250" t="s">
        <v>19</v>
      </c>
      <c r="I250" t="s">
        <v>117</v>
      </c>
      <c r="K250" t="s">
        <v>104</v>
      </c>
      <c r="P250" t="s">
        <v>46</v>
      </c>
      <c r="Q250" t="s">
        <v>64</v>
      </c>
      <c r="V250">
        <v>1</v>
      </c>
    </row>
    <row r="251" spans="4:22" x14ac:dyDescent="0.45">
      <c r="D251" t="s">
        <v>545</v>
      </c>
      <c r="E251" t="s">
        <v>1736</v>
      </c>
      <c r="F251" t="s">
        <v>290</v>
      </c>
      <c r="G251" t="s">
        <v>1737</v>
      </c>
      <c r="H251" t="s">
        <v>19</v>
      </c>
      <c r="I251" t="s">
        <v>117</v>
      </c>
      <c r="K251" t="s">
        <v>104</v>
      </c>
      <c r="P251" t="s">
        <v>46</v>
      </c>
      <c r="Q251" t="s">
        <v>65</v>
      </c>
      <c r="V251">
        <v>1</v>
      </c>
    </row>
    <row r="252" spans="4:22" x14ac:dyDescent="0.45">
      <c r="D252" t="s">
        <v>546</v>
      </c>
      <c r="E252" t="s">
        <v>1738</v>
      </c>
      <c r="F252" t="s">
        <v>290</v>
      </c>
      <c r="G252" t="s">
        <v>1739</v>
      </c>
      <c r="H252" t="s">
        <v>19</v>
      </c>
      <c r="I252" t="s">
        <v>117</v>
      </c>
      <c r="K252" t="s">
        <v>104</v>
      </c>
      <c r="P252" t="s">
        <v>46</v>
      </c>
      <c r="Q252" t="s">
        <v>66</v>
      </c>
      <c r="V252">
        <v>1</v>
      </c>
    </row>
    <row r="253" spans="4:22" x14ac:dyDescent="0.45">
      <c r="H253" t="s">
        <v>18</v>
      </c>
      <c r="J253" t="s">
        <v>18</v>
      </c>
      <c r="P253" t="s">
        <v>18</v>
      </c>
      <c r="U253" t="s">
        <v>18</v>
      </c>
      <c r="V253" t="s">
        <v>18</v>
      </c>
    </row>
    <row r="254" spans="4:22" x14ac:dyDescent="0.45">
      <c r="D254" t="s">
        <v>547</v>
      </c>
      <c r="E254" t="s">
        <v>1740</v>
      </c>
      <c r="F254" t="s">
        <v>290</v>
      </c>
      <c r="G254" t="s">
        <v>1741</v>
      </c>
      <c r="H254" t="s">
        <v>19</v>
      </c>
      <c r="I254" t="s">
        <v>118</v>
      </c>
      <c r="K254" t="s">
        <v>119</v>
      </c>
      <c r="P254" t="s">
        <v>46</v>
      </c>
      <c r="Q254" t="s">
        <v>60</v>
      </c>
      <c r="V254">
        <v>1</v>
      </c>
    </row>
    <row r="255" spans="4:22" x14ac:dyDescent="0.45">
      <c r="D255" t="s">
        <v>548</v>
      </c>
      <c r="E255" t="s">
        <v>1742</v>
      </c>
      <c r="F255" t="s">
        <v>290</v>
      </c>
      <c r="G255" t="s">
        <v>1743</v>
      </c>
      <c r="H255" t="s">
        <v>19</v>
      </c>
      <c r="I255" t="s">
        <v>118</v>
      </c>
      <c r="K255" t="s">
        <v>119</v>
      </c>
      <c r="P255" t="s">
        <v>46</v>
      </c>
      <c r="Q255" t="s">
        <v>61</v>
      </c>
      <c r="V255">
        <v>1</v>
      </c>
    </row>
    <row r="256" spans="4:22" x14ac:dyDescent="0.45">
      <c r="D256" t="s">
        <v>549</v>
      </c>
      <c r="E256" t="s">
        <v>1744</v>
      </c>
      <c r="F256" t="s">
        <v>290</v>
      </c>
      <c r="G256" t="s">
        <v>1745</v>
      </c>
      <c r="H256" t="s">
        <v>19</v>
      </c>
      <c r="I256" t="s">
        <v>118</v>
      </c>
      <c r="K256" t="s">
        <v>119</v>
      </c>
      <c r="P256" t="s">
        <v>46</v>
      </c>
      <c r="Q256" t="s">
        <v>63</v>
      </c>
      <c r="V256">
        <v>1</v>
      </c>
    </row>
    <row r="257" spans="4:22" x14ac:dyDescent="0.45">
      <c r="D257" t="s">
        <v>550</v>
      </c>
      <c r="E257" t="s">
        <v>1746</v>
      </c>
      <c r="F257" t="s">
        <v>290</v>
      </c>
      <c r="G257" t="s">
        <v>1747</v>
      </c>
      <c r="H257" t="s">
        <v>19</v>
      </c>
      <c r="I257" t="s">
        <v>118</v>
      </c>
      <c r="K257" t="s">
        <v>119</v>
      </c>
      <c r="P257" t="s">
        <v>46</v>
      </c>
      <c r="Q257" t="s">
        <v>64</v>
      </c>
      <c r="V257">
        <v>1</v>
      </c>
    </row>
    <row r="258" spans="4:22" x14ac:dyDescent="0.45">
      <c r="D258" t="s">
        <v>551</v>
      </c>
      <c r="E258" t="s">
        <v>1748</v>
      </c>
      <c r="F258" t="s">
        <v>290</v>
      </c>
      <c r="G258" t="s">
        <v>1749</v>
      </c>
      <c r="H258" t="s">
        <v>19</v>
      </c>
      <c r="I258" t="s">
        <v>118</v>
      </c>
      <c r="K258" t="s">
        <v>119</v>
      </c>
      <c r="P258" t="s">
        <v>46</v>
      </c>
      <c r="Q258" t="s">
        <v>65</v>
      </c>
      <c r="V258">
        <v>1</v>
      </c>
    </row>
    <row r="259" spans="4:22" x14ac:dyDescent="0.45">
      <c r="D259" t="s">
        <v>552</v>
      </c>
      <c r="E259" t="s">
        <v>1750</v>
      </c>
      <c r="F259" t="s">
        <v>290</v>
      </c>
      <c r="G259" t="s">
        <v>1751</v>
      </c>
      <c r="H259" t="s">
        <v>19</v>
      </c>
      <c r="I259" t="s">
        <v>118</v>
      </c>
      <c r="K259" t="s">
        <v>119</v>
      </c>
      <c r="P259" t="s">
        <v>46</v>
      </c>
      <c r="Q259" t="s">
        <v>66</v>
      </c>
      <c r="V259">
        <v>1</v>
      </c>
    </row>
    <row r="260" spans="4:22" x14ac:dyDescent="0.45">
      <c r="D260" t="s">
        <v>553</v>
      </c>
      <c r="E260" t="s">
        <v>1752</v>
      </c>
      <c r="F260" t="s">
        <v>290</v>
      </c>
      <c r="G260" t="s">
        <v>1753</v>
      </c>
      <c r="H260" t="s">
        <v>19</v>
      </c>
      <c r="I260" t="s">
        <v>118</v>
      </c>
      <c r="K260" t="s">
        <v>119</v>
      </c>
      <c r="P260" t="s">
        <v>46</v>
      </c>
      <c r="Q260" t="s">
        <v>113</v>
      </c>
      <c r="V260">
        <v>1</v>
      </c>
    </row>
    <row r="261" spans="4:22" x14ac:dyDescent="0.45">
      <c r="D261" t="s">
        <v>554</v>
      </c>
      <c r="E261" t="s">
        <v>1754</v>
      </c>
      <c r="F261" t="s">
        <v>290</v>
      </c>
      <c r="G261" t="s">
        <v>1755</v>
      </c>
      <c r="H261" t="s">
        <v>19</v>
      </c>
      <c r="I261" t="s">
        <v>118</v>
      </c>
      <c r="K261" t="s">
        <v>119</v>
      </c>
      <c r="P261" t="s">
        <v>46</v>
      </c>
      <c r="Q261" t="s">
        <v>46</v>
      </c>
      <c r="V261">
        <v>1</v>
      </c>
    </row>
    <row r="262" spans="4:22" x14ac:dyDescent="0.45">
      <c r="D262" t="s">
        <v>555</v>
      </c>
      <c r="E262" t="s">
        <v>1756</v>
      </c>
      <c r="F262" t="s">
        <v>290</v>
      </c>
      <c r="G262" t="s">
        <v>1741</v>
      </c>
      <c r="H262" t="s">
        <v>19</v>
      </c>
      <c r="I262" t="s">
        <v>118</v>
      </c>
      <c r="K262" t="s">
        <v>119</v>
      </c>
      <c r="P262" t="s">
        <v>46</v>
      </c>
      <c r="Q262" t="s">
        <v>60</v>
      </c>
      <c r="V262">
        <v>1</v>
      </c>
    </row>
    <row r="263" spans="4:22" x14ac:dyDescent="0.45">
      <c r="D263" t="s">
        <v>556</v>
      </c>
      <c r="E263" t="s">
        <v>1757</v>
      </c>
      <c r="F263" t="s">
        <v>290</v>
      </c>
      <c r="G263" t="s">
        <v>1743</v>
      </c>
      <c r="H263" t="s">
        <v>19</v>
      </c>
      <c r="I263" t="s">
        <v>118</v>
      </c>
      <c r="K263" t="s">
        <v>119</v>
      </c>
      <c r="P263" t="s">
        <v>46</v>
      </c>
      <c r="Q263" t="s">
        <v>61</v>
      </c>
      <c r="V263">
        <v>1</v>
      </c>
    </row>
    <row r="264" spans="4:22" x14ac:dyDescent="0.45">
      <c r="D264" t="s">
        <v>557</v>
      </c>
      <c r="E264" t="s">
        <v>1758</v>
      </c>
      <c r="F264" t="s">
        <v>290</v>
      </c>
      <c r="G264" t="s">
        <v>1745</v>
      </c>
      <c r="H264" t="s">
        <v>19</v>
      </c>
      <c r="I264" t="s">
        <v>118</v>
      </c>
      <c r="K264" t="s">
        <v>119</v>
      </c>
      <c r="P264" t="s">
        <v>46</v>
      </c>
      <c r="Q264" t="s">
        <v>63</v>
      </c>
      <c r="V264">
        <v>1</v>
      </c>
    </row>
    <row r="265" spans="4:22" x14ac:dyDescent="0.45">
      <c r="D265" t="s">
        <v>558</v>
      </c>
      <c r="E265" t="s">
        <v>1759</v>
      </c>
      <c r="F265" t="s">
        <v>290</v>
      </c>
      <c r="G265" t="s">
        <v>1747</v>
      </c>
      <c r="H265" t="s">
        <v>19</v>
      </c>
      <c r="I265" t="s">
        <v>118</v>
      </c>
      <c r="K265" t="s">
        <v>119</v>
      </c>
      <c r="P265" t="s">
        <v>46</v>
      </c>
      <c r="Q265" t="s">
        <v>64</v>
      </c>
      <c r="V265">
        <v>1</v>
      </c>
    </row>
    <row r="266" spans="4:22" x14ac:dyDescent="0.45">
      <c r="D266" t="s">
        <v>559</v>
      </c>
      <c r="E266" t="s">
        <v>1760</v>
      </c>
      <c r="F266" t="s">
        <v>290</v>
      </c>
      <c r="G266" t="s">
        <v>1749</v>
      </c>
      <c r="H266" t="s">
        <v>19</v>
      </c>
      <c r="I266" t="s">
        <v>118</v>
      </c>
      <c r="K266" t="s">
        <v>119</v>
      </c>
      <c r="P266" t="s">
        <v>46</v>
      </c>
      <c r="Q266" t="s">
        <v>65</v>
      </c>
      <c r="V266">
        <v>1</v>
      </c>
    </row>
    <row r="267" spans="4:22" x14ac:dyDescent="0.45">
      <c r="D267" t="s">
        <v>560</v>
      </c>
      <c r="E267" t="s">
        <v>1761</v>
      </c>
      <c r="F267" t="s">
        <v>290</v>
      </c>
      <c r="G267" t="s">
        <v>1751</v>
      </c>
      <c r="H267" t="s">
        <v>19</v>
      </c>
      <c r="I267" t="s">
        <v>118</v>
      </c>
      <c r="K267" t="s">
        <v>119</v>
      </c>
      <c r="P267" t="s">
        <v>46</v>
      </c>
      <c r="Q267" t="s">
        <v>66</v>
      </c>
      <c r="V267">
        <v>1</v>
      </c>
    </row>
    <row r="268" spans="4:22" x14ac:dyDescent="0.45">
      <c r="D268" t="s">
        <v>561</v>
      </c>
      <c r="E268" t="s">
        <v>1762</v>
      </c>
      <c r="F268" t="s">
        <v>290</v>
      </c>
      <c r="G268" t="s">
        <v>1753</v>
      </c>
      <c r="H268" t="s">
        <v>19</v>
      </c>
      <c r="I268" t="s">
        <v>118</v>
      </c>
      <c r="K268" t="s">
        <v>119</v>
      </c>
      <c r="P268" t="s">
        <v>46</v>
      </c>
      <c r="Q268" t="s">
        <v>113</v>
      </c>
      <c r="V268">
        <v>1</v>
      </c>
    </row>
    <row r="269" spans="4:22" x14ac:dyDescent="0.45">
      <c r="D269" t="s">
        <v>562</v>
      </c>
      <c r="E269" t="s">
        <v>1763</v>
      </c>
      <c r="F269" t="s">
        <v>290</v>
      </c>
      <c r="G269" t="s">
        <v>1764</v>
      </c>
      <c r="H269" t="s">
        <v>19</v>
      </c>
      <c r="I269" t="s">
        <v>118</v>
      </c>
      <c r="K269" t="s">
        <v>119</v>
      </c>
      <c r="P269" t="s">
        <v>46</v>
      </c>
      <c r="Q269" t="s">
        <v>46</v>
      </c>
      <c r="V269">
        <v>2</v>
      </c>
    </row>
    <row r="270" spans="4:22" x14ac:dyDescent="0.45">
      <c r="G270" t="s">
        <v>18</v>
      </c>
      <c r="H270" t="s">
        <v>18</v>
      </c>
      <c r="J270" t="s">
        <v>18</v>
      </c>
      <c r="P270" t="s">
        <v>18</v>
      </c>
      <c r="U270" t="s">
        <v>18</v>
      </c>
    </row>
    <row r="271" spans="4:22" x14ac:dyDescent="0.45">
      <c r="D271" t="s">
        <v>563</v>
      </c>
      <c r="E271" t="s">
        <v>1765</v>
      </c>
      <c r="F271" t="s">
        <v>290</v>
      </c>
      <c r="G271" t="s">
        <v>1766</v>
      </c>
      <c r="H271" t="s">
        <v>19</v>
      </c>
      <c r="I271" t="s">
        <v>120</v>
      </c>
      <c r="K271" t="s">
        <v>121</v>
      </c>
      <c r="N271" t="s">
        <v>46</v>
      </c>
      <c r="Q271" t="s">
        <v>63</v>
      </c>
      <c r="V271" t="s">
        <v>22</v>
      </c>
    </row>
    <row r="272" spans="4:22" x14ac:dyDescent="0.45">
      <c r="D272" t="s">
        <v>564</v>
      </c>
      <c r="E272" t="s">
        <v>1767</v>
      </c>
      <c r="F272" t="s">
        <v>290</v>
      </c>
      <c r="G272" t="s">
        <v>1768</v>
      </c>
      <c r="H272" t="s">
        <v>19</v>
      </c>
      <c r="I272" t="s">
        <v>111</v>
      </c>
      <c r="K272" t="s">
        <v>121</v>
      </c>
      <c r="N272" t="s">
        <v>46</v>
      </c>
      <c r="Q272" t="s">
        <v>63</v>
      </c>
      <c r="V272" t="s">
        <v>22</v>
      </c>
    </row>
    <row r="273" spans="4:22" x14ac:dyDescent="0.45">
      <c r="D273" t="s">
        <v>565</v>
      </c>
      <c r="E273" t="s">
        <v>1769</v>
      </c>
      <c r="F273" t="s">
        <v>290</v>
      </c>
      <c r="G273" t="s">
        <v>1770</v>
      </c>
      <c r="H273" t="s">
        <v>19</v>
      </c>
      <c r="I273" t="s">
        <v>122</v>
      </c>
      <c r="K273" t="s">
        <v>121</v>
      </c>
      <c r="N273" t="s">
        <v>46</v>
      </c>
      <c r="Q273" t="s">
        <v>63</v>
      </c>
      <c r="V273" t="s">
        <v>22</v>
      </c>
    </row>
    <row r="274" spans="4:22" x14ac:dyDescent="0.45">
      <c r="D274" t="s">
        <v>566</v>
      </c>
      <c r="E274" t="s">
        <v>1771</v>
      </c>
      <c r="F274" t="s">
        <v>290</v>
      </c>
      <c r="G274" t="s">
        <v>1772</v>
      </c>
      <c r="H274" t="s">
        <v>19</v>
      </c>
      <c r="I274" t="s">
        <v>123</v>
      </c>
      <c r="K274" t="s">
        <v>121</v>
      </c>
      <c r="N274" t="s">
        <v>46</v>
      </c>
      <c r="Q274" t="s">
        <v>63</v>
      </c>
      <c r="V274" t="s">
        <v>22</v>
      </c>
    </row>
    <row r="275" spans="4:22" x14ac:dyDescent="0.45">
      <c r="D275" t="s">
        <v>567</v>
      </c>
      <c r="E275" t="s">
        <v>1773</v>
      </c>
      <c r="F275" t="s">
        <v>290</v>
      </c>
      <c r="G275" t="s">
        <v>1774</v>
      </c>
      <c r="H275" t="s">
        <v>19</v>
      </c>
      <c r="I275" t="s">
        <v>124</v>
      </c>
      <c r="K275" t="s">
        <v>121</v>
      </c>
      <c r="N275" t="s">
        <v>46</v>
      </c>
      <c r="Q275" t="s">
        <v>63</v>
      </c>
      <c r="V275" t="s">
        <v>22</v>
      </c>
    </row>
    <row r="276" spans="4:22" x14ac:dyDescent="0.45">
      <c r="D276" t="s">
        <v>568</v>
      </c>
      <c r="E276" t="s">
        <v>1775</v>
      </c>
      <c r="F276" t="s">
        <v>290</v>
      </c>
      <c r="G276" t="s">
        <v>1776</v>
      </c>
      <c r="H276" t="s">
        <v>19</v>
      </c>
      <c r="I276" t="s">
        <v>125</v>
      </c>
      <c r="K276" t="s">
        <v>121</v>
      </c>
      <c r="N276" t="s">
        <v>46</v>
      </c>
      <c r="Q276" t="s">
        <v>63</v>
      </c>
      <c r="V276" t="s">
        <v>22</v>
      </c>
    </row>
    <row r="277" spans="4:22" x14ac:dyDescent="0.45">
      <c r="D277" t="s">
        <v>569</v>
      </c>
      <c r="E277" t="s">
        <v>1777</v>
      </c>
      <c r="F277" t="s">
        <v>290</v>
      </c>
      <c r="G277" t="s">
        <v>1778</v>
      </c>
      <c r="H277" t="s">
        <v>19</v>
      </c>
      <c r="I277" t="s">
        <v>126</v>
      </c>
      <c r="K277" t="s">
        <v>121</v>
      </c>
      <c r="N277" t="s">
        <v>46</v>
      </c>
      <c r="Q277" t="s">
        <v>63</v>
      </c>
      <c r="V277" t="s">
        <v>22</v>
      </c>
    </row>
    <row r="278" spans="4:22" x14ac:dyDescent="0.45">
      <c r="D278" t="s">
        <v>570</v>
      </c>
      <c r="E278" t="s">
        <v>1779</v>
      </c>
      <c r="F278" t="s">
        <v>290</v>
      </c>
      <c r="G278" t="s">
        <v>1780</v>
      </c>
      <c r="H278" t="s">
        <v>19</v>
      </c>
      <c r="I278" t="s">
        <v>127</v>
      </c>
      <c r="K278" t="s">
        <v>121</v>
      </c>
      <c r="N278" t="s">
        <v>46</v>
      </c>
      <c r="Q278" t="s">
        <v>63</v>
      </c>
      <c r="V278" t="s">
        <v>22</v>
      </c>
    </row>
    <row r="279" spans="4:22" x14ac:dyDescent="0.45">
      <c r="D279" t="s">
        <v>571</v>
      </c>
      <c r="E279" t="s">
        <v>1781</v>
      </c>
      <c r="F279" t="s">
        <v>290</v>
      </c>
      <c r="G279" t="s">
        <v>1782</v>
      </c>
      <c r="H279" t="s">
        <v>19</v>
      </c>
      <c r="I279" t="s">
        <v>128</v>
      </c>
      <c r="K279" t="s">
        <v>121</v>
      </c>
      <c r="N279" t="s">
        <v>46</v>
      </c>
      <c r="Q279" t="s">
        <v>63</v>
      </c>
      <c r="V279" t="s">
        <v>22</v>
      </c>
    </row>
    <row r="280" spans="4:22" x14ac:dyDescent="0.45">
      <c r="D280" t="s">
        <v>572</v>
      </c>
      <c r="E280" t="s">
        <v>1783</v>
      </c>
      <c r="F280" t="s">
        <v>290</v>
      </c>
      <c r="G280" t="s">
        <v>1784</v>
      </c>
      <c r="H280" t="s">
        <v>19</v>
      </c>
      <c r="I280" t="s">
        <v>129</v>
      </c>
      <c r="K280" t="s">
        <v>121</v>
      </c>
      <c r="N280" t="s">
        <v>46</v>
      </c>
      <c r="Q280" t="s">
        <v>63</v>
      </c>
      <c r="V280" t="s">
        <v>22</v>
      </c>
    </row>
    <row r="281" spans="4:22" x14ac:dyDescent="0.45">
      <c r="D281" t="s">
        <v>573</v>
      </c>
      <c r="E281" t="s">
        <v>1676</v>
      </c>
      <c r="F281" t="s">
        <v>290</v>
      </c>
      <c r="G281" t="s">
        <v>1785</v>
      </c>
      <c r="H281" t="s">
        <v>19</v>
      </c>
      <c r="I281" t="s">
        <v>114</v>
      </c>
      <c r="K281" t="s">
        <v>121</v>
      </c>
      <c r="N281" t="s">
        <v>46</v>
      </c>
      <c r="Q281" t="s">
        <v>63</v>
      </c>
      <c r="V281" t="s">
        <v>40</v>
      </c>
    </row>
    <row r="282" spans="4:22" x14ac:dyDescent="0.45">
      <c r="D282" t="s">
        <v>574</v>
      </c>
      <c r="E282" t="s">
        <v>1786</v>
      </c>
      <c r="F282" t="s">
        <v>290</v>
      </c>
      <c r="G282" t="s">
        <v>1787</v>
      </c>
      <c r="H282" t="s">
        <v>19</v>
      </c>
      <c r="I282" t="s">
        <v>130</v>
      </c>
      <c r="K282" t="s">
        <v>131</v>
      </c>
      <c r="N282" t="s">
        <v>46</v>
      </c>
      <c r="Q282" t="s">
        <v>63</v>
      </c>
      <c r="V282" t="s">
        <v>40</v>
      </c>
    </row>
    <row r="283" spans="4:22" x14ac:dyDescent="0.45">
      <c r="D283" t="s">
        <v>575</v>
      </c>
      <c r="E283" t="s">
        <v>1788</v>
      </c>
      <c r="F283" t="s">
        <v>290</v>
      </c>
      <c r="G283" t="s">
        <v>1789</v>
      </c>
      <c r="H283" t="s">
        <v>19</v>
      </c>
      <c r="I283" t="s">
        <v>132</v>
      </c>
      <c r="K283" t="s">
        <v>121</v>
      </c>
      <c r="N283" t="s">
        <v>46</v>
      </c>
      <c r="Q283" t="s">
        <v>63</v>
      </c>
      <c r="V283" t="s">
        <v>22</v>
      </c>
    </row>
    <row r="284" spans="4:22" x14ac:dyDescent="0.45">
      <c r="D284" t="s">
        <v>576</v>
      </c>
      <c r="E284" t="s">
        <v>1790</v>
      </c>
      <c r="F284" t="s">
        <v>290</v>
      </c>
      <c r="G284" t="s">
        <v>1791</v>
      </c>
      <c r="H284" t="s">
        <v>19</v>
      </c>
      <c r="I284" t="s">
        <v>133</v>
      </c>
      <c r="K284" t="s">
        <v>131</v>
      </c>
      <c r="N284" t="s">
        <v>46</v>
      </c>
      <c r="Q284" t="s">
        <v>63</v>
      </c>
      <c r="V284" t="s">
        <v>22</v>
      </c>
    </row>
    <row r="285" spans="4:22" x14ac:dyDescent="0.45">
      <c r="D285" t="s">
        <v>577</v>
      </c>
      <c r="E285" t="s">
        <v>1792</v>
      </c>
      <c r="F285" t="s">
        <v>290</v>
      </c>
      <c r="G285" t="s">
        <v>1793</v>
      </c>
      <c r="H285" t="s">
        <v>19</v>
      </c>
      <c r="I285" t="s">
        <v>120</v>
      </c>
      <c r="K285" t="s">
        <v>121</v>
      </c>
      <c r="N285" t="s">
        <v>46</v>
      </c>
      <c r="Q285" t="s">
        <v>64</v>
      </c>
      <c r="V285" t="s">
        <v>22</v>
      </c>
    </row>
    <row r="286" spans="4:22" x14ac:dyDescent="0.45">
      <c r="D286" t="s">
        <v>578</v>
      </c>
      <c r="E286" t="s">
        <v>1794</v>
      </c>
      <c r="F286" t="s">
        <v>290</v>
      </c>
      <c r="G286" t="s">
        <v>1795</v>
      </c>
      <c r="H286" t="s">
        <v>19</v>
      </c>
      <c r="I286" t="s">
        <v>111</v>
      </c>
      <c r="K286" t="s">
        <v>121</v>
      </c>
      <c r="N286" t="s">
        <v>46</v>
      </c>
      <c r="Q286" t="s">
        <v>64</v>
      </c>
      <c r="V286" t="s">
        <v>22</v>
      </c>
    </row>
    <row r="287" spans="4:22" x14ac:dyDescent="0.45">
      <c r="D287" t="s">
        <v>579</v>
      </c>
      <c r="E287" t="s">
        <v>1796</v>
      </c>
      <c r="F287" t="s">
        <v>290</v>
      </c>
      <c r="G287" t="s">
        <v>1797</v>
      </c>
      <c r="H287" t="s">
        <v>19</v>
      </c>
      <c r="I287" t="s">
        <v>122</v>
      </c>
      <c r="K287" t="s">
        <v>121</v>
      </c>
      <c r="N287" t="s">
        <v>46</v>
      </c>
      <c r="Q287" t="s">
        <v>64</v>
      </c>
      <c r="V287" t="s">
        <v>22</v>
      </c>
    </row>
    <row r="288" spans="4:22" x14ac:dyDescent="0.45">
      <c r="D288" t="s">
        <v>580</v>
      </c>
      <c r="E288" t="s">
        <v>1798</v>
      </c>
      <c r="F288" t="s">
        <v>290</v>
      </c>
      <c r="G288" t="s">
        <v>1799</v>
      </c>
      <c r="H288" t="s">
        <v>19</v>
      </c>
      <c r="I288" t="s">
        <v>123</v>
      </c>
      <c r="K288" t="s">
        <v>121</v>
      </c>
      <c r="N288" t="s">
        <v>46</v>
      </c>
      <c r="Q288" t="s">
        <v>64</v>
      </c>
      <c r="V288" t="s">
        <v>22</v>
      </c>
    </row>
    <row r="289" spans="4:22" x14ac:dyDescent="0.45">
      <c r="D289" t="s">
        <v>581</v>
      </c>
      <c r="E289" t="s">
        <v>1800</v>
      </c>
      <c r="F289" t="s">
        <v>290</v>
      </c>
      <c r="G289" t="s">
        <v>1801</v>
      </c>
      <c r="H289" t="s">
        <v>19</v>
      </c>
      <c r="I289" t="s">
        <v>124</v>
      </c>
      <c r="K289" t="s">
        <v>121</v>
      </c>
      <c r="N289" t="s">
        <v>46</v>
      </c>
      <c r="Q289" t="s">
        <v>64</v>
      </c>
      <c r="V289" t="s">
        <v>22</v>
      </c>
    </row>
    <row r="290" spans="4:22" x14ac:dyDescent="0.45">
      <c r="D290" t="s">
        <v>582</v>
      </c>
      <c r="E290" t="s">
        <v>1802</v>
      </c>
      <c r="F290" t="s">
        <v>290</v>
      </c>
      <c r="G290" t="s">
        <v>1803</v>
      </c>
      <c r="H290" t="s">
        <v>19</v>
      </c>
      <c r="I290" t="s">
        <v>125</v>
      </c>
      <c r="K290" t="s">
        <v>121</v>
      </c>
      <c r="N290" t="s">
        <v>46</v>
      </c>
      <c r="Q290" t="s">
        <v>64</v>
      </c>
      <c r="V290" t="s">
        <v>22</v>
      </c>
    </row>
    <row r="291" spans="4:22" x14ac:dyDescent="0.45">
      <c r="D291" t="s">
        <v>583</v>
      </c>
      <c r="E291" t="s">
        <v>1804</v>
      </c>
      <c r="F291" t="s">
        <v>290</v>
      </c>
      <c r="G291" t="s">
        <v>1805</v>
      </c>
      <c r="H291" t="s">
        <v>19</v>
      </c>
      <c r="I291" t="s">
        <v>126</v>
      </c>
      <c r="K291" t="s">
        <v>121</v>
      </c>
      <c r="N291" t="s">
        <v>46</v>
      </c>
      <c r="Q291" t="s">
        <v>64</v>
      </c>
      <c r="V291" t="s">
        <v>22</v>
      </c>
    </row>
    <row r="292" spans="4:22" x14ac:dyDescent="0.45">
      <c r="D292" t="s">
        <v>584</v>
      </c>
      <c r="E292" t="s">
        <v>1806</v>
      </c>
      <c r="F292" t="s">
        <v>290</v>
      </c>
      <c r="G292" t="s">
        <v>1807</v>
      </c>
      <c r="H292" t="s">
        <v>19</v>
      </c>
      <c r="I292" t="s">
        <v>127</v>
      </c>
      <c r="K292" t="s">
        <v>121</v>
      </c>
      <c r="N292" t="s">
        <v>46</v>
      </c>
      <c r="Q292" t="s">
        <v>64</v>
      </c>
      <c r="V292" t="s">
        <v>22</v>
      </c>
    </row>
    <row r="293" spans="4:22" x14ac:dyDescent="0.45">
      <c r="D293" t="s">
        <v>585</v>
      </c>
      <c r="E293" t="s">
        <v>1808</v>
      </c>
      <c r="F293" t="s">
        <v>290</v>
      </c>
      <c r="G293" t="s">
        <v>1809</v>
      </c>
      <c r="H293" t="s">
        <v>19</v>
      </c>
      <c r="I293" t="s">
        <v>134</v>
      </c>
      <c r="K293" t="s">
        <v>121</v>
      </c>
      <c r="N293" t="s">
        <v>46</v>
      </c>
      <c r="Q293" t="s">
        <v>64</v>
      </c>
      <c r="V293" t="s">
        <v>22</v>
      </c>
    </row>
    <row r="294" spans="4:22" x14ac:dyDescent="0.45">
      <c r="D294" t="s">
        <v>586</v>
      </c>
      <c r="E294" t="s">
        <v>1810</v>
      </c>
      <c r="F294" t="s">
        <v>290</v>
      </c>
      <c r="G294" t="s">
        <v>1811</v>
      </c>
      <c r="H294" t="s">
        <v>19</v>
      </c>
      <c r="I294" t="s">
        <v>135</v>
      </c>
      <c r="K294" t="s">
        <v>121</v>
      </c>
      <c r="N294" t="s">
        <v>46</v>
      </c>
      <c r="Q294" t="s">
        <v>64</v>
      </c>
      <c r="V294" t="s">
        <v>22</v>
      </c>
    </row>
    <row r="295" spans="4:22" x14ac:dyDescent="0.45">
      <c r="D295" t="s">
        <v>587</v>
      </c>
      <c r="E295" t="s">
        <v>1678</v>
      </c>
      <c r="F295" t="s">
        <v>290</v>
      </c>
      <c r="G295" t="s">
        <v>1812</v>
      </c>
      <c r="H295" t="s">
        <v>19</v>
      </c>
      <c r="I295" t="s">
        <v>114</v>
      </c>
      <c r="K295" t="s">
        <v>121</v>
      </c>
      <c r="N295" t="s">
        <v>46</v>
      </c>
      <c r="Q295" t="s">
        <v>64</v>
      </c>
      <c r="V295" t="s">
        <v>40</v>
      </c>
    </row>
    <row r="296" spans="4:22" x14ac:dyDescent="0.45">
      <c r="D296" t="s">
        <v>588</v>
      </c>
      <c r="E296" t="s">
        <v>1813</v>
      </c>
      <c r="F296" t="s">
        <v>290</v>
      </c>
      <c r="G296" t="s">
        <v>1814</v>
      </c>
      <c r="H296" t="s">
        <v>19</v>
      </c>
      <c r="I296" t="s">
        <v>130</v>
      </c>
      <c r="K296" t="s">
        <v>131</v>
      </c>
      <c r="N296" t="s">
        <v>46</v>
      </c>
      <c r="Q296" t="s">
        <v>64</v>
      </c>
      <c r="V296" t="s">
        <v>40</v>
      </c>
    </row>
    <row r="297" spans="4:22" x14ac:dyDescent="0.45">
      <c r="D297" t="s">
        <v>589</v>
      </c>
      <c r="E297" t="s">
        <v>1815</v>
      </c>
      <c r="F297" t="s">
        <v>290</v>
      </c>
      <c r="G297" t="s">
        <v>1816</v>
      </c>
      <c r="H297" t="s">
        <v>19</v>
      </c>
      <c r="I297" t="s">
        <v>136</v>
      </c>
      <c r="K297" t="s">
        <v>121</v>
      </c>
      <c r="N297" t="s">
        <v>46</v>
      </c>
      <c r="Q297" t="s">
        <v>64</v>
      </c>
      <c r="V297" t="s">
        <v>22</v>
      </c>
    </row>
    <row r="298" spans="4:22" x14ac:dyDescent="0.45">
      <c r="D298" t="s">
        <v>590</v>
      </c>
      <c r="E298" t="s">
        <v>1817</v>
      </c>
      <c r="F298" t="s">
        <v>290</v>
      </c>
      <c r="G298" t="s">
        <v>1818</v>
      </c>
      <c r="H298" t="s">
        <v>19</v>
      </c>
      <c r="I298" t="s">
        <v>133</v>
      </c>
      <c r="K298" t="s">
        <v>131</v>
      </c>
      <c r="N298" t="s">
        <v>46</v>
      </c>
      <c r="Q298" t="s">
        <v>64</v>
      </c>
      <c r="V298" t="s">
        <v>22</v>
      </c>
    </row>
    <row r="299" spans="4:22" x14ac:dyDescent="0.45">
      <c r="D299" t="s">
        <v>591</v>
      </c>
      <c r="E299" t="s">
        <v>1819</v>
      </c>
      <c r="F299" t="s">
        <v>290</v>
      </c>
      <c r="G299" t="s">
        <v>1820</v>
      </c>
      <c r="H299" t="s">
        <v>19</v>
      </c>
      <c r="I299" t="s">
        <v>120</v>
      </c>
      <c r="K299" t="s">
        <v>121</v>
      </c>
      <c r="N299" t="s">
        <v>46</v>
      </c>
      <c r="Q299" t="s">
        <v>65</v>
      </c>
      <c r="V299" t="s">
        <v>22</v>
      </c>
    </row>
    <row r="300" spans="4:22" x14ac:dyDescent="0.45">
      <c r="D300" t="s">
        <v>592</v>
      </c>
      <c r="E300" t="s">
        <v>1821</v>
      </c>
      <c r="F300" t="s">
        <v>290</v>
      </c>
      <c r="G300" t="s">
        <v>1822</v>
      </c>
      <c r="H300" t="s">
        <v>19</v>
      </c>
      <c r="I300" t="s">
        <v>111</v>
      </c>
      <c r="K300" t="s">
        <v>121</v>
      </c>
      <c r="N300" t="s">
        <v>46</v>
      </c>
      <c r="Q300" t="s">
        <v>65</v>
      </c>
      <c r="V300" t="s">
        <v>22</v>
      </c>
    </row>
    <row r="301" spans="4:22" x14ac:dyDescent="0.45">
      <c r="D301" t="s">
        <v>593</v>
      </c>
      <c r="E301" t="s">
        <v>1823</v>
      </c>
      <c r="F301" t="s">
        <v>290</v>
      </c>
      <c r="G301" t="s">
        <v>1824</v>
      </c>
      <c r="H301" t="s">
        <v>19</v>
      </c>
      <c r="I301" t="s">
        <v>122</v>
      </c>
      <c r="K301" t="s">
        <v>121</v>
      </c>
      <c r="N301" t="s">
        <v>46</v>
      </c>
      <c r="Q301" t="s">
        <v>65</v>
      </c>
      <c r="V301" t="s">
        <v>22</v>
      </c>
    </row>
    <row r="302" spans="4:22" x14ac:dyDescent="0.45">
      <c r="D302" t="s">
        <v>594</v>
      </c>
      <c r="E302" t="s">
        <v>1825</v>
      </c>
      <c r="F302" t="s">
        <v>290</v>
      </c>
      <c r="G302" t="s">
        <v>1826</v>
      </c>
      <c r="H302" t="s">
        <v>19</v>
      </c>
      <c r="I302" t="s">
        <v>126</v>
      </c>
      <c r="K302" t="s">
        <v>121</v>
      </c>
      <c r="N302" t="s">
        <v>46</v>
      </c>
      <c r="Q302" t="s">
        <v>65</v>
      </c>
      <c r="V302" t="s">
        <v>22</v>
      </c>
    </row>
    <row r="303" spans="4:22" x14ac:dyDescent="0.45">
      <c r="D303" t="s">
        <v>595</v>
      </c>
      <c r="E303" t="s">
        <v>1827</v>
      </c>
      <c r="F303" t="s">
        <v>290</v>
      </c>
      <c r="G303" t="s">
        <v>1828</v>
      </c>
      <c r="H303" t="s">
        <v>19</v>
      </c>
      <c r="I303" t="s">
        <v>127</v>
      </c>
      <c r="K303" t="s">
        <v>121</v>
      </c>
      <c r="N303" t="s">
        <v>46</v>
      </c>
      <c r="Q303" t="s">
        <v>65</v>
      </c>
      <c r="V303" t="s">
        <v>22</v>
      </c>
    </row>
    <row r="304" spans="4:22" x14ac:dyDescent="0.45">
      <c r="D304" t="s">
        <v>596</v>
      </c>
      <c r="E304" t="s">
        <v>1829</v>
      </c>
      <c r="F304" t="s">
        <v>290</v>
      </c>
      <c r="G304" t="s">
        <v>1830</v>
      </c>
      <c r="H304" t="s">
        <v>19</v>
      </c>
      <c r="I304" t="s">
        <v>137</v>
      </c>
      <c r="K304" t="s">
        <v>121</v>
      </c>
      <c r="N304" t="s">
        <v>46</v>
      </c>
      <c r="Q304" t="s">
        <v>65</v>
      </c>
      <c r="V304" t="s">
        <v>22</v>
      </c>
    </row>
    <row r="305" spans="4:22" x14ac:dyDescent="0.45">
      <c r="D305" t="s">
        <v>597</v>
      </c>
      <c r="E305" t="s">
        <v>1831</v>
      </c>
      <c r="F305" t="s">
        <v>290</v>
      </c>
      <c r="G305" t="s">
        <v>1832</v>
      </c>
      <c r="H305" t="s">
        <v>19</v>
      </c>
      <c r="I305" t="s">
        <v>138</v>
      </c>
      <c r="K305" t="s">
        <v>121</v>
      </c>
      <c r="N305" t="s">
        <v>46</v>
      </c>
      <c r="Q305" t="s">
        <v>65</v>
      </c>
      <c r="V305" t="s">
        <v>22</v>
      </c>
    </row>
    <row r="306" spans="4:22" x14ac:dyDescent="0.45">
      <c r="D306" t="s">
        <v>598</v>
      </c>
      <c r="E306" t="s">
        <v>1680</v>
      </c>
      <c r="F306" t="s">
        <v>290</v>
      </c>
      <c r="G306" t="s">
        <v>1833</v>
      </c>
      <c r="H306" t="s">
        <v>19</v>
      </c>
      <c r="I306" t="s">
        <v>114</v>
      </c>
      <c r="K306" t="s">
        <v>121</v>
      </c>
      <c r="N306" t="s">
        <v>46</v>
      </c>
      <c r="Q306" t="s">
        <v>65</v>
      </c>
      <c r="V306" t="s">
        <v>40</v>
      </c>
    </row>
    <row r="307" spans="4:22" x14ac:dyDescent="0.45">
      <c r="D307" t="s">
        <v>599</v>
      </c>
      <c r="E307" t="s">
        <v>1834</v>
      </c>
      <c r="F307" t="s">
        <v>290</v>
      </c>
      <c r="G307" t="s">
        <v>1835</v>
      </c>
      <c r="H307" t="s">
        <v>19</v>
      </c>
      <c r="I307" t="s">
        <v>130</v>
      </c>
      <c r="K307" t="s">
        <v>131</v>
      </c>
      <c r="N307" t="s">
        <v>46</v>
      </c>
      <c r="Q307" t="s">
        <v>65</v>
      </c>
      <c r="V307" t="s">
        <v>40</v>
      </c>
    </row>
    <row r="308" spans="4:22" x14ac:dyDescent="0.45">
      <c r="D308" t="s">
        <v>600</v>
      </c>
      <c r="E308" t="s">
        <v>1836</v>
      </c>
      <c r="F308" t="s">
        <v>290</v>
      </c>
      <c r="G308" t="s">
        <v>1837</v>
      </c>
      <c r="H308" t="s">
        <v>19</v>
      </c>
      <c r="I308" t="s">
        <v>139</v>
      </c>
      <c r="K308" t="s">
        <v>121</v>
      </c>
      <c r="N308" t="s">
        <v>46</v>
      </c>
      <c r="Q308" t="s">
        <v>65</v>
      </c>
      <c r="V308" t="s">
        <v>22</v>
      </c>
    </row>
    <row r="309" spans="4:22" x14ac:dyDescent="0.45">
      <c r="D309" t="s">
        <v>601</v>
      </c>
      <c r="E309" t="s">
        <v>1838</v>
      </c>
      <c r="F309" t="s">
        <v>290</v>
      </c>
      <c r="G309" t="s">
        <v>1839</v>
      </c>
      <c r="H309" t="s">
        <v>19</v>
      </c>
      <c r="I309" t="s">
        <v>133</v>
      </c>
      <c r="K309" t="s">
        <v>131</v>
      </c>
      <c r="N309" t="s">
        <v>46</v>
      </c>
      <c r="Q309" t="s">
        <v>65</v>
      </c>
      <c r="V309" t="s">
        <v>22</v>
      </c>
    </row>
    <row r="310" spans="4:22" x14ac:dyDescent="0.45">
      <c r="D310" t="s">
        <v>602</v>
      </c>
      <c r="E310" t="s">
        <v>1840</v>
      </c>
      <c r="F310" t="s">
        <v>290</v>
      </c>
      <c r="G310" t="s">
        <v>1841</v>
      </c>
      <c r="H310" t="s">
        <v>19</v>
      </c>
      <c r="I310" t="s">
        <v>120</v>
      </c>
      <c r="K310" t="s">
        <v>121</v>
      </c>
      <c r="N310" t="s">
        <v>46</v>
      </c>
      <c r="Q310" t="s">
        <v>66</v>
      </c>
      <c r="V310" t="s">
        <v>22</v>
      </c>
    </row>
    <row r="311" spans="4:22" x14ac:dyDescent="0.45">
      <c r="D311" t="s">
        <v>603</v>
      </c>
      <c r="E311" t="s">
        <v>1842</v>
      </c>
      <c r="F311" t="s">
        <v>290</v>
      </c>
      <c r="G311" t="s">
        <v>1843</v>
      </c>
      <c r="H311" t="s">
        <v>19</v>
      </c>
      <c r="I311" t="s">
        <v>111</v>
      </c>
      <c r="K311" t="s">
        <v>121</v>
      </c>
      <c r="N311" t="s">
        <v>46</v>
      </c>
      <c r="Q311" t="s">
        <v>66</v>
      </c>
      <c r="V311" t="s">
        <v>22</v>
      </c>
    </row>
    <row r="312" spans="4:22" x14ac:dyDescent="0.45">
      <c r="D312" t="s">
        <v>604</v>
      </c>
      <c r="E312" t="s">
        <v>1844</v>
      </c>
      <c r="F312" t="s">
        <v>290</v>
      </c>
      <c r="G312" t="s">
        <v>1845</v>
      </c>
      <c r="H312" t="s">
        <v>19</v>
      </c>
      <c r="I312" t="s">
        <v>122</v>
      </c>
      <c r="K312" t="s">
        <v>121</v>
      </c>
      <c r="N312" t="s">
        <v>46</v>
      </c>
      <c r="Q312" t="s">
        <v>66</v>
      </c>
      <c r="V312" t="s">
        <v>22</v>
      </c>
    </row>
    <row r="313" spans="4:22" x14ac:dyDescent="0.45">
      <c r="D313" t="s">
        <v>605</v>
      </c>
      <c r="E313" t="s">
        <v>1846</v>
      </c>
      <c r="F313" t="s">
        <v>290</v>
      </c>
      <c r="G313" t="s">
        <v>1847</v>
      </c>
      <c r="H313" t="s">
        <v>19</v>
      </c>
      <c r="I313" t="s">
        <v>126</v>
      </c>
      <c r="K313" t="s">
        <v>121</v>
      </c>
      <c r="N313" t="s">
        <v>46</v>
      </c>
      <c r="Q313" t="s">
        <v>66</v>
      </c>
      <c r="V313" t="s">
        <v>22</v>
      </c>
    </row>
    <row r="314" spans="4:22" x14ac:dyDescent="0.45">
      <c r="D314" t="s">
        <v>606</v>
      </c>
      <c r="E314" t="s">
        <v>1848</v>
      </c>
      <c r="F314" t="s">
        <v>290</v>
      </c>
      <c r="G314" t="s">
        <v>1849</v>
      </c>
      <c r="H314" t="s">
        <v>19</v>
      </c>
      <c r="I314" t="s">
        <v>127</v>
      </c>
      <c r="K314" t="s">
        <v>121</v>
      </c>
      <c r="N314" t="s">
        <v>46</v>
      </c>
      <c r="Q314" t="s">
        <v>66</v>
      </c>
      <c r="V314" t="s">
        <v>22</v>
      </c>
    </row>
    <row r="315" spans="4:22" x14ac:dyDescent="0.45">
      <c r="D315" t="s">
        <v>607</v>
      </c>
      <c r="E315" t="s">
        <v>1850</v>
      </c>
      <c r="F315" t="s">
        <v>290</v>
      </c>
      <c r="G315" t="s">
        <v>1851</v>
      </c>
      <c r="H315" t="s">
        <v>19</v>
      </c>
      <c r="I315" t="s">
        <v>140</v>
      </c>
      <c r="K315" t="s">
        <v>121</v>
      </c>
      <c r="N315" t="s">
        <v>46</v>
      </c>
      <c r="Q315" t="s">
        <v>66</v>
      </c>
      <c r="V315" t="s">
        <v>22</v>
      </c>
    </row>
    <row r="316" spans="4:22" x14ac:dyDescent="0.45">
      <c r="D316" t="s">
        <v>608</v>
      </c>
      <c r="E316" t="s">
        <v>1852</v>
      </c>
      <c r="F316" t="s">
        <v>290</v>
      </c>
      <c r="G316" t="s">
        <v>1853</v>
      </c>
      <c r="H316" t="s">
        <v>19</v>
      </c>
      <c r="I316" t="s">
        <v>141</v>
      </c>
      <c r="K316" t="s">
        <v>121</v>
      </c>
      <c r="N316" t="s">
        <v>46</v>
      </c>
      <c r="Q316" t="s">
        <v>66</v>
      </c>
      <c r="V316" t="s">
        <v>22</v>
      </c>
    </row>
    <row r="317" spans="4:22" x14ac:dyDescent="0.45">
      <c r="D317" t="s">
        <v>609</v>
      </c>
      <c r="E317" t="s">
        <v>1682</v>
      </c>
      <c r="F317" t="s">
        <v>290</v>
      </c>
      <c r="G317" t="s">
        <v>1854</v>
      </c>
      <c r="H317" t="s">
        <v>19</v>
      </c>
      <c r="I317" t="s">
        <v>114</v>
      </c>
      <c r="K317" t="s">
        <v>121</v>
      </c>
      <c r="N317" t="s">
        <v>46</v>
      </c>
      <c r="Q317" t="s">
        <v>66</v>
      </c>
      <c r="V317" t="s">
        <v>40</v>
      </c>
    </row>
    <row r="318" spans="4:22" x14ac:dyDescent="0.45">
      <c r="D318" t="s">
        <v>610</v>
      </c>
      <c r="E318" t="s">
        <v>1855</v>
      </c>
      <c r="F318" t="s">
        <v>290</v>
      </c>
      <c r="G318" t="s">
        <v>1856</v>
      </c>
      <c r="H318" t="s">
        <v>19</v>
      </c>
      <c r="I318" t="s">
        <v>130</v>
      </c>
      <c r="K318" t="s">
        <v>131</v>
      </c>
      <c r="N318" t="s">
        <v>46</v>
      </c>
      <c r="Q318" t="s">
        <v>66</v>
      </c>
      <c r="V318" t="s">
        <v>40</v>
      </c>
    </row>
    <row r="319" spans="4:22" x14ac:dyDescent="0.45">
      <c r="D319" t="s">
        <v>611</v>
      </c>
      <c r="E319" t="s">
        <v>1857</v>
      </c>
      <c r="F319" t="s">
        <v>290</v>
      </c>
      <c r="G319" t="s">
        <v>1858</v>
      </c>
      <c r="H319" t="s">
        <v>19</v>
      </c>
      <c r="I319" t="s">
        <v>142</v>
      </c>
      <c r="K319" t="s">
        <v>121</v>
      </c>
      <c r="N319" t="s">
        <v>46</v>
      </c>
      <c r="Q319" t="s">
        <v>66</v>
      </c>
      <c r="V319" t="s">
        <v>22</v>
      </c>
    </row>
    <row r="320" spans="4:22" x14ac:dyDescent="0.45">
      <c r="D320" t="s">
        <v>612</v>
      </c>
      <c r="E320" t="s">
        <v>1859</v>
      </c>
      <c r="F320" t="s">
        <v>290</v>
      </c>
      <c r="G320" t="s">
        <v>1860</v>
      </c>
      <c r="H320" t="s">
        <v>19</v>
      </c>
      <c r="I320" t="s">
        <v>133</v>
      </c>
      <c r="K320" t="s">
        <v>131</v>
      </c>
      <c r="N320" t="s">
        <v>46</v>
      </c>
      <c r="Q320" t="s">
        <v>66</v>
      </c>
      <c r="V320" t="s">
        <v>22</v>
      </c>
    </row>
    <row r="321" spans="4:22" x14ac:dyDescent="0.45">
      <c r="D321" t="s">
        <v>613</v>
      </c>
      <c r="E321" t="s">
        <v>1861</v>
      </c>
      <c r="F321" t="s">
        <v>290</v>
      </c>
      <c r="G321" t="s">
        <v>1862</v>
      </c>
      <c r="H321" t="s">
        <v>19</v>
      </c>
      <c r="I321" t="s">
        <v>120</v>
      </c>
      <c r="K321" t="s">
        <v>143</v>
      </c>
      <c r="N321" t="s">
        <v>29</v>
      </c>
      <c r="Q321" t="s">
        <v>60</v>
      </c>
      <c r="V321" t="s">
        <v>22</v>
      </c>
    </row>
    <row r="322" spans="4:22" x14ac:dyDescent="0.45">
      <c r="D322" t="s">
        <v>614</v>
      </c>
      <c r="E322" t="s">
        <v>1863</v>
      </c>
      <c r="F322" t="s">
        <v>290</v>
      </c>
      <c r="G322" t="s">
        <v>1864</v>
      </c>
      <c r="H322" t="s">
        <v>19</v>
      </c>
      <c r="I322" t="s">
        <v>111</v>
      </c>
      <c r="K322" t="s">
        <v>143</v>
      </c>
      <c r="N322" t="s">
        <v>29</v>
      </c>
      <c r="Q322" t="s">
        <v>60</v>
      </c>
      <c r="V322" t="s">
        <v>22</v>
      </c>
    </row>
    <row r="323" spans="4:22" x14ac:dyDescent="0.45">
      <c r="D323" t="s">
        <v>615</v>
      </c>
      <c r="E323" t="s">
        <v>1865</v>
      </c>
      <c r="F323" t="s">
        <v>290</v>
      </c>
      <c r="G323" t="s">
        <v>1866</v>
      </c>
      <c r="H323" t="s">
        <v>19</v>
      </c>
      <c r="I323" t="s">
        <v>122</v>
      </c>
      <c r="K323" t="s">
        <v>143</v>
      </c>
      <c r="N323" t="s">
        <v>29</v>
      </c>
      <c r="Q323" t="s">
        <v>60</v>
      </c>
      <c r="V323" t="s">
        <v>22</v>
      </c>
    </row>
    <row r="324" spans="4:22" x14ac:dyDescent="0.45">
      <c r="D324" t="s">
        <v>616</v>
      </c>
      <c r="E324" t="s">
        <v>1867</v>
      </c>
      <c r="F324" t="s">
        <v>290</v>
      </c>
      <c r="G324" t="s">
        <v>1868</v>
      </c>
      <c r="H324" t="s">
        <v>19</v>
      </c>
      <c r="I324" t="s">
        <v>126</v>
      </c>
      <c r="K324" t="s">
        <v>143</v>
      </c>
      <c r="N324" t="s">
        <v>29</v>
      </c>
      <c r="Q324" t="s">
        <v>60</v>
      </c>
      <c r="V324" t="s">
        <v>22</v>
      </c>
    </row>
    <row r="325" spans="4:22" x14ac:dyDescent="0.45">
      <c r="D325" t="s">
        <v>617</v>
      </c>
      <c r="E325" t="s">
        <v>1869</v>
      </c>
      <c r="F325" t="s">
        <v>290</v>
      </c>
      <c r="G325" t="s">
        <v>1870</v>
      </c>
      <c r="H325" t="s">
        <v>19</v>
      </c>
      <c r="I325" t="s">
        <v>127</v>
      </c>
      <c r="K325" t="s">
        <v>143</v>
      </c>
      <c r="N325" t="s">
        <v>29</v>
      </c>
      <c r="Q325" t="s">
        <v>60</v>
      </c>
      <c r="V325" t="s">
        <v>22</v>
      </c>
    </row>
    <row r="326" spans="4:22" x14ac:dyDescent="0.45">
      <c r="D326" t="s">
        <v>618</v>
      </c>
      <c r="E326" t="s">
        <v>1871</v>
      </c>
      <c r="F326" t="s">
        <v>290</v>
      </c>
      <c r="G326" t="s">
        <v>1872</v>
      </c>
      <c r="H326" t="s">
        <v>19</v>
      </c>
      <c r="I326" t="s">
        <v>144</v>
      </c>
      <c r="K326" t="s">
        <v>143</v>
      </c>
      <c r="N326" t="s">
        <v>29</v>
      </c>
      <c r="Q326" t="s">
        <v>60</v>
      </c>
      <c r="V326" t="s">
        <v>22</v>
      </c>
    </row>
    <row r="327" spans="4:22" x14ac:dyDescent="0.45">
      <c r="D327" t="s">
        <v>619</v>
      </c>
      <c r="E327" t="s">
        <v>1873</v>
      </c>
      <c r="F327" t="s">
        <v>290</v>
      </c>
      <c r="G327" t="s">
        <v>1874</v>
      </c>
      <c r="H327" t="s">
        <v>19</v>
      </c>
      <c r="I327" t="s">
        <v>145</v>
      </c>
      <c r="K327" t="s">
        <v>143</v>
      </c>
      <c r="N327" t="s">
        <v>29</v>
      </c>
      <c r="Q327" t="s">
        <v>60</v>
      </c>
      <c r="V327" t="s">
        <v>22</v>
      </c>
    </row>
    <row r="328" spans="4:22" x14ac:dyDescent="0.45">
      <c r="D328" t="s">
        <v>620</v>
      </c>
      <c r="E328" t="s">
        <v>1666</v>
      </c>
      <c r="F328" t="s">
        <v>290</v>
      </c>
      <c r="G328" t="s">
        <v>1875</v>
      </c>
      <c r="H328" t="s">
        <v>19</v>
      </c>
      <c r="I328" t="s">
        <v>146</v>
      </c>
      <c r="K328" t="s">
        <v>143</v>
      </c>
      <c r="N328" t="s">
        <v>29</v>
      </c>
      <c r="Q328" t="s">
        <v>60</v>
      </c>
      <c r="V328" t="s">
        <v>40</v>
      </c>
    </row>
    <row r="329" spans="4:22" x14ac:dyDescent="0.45">
      <c r="D329" t="s">
        <v>621</v>
      </c>
      <c r="E329" t="s">
        <v>1876</v>
      </c>
      <c r="F329" t="s">
        <v>290</v>
      </c>
      <c r="G329" t="s">
        <v>1877</v>
      </c>
      <c r="H329" t="s">
        <v>19</v>
      </c>
      <c r="I329" t="s">
        <v>130</v>
      </c>
      <c r="K329" t="s">
        <v>131</v>
      </c>
      <c r="N329" t="s">
        <v>29</v>
      </c>
      <c r="Q329" t="s">
        <v>60</v>
      </c>
      <c r="V329" t="s">
        <v>40</v>
      </c>
    </row>
    <row r="330" spans="4:22" x14ac:dyDescent="0.45">
      <c r="D330" t="s">
        <v>622</v>
      </c>
      <c r="E330" t="s">
        <v>1878</v>
      </c>
      <c r="F330" t="s">
        <v>290</v>
      </c>
      <c r="G330" t="s">
        <v>1879</v>
      </c>
      <c r="H330" t="s">
        <v>19</v>
      </c>
      <c r="I330" t="s">
        <v>147</v>
      </c>
      <c r="K330" t="s">
        <v>143</v>
      </c>
      <c r="N330" t="s">
        <v>29</v>
      </c>
      <c r="Q330" t="s">
        <v>60</v>
      </c>
      <c r="V330" t="s">
        <v>22</v>
      </c>
    </row>
    <row r="331" spans="4:22" x14ac:dyDescent="0.45">
      <c r="D331" t="s">
        <v>623</v>
      </c>
      <c r="E331" t="s">
        <v>1880</v>
      </c>
      <c r="F331" t="s">
        <v>290</v>
      </c>
      <c r="G331" t="s">
        <v>1881</v>
      </c>
      <c r="H331" t="s">
        <v>19</v>
      </c>
      <c r="I331" t="s">
        <v>133</v>
      </c>
      <c r="K331" t="s">
        <v>131</v>
      </c>
      <c r="N331" t="s">
        <v>29</v>
      </c>
      <c r="Q331" t="s">
        <v>60</v>
      </c>
      <c r="V331" t="s">
        <v>22</v>
      </c>
    </row>
    <row r="332" spans="4:22" x14ac:dyDescent="0.45">
      <c r="D332" t="s">
        <v>624</v>
      </c>
      <c r="E332" t="s">
        <v>1882</v>
      </c>
      <c r="F332" t="s">
        <v>290</v>
      </c>
      <c r="G332" t="s">
        <v>1862</v>
      </c>
      <c r="H332" t="s">
        <v>19</v>
      </c>
      <c r="I332" t="s">
        <v>120</v>
      </c>
      <c r="K332" t="s">
        <v>143</v>
      </c>
      <c r="N332" t="s">
        <v>28</v>
      </c>
      <c r="Q332" t="s">
        <v>60</v>
      </c>
      <c r="V332" t="s">
        <v>22</v>
      </c>
    </row>
    <row r="333" spans="4:22" x14ac:dyDescent="0.45">
      <c r="D333" t="s">
        <v>625</v>
      </c>
      <c r="E333" t="s">
        <v>1883</v>
      </c>
      <c r="F333" t="s">
        <v>290</v>
      </c>
      <c r="G333" t="s">
        <v>1864</v>
      </c>
      <c r="H333" t="s">
        <v>19</v>
      </c>
      <c r="I333" t="s">
        <v>111</v>
      </c>
      <c r="K333" t="s">
        <v>143</v>
      </c>
      <c r="N333" t="s">
        <v>28</v>
      </c>
      <c r="Q333" t="s">
        <v>60</v>
      </c>
      <c r="V333" t="s">
        <v>22</v>
      </c>
    </row>
    <row r="334" spans="4:22" x14ac:dyDescent="0.45">
      <c r="D334" t="s">
        <v>626</v>
      </c>
      <c r="E334" t="s">
        <v>1884</v>
      </c>
      <c r="F334" t="s">
        <v>290</v>
      </c>
      <c r="G334" t="s">
        <v>1866</v>
      </c>
      <c r="H334" t="s">
        <v>19</v>
      </c>
      <c r="I334" t="s">
        <v>122</v>
      </c>
      <c r="K334" t="s">
        <v>143</v>
      </c>
      <c r="N334" t="s">
        <v>28</v>
      </c>
      <c r="Q334" t="s">
        <v>60</v>
      </c>
      <c r="V334" t="s">
        <v>22</v>
      </c>
    </row>
    <row r="335" spans="4:22" x14ac:dyDescent="0.45">
      <c r="D335" t="s">
        <v>627</v>
      </c>
      <c r="E335" t="s">
        <v>1885</v>
      </c>
      <c r="F335" t="s">
        <v>290</v>
      </c>
      <c r="G335" t="s">
        <v>1868</v>
      </c>
      <c r="H335" t="s">
        <v>19</v>
      </c>
      <c r="I335" t="s">
        <v>126</v>
      </c>
      <c r="K335" t="s">
        <v>143</v>
      </c>
      <c r="N335" t="s">
        <v>28</v>
      </c>
      <c r="Q335" t="s">
        <v>60</v>
      </c>
      <c r="V335" t="s">
        <v>22</v>
      </c>
    </row>
    <row r="336" spans="4:22" x14ac:dyDescent="0.45">
      <c r="D336" t="s">
        <v>628</v>
      </c>
      <c r="E336" t="s">
        <v>1886</v>
      </c>
      <c r="F336" t="s">
        <v>290</v>
      </c>
      <c r="G336" t="s">
        <v>1870</v>
      </c>
      <c r="H336" t="s">
        <v>19</v>
      </c>
      <c r="I336" t="s">
        <v>127</v>
      </c>
      <c r="K336" t="s">
        <v>143</v>
      </c>
      <c r="N336" t="s">
        <v>28</v>
      </c>
      <c r="Q336" t="s">
        <v>60</v>
      </c>
      <c r="V336" t="s">
        <v>22</v>
      </c>
    </row>
    <row r="337" spans="4:22" x14ac:dyDescent="0.45">
      <c r="D337" t="s">
        <v>629</v>
      </c>
      <c r="E337" t="s">
        <v>1887</v>
      </c>
      <c r="F337" t="s">
        <v>290</v>
      </c>
      <c r="G337" t="s">
        <v>1872</v>
      </c>
      <c r="H337" t="s">
        <v>19</v>
      </c>
      <c r="I337" t="s">
        <v>144</v>
      </c>
      <c r="K337" t="s">
        <v>143</v>
      </c>
      <c r="N337" t="s">
        <v>28</v>
      </c>
      <c r="Q337" t="s">
        <v>60</v>
      </c>
      <c r="V337" t="s">
        <v>22</v>
      </c>
    </row>
    <row r="338" spans="4:22" x14ac:dyDescent="0.45">
      <c r="D338" t="s">
        <v>630</v>
      </c>
      <c r="E338" t="s">
        <v>1888</v>
      </c>
      <c r="F338" t="s">
        <v>290</v>
      </c>
      <c r="G338" t="s">
        <v>1874</v>
      </c>
      <c r="H338" t="s">
        <v>19</v>
      </c>
      <c r="I338" t="s">
        <v>145</v>
      </c>
      <c r="K338" t="s">
        <v>143</v>
      </c>
      <c r="N338" t="s">
        <v>28</v>
      </c>
      <c r="Q338" t="s">
        <v>60</v>
      </c>
      <c r="V338" t="s">
        <v>22</v>
      </c>
    </row>
    <row r="339" spans="4:22" x14ac:dyDescent="0.45">
      <c r="D339" t="s">
        <v>631</v>
      </c>
      <c r="E339" t="s">
        <v>1670</v>
      </c>
      <c r="F339" t="s">
        <v>290</v>
      </c>
      <c r="G339" t="s">
        <v>1889</v>
      </c>
      <c r="H339" t="s">
        <v>19</v>
      </c>
      <c r="I339" t="s">
        <v>148</v>
      </c>
      <c r="K339" t="s">
        <v>143</v>
      </c>
      <c r="N339" t="s">
        <v>28</v>
      </c>
      <c r="Q339" t="s">
        <v>60</v>
      </c>
      <c r="V339" t="s">
        <v>40</v>
      </c>
    </row>
    <row r="340" spans="4:22" x14ac:dyDescent="0.45">
      <c r="D340" t="s">
        <v>632</v>
      </c>
      <c r="E340" t="s">
        <v>1890</v>
      </c>
      <c r="F340" t="s">
        <v>290</v>
      </c>
      <c r="G340" t="s">
        <v>1877</v>
      </c>
      <c r="H340" t="s">
        <v>19</v>
      </c>
      <c r="I340" t="s">
        <v>130</v>
      </c>
      <c r="K340" t="s">
        <v>131</v>
      </c>
      <c r="N340" t="s">
        <v>28</v>
      </c>
      <c r="Q340" t="s">
        <v>60</v>
      </c>
      <c r="V340" t="s">
        <v>40</v>
      </c>
    </row>
    <row r="341" spans="4:22" x14ac:dyDescent="0.45">
      <c r="D341" t="s">
        <v>633</v>
      </c>
      <c r="E341" t="s">
        <v>1891</v>
      </c>
      <c r="F341" t="s">
        <v>290</v>
      </c>
      <c r="G341" t="s">
        <v>1879</v>
      </c>
      <c r="H341" t="s">
        <v>19</v>
      </c>
      <c r="I341" t="s">
        <v>147</v>
      </c>
      <c r="K341" t="s">
        <v>143</v>
      </c>
      <c r="N341" t="s">
        <v>28</v>
      </c>
      <c r="Q341" t="s">
        <v>60</v>
      </c>
      <c r="V341" t="s">
        <v>22</v>
      </c>
    </row>
    <row r="342" spans="4:22" x14ac:dyDescent="0.45">
      <c r="D342" t="s">
        <v>634</v>
      </c>
      <c r="E342" t="s">
        <v>1892</v>
      </c>
      <c r="F342" t="s">
        <v>290</v>
      </c>
      <c r="G342" t="s">
        <v>1881</v>
      </c>
      <c r="H342" t="s">
        <v>19</v>
      </c>
      <c r="I342" t="s">
        <v>133</v>
      </c>
      <c r="K342" t="s">
        <v>131</v>
      </c>
      <c r="N342" t="s">
        <v>28</v>
      </c>
      <c r="Q342" t="s">
        <v>60</v>
      </c>
      <c r="V342" t="s">
        <v>22</v>
      </c>
    </row>
    <row r="343" spans="4:22" x14ac:dyDescent="0.45">
      <c r="D343" t="s">
        <v>635</v>
      </c>
      <c r="E343" t="s">
        <v>1893</v>
      </c>
      <c r="F343" t="s">
        <v>290</v>
      </c>
      <c r="G343" t="s">
        <v>1862</v>
      </c>
      <c r="H343" t="s">
        <v>19</v>
      </c>
      <c r="I343" t="s">
        <v>120</v>
      </c>
      <c r="K343" t="s">
        <v>143</v>
      </c>
      <c r="N343" t="s">
        <v>26</v>
      </c>
      <c r="Q343" t="s">
        <v>60</v>
      </c>
      <c r="V343" t="s">
        <v>22</v>
      </c>
    </row>
    <row r="344" spans="4:22" x14ac:dyDescent="0.45">
      <c r="D344" t="s">
        <v>636</v>
      </c>
      <c r="E344" t="s">
        <v>1894</v>
      </c>
      <c r="F344" t="s">
        <v>290</v>
      </c>
      <c r="G344" t="s">
        <v>1864</v>
      </c>
      <c r="H344" t="s">
        <v>19</v>
      </c>
      <c r="I344" t="s">
        <v>111</v>
      </c>
      <c r="K344" t="s">
        <v>143</v>
      </c>
      <c r="N344" t="s">
        <v>26</v>
      </c>
      <c r="Q344" t="s">
        <v>60</v>
      </c>
      <c r="V344" t="s">
        <v>22</v>
      </c>
    </row>
    <row r="345" spans="4:22" x14ac:dyDescent="0.45">
      <c r="D345" t="s">
        <v>637</v>
      </c>
      <c r="E345" t="s">
        <v>1895</v>
      </c>
      <c r="F345" t="s">
        <v>290</v>
      </c>
      <c r="G345" t="s">
        <v>1866</v>
      </c>
      <c r="H345" t="s">
        <v>19</v>
      </c>
      <c r="I345" t="s">
        <v>122</v>
      </c>
      <c r="K345" t="s">
        <v>143</v>
      </c>
      <c r="N345" t="s">
        <v>26</v>
      </c>
      <c r="Q345" t="s">
        <v>60</v>
      </c>
      <c r="V345" t="s">
        <v>22</v>
      </c>
    </row>
    <row r="346" spans="4:22" x14ac:dyDescent="0.45">
      <c r="D346" t="s">
        <v>638</v>
      </c>
      <c r="E346" t="s">
        <v>1896</v>
      </c>
      <c r="F346" t="s">
        <v>290</v>
      </c>
      <c r="G346" t="s">
        <v>1868</v>
      </c>
      <c r="H346" t="s">
        <v>19</v>
      </c>
      <c r="I346" t="s">
        <v>126</v>
      </c>
      <c r="K346" t="s">
        <v>143</v>
      </c>
      <c r="N346" t="s">
        <v>26</v>
      </c>
      <c r="Q346" t="s">
        <v>60</v>
      </c>
      <c r="V346" t="s">
        <v>22</v>
      </c>
    </row>
    <row r="347" spans="4:22" x14ac:dyDescent="0.45">
      <c r="D347" t="s">
        <v>639</v>
      </c>
      <c r="E347" t="s">
        <v>1897</v>
      </c>
      <c r="F347" t="s">
        <v>290</v>
      </c>
      <c r="G347" t="s">
        <v>1870</v>
      </c>
      <c r="H347" t="s">
        <v>19</v>
      </c>
      <c r="I347" t="s">
        <v>127</v>
      </c>
      <c r="K347" t="s">
        <v>143</v>
      </c>
      <c r="N347" t="s">
        <v>26</v>
      </c>
      <c r="Q347" t="s">
        <v>60</v>
      </c>
      <c r="V347" t="s">
        <v>22</v>
      </c>
    </row>
    <row r="348" spans="4:22" x14ac:dyDescent="0.45">
      <c r="D348" t="s">
        <v>640</v>
      </c>
      <c r="E348" t="s">
        <v>1898</v>
      </c>
      <c r="F348" t="s">
        <v>290</v>
      </c>
      <c r="G348" t="s">
        <v>1872</v>
      </c>
      <c r="H348" t="s">
        <v>19</v>
      </c>
      <c r="I348" t="s">
        <v>144</v>
      </c>
      <c r="K348" t="s">
        <v>143</v>
      </c>
      <c r="N348" t="s">
        <v>26</v>
      </c>
      <c r="Q348" t="s">
        <v>60</v>
      </c>
      <c r="V348" t="s">
        <v>22</v>
      </c>
    </row>
    <row r="349" spans="4:22" x14ac:dyDescent="0.45">
      <c r="D349" t="s">
        <v>641</v>
      </c>
      <c r="E349" t="s">
        <v>1899</v>
      </c>
      <c r="F349" t="s">
        <v>290</v>
      </c>
      <c r="G349" t="s">
        <v>1874</v>
      </c>
      <c r="H349" t="s">
        <v>19</v>
      </c>
      <c r="I349" t="s">
        <v>145</v>
      </c>
      <c r="K349" t="s">
        <v>143</v>
      </c>
      <c r="N349" t="s">
        <v>26</v>
      </c>
      <c r="Q349" t="s">
        <v>60</v>
      </c>
      <c r="V349" t="s">
        <v>22</v>
      </c>
    </row>
    <row r="350" spans="4:22" x14ac:dyDescent="0.45">
      <c r="D350" t="s">
        <v>642</v>
      </c>
      <c r="E350" t="s">
        <v>1672</v>
      </c>
      <c r="F350" t="s">
        <v>290</v>
      </c>
      <c r="G350" t="s">
        <v>1900</v>
      </c>
      <c r="H350" t="s">
        <v>19</v>
      </c>
      <c r="I350" t="s">
        <v>149</v>
      </c>
      <c r="K350" t="s">
        <v>143</v>
      </c>
      <c r="N350" t="s">
        <v>26</v>
      </c>
      <c r="Q350" t="s">
        <v>60</v>
      </c>
      <c r="V350" t="s">
        <v>40</v>
      </c>
    </row>
    <row r="351" spans="4:22" x14ac:dyDescent="0.45">
      <c r="D351" t="s">
        <v>643</v>
      </c>
      <c r="E351" t="s">
        <v>1901</v>
      </c>
      <c r="F351" t="s">
        <v>290</v>
      </c>
      <c r="G351" t="s">
        <v>1877</v>
      </c>
      <c r="H351" t="s">
        <v>19</v>
      </c>
      <c r="I351" t="s">
        <v>130</v>
      </c>
      <c r="K351" t="s">
        <v>131</v>
      </c>
      <c r="N351" t="s">
        <v>26</v>
      </c>
      <c r="Q351" t="s">
        <v>60</v>
      </c>
      <c r="V351" t="s">
        <v>40</v>
      </c>
    </row>
    <row r="352" spans="4:22" x14ac:dyDescent="0.45">
      <c r="D352" t="s">
        <v>644</v>
      </c>
      <c r="E352" t="s">
        <v>1902</v>
      </c>
      <c r="F352" t="s">
        <v>290</v>
      </c>
      <c r="G352" t="s">
        <v>1879</v>
      </c>
      <c r="H352" t="s">
        <v>19</v>
      </c>
      <c r="I352" t="s">
        <v>147</v>
      </c>
      <c r="K352" t="s">
        <v>143</v>
      </c>
      <c r="N352" t="s">
        <v>26</v>
      </c>
      <c r="Q352" t="s">
        <v>60</v>
      </c>
      <c r="V352" t="s">
        <v>22</v>
      </c>
    </row>
    <row r="353" spans="4:22" x14ac:dyDescent="0.45">
      <c r="D353" t="s">
        <v>645</v>
      </c>
      <c r="E353" t="s">
        <v>1903</v>
      </c>
      <c r="F353" t="s">
        <v>290</v>
      </c>
      <c r="G353" t="s">
        <v>1881</v>
      </c>
      <c r="H353" t="s">
        <v>19</v>
      </c>
      <c r="I353" t="s">
        <v>133</v>
      </c>
      <c r="K353" t="s">
        <v>131</v>
      </c>
      <c r="N353" t="s">
        <v>26</v>
      </c>
      <c r="Q353" t="s">
        <v>60</v>
      </c>
      <c r="V353" t="s">
        <v>22</v>
      </c>
    </row>
    <row r="354" spans="4:22" x14ac:dyDescent="0.45">
      <c r="D354" t="s">
        <v>646</v>
      </c>
      <c r="E354" t="s">
        <v>1904</v>
      </c>
      <c r="F354" t="s">
        <v>290</v>
      </c>
      <c r="G354" t="s">
        <v>1905</v>
      </c>
      <c r="H354" t="s">
        <v>19</v>
      </c>
      <c r="I354" t="s">
        <v>120</v>
      </c>
      <c r="K354" t="s">
        <v>143</v>
      </c>
      <c r="N354" t="s">
        <v>29</v>
      </c>
      <c r="Q354" t="s">
        <v>61</v>
      </c>
      <c r="V354" t="s">
        <v>22</v>
      </c>
    </row>
    <row r="355" spans="4:22" x14ac:dyDescent="0.45">
      <c r="D355" t="s">
        <v>647</v>
      </c>
      <c r="E355" t="s">
        <v>1906</v>
      </c>
      <c r="F355" t="s">
        <v>290</v>
      </c>
      <c r="G355" t="s">
        <v>1907</v>
      </c>
      <c r="H355" t="s">
        <v>19</v>
      </c>
      <c r="I355" t="s">
        <v>111</v>
      </c>
      <c r="K355" t="s">
        <v>143</v>
      </c>
      <c r="N355" t="s">
        <v>29</v>
      </c>
      <c r="Q355" t="s">
        <v>61</v>
      </c>
      <c r="V355" t="s">
        <v>22</v>
      </c>
    </row>
    <row r="356" spans="4:22" x14ac:dyDescent="0.45">
      <c r="D356" t="s">
        <v>648</v>
      </c>
      <c r="E356" t="s">
        <v>1908</v>
      </c>
      <c r="F356" t="s">
        <v>290</v>
      </c>
      <c r="G356" t="s">
        <v>1909</v>
      </c>
      <c r="H356" t="s">
        <v>19</v>
      </c>
      <c r="I356" t="s">
        <v>122</v>
      </c>
      <c r="K356" t="s">
        <v>143</v>
      </c>
      <c r="N356" t="s">
        <v>29</v>
      </c>
      <c r="Q356" t="s">
        <v>61</v>
      </c>
      <c r="V356" t="s">
        <v>22</v>
      </c>
    </row>
    <row r="357" spans="4:22" x14ac:dyDescent="0.45">
      <c r="D357" t="s">
        <v>649</v>
      </c>
      <c r="E357" t="s">
        <v>1910</v>
      </c>
      <c r="F357" t="s">
        <v>290</v>
      </c>
      <c r="G357" t="s">
        <v>1911</v>
      </c>
      <c r="H357" t="s">
        <v>19</v>
      </c>
      <c r="I357" t="s">
        <v>126</v>
      </c>
      <c r="K357" t="s">
        <v>143</v>
      </c>
      <c r="N357" t="s">
        <v>29</v>
      </c>
      <c r="Q357" t="s">
        <v>61</v>
      </c>
      <c r="V357" t="s">
        <v>22</v>
      </c>
    </row>
    <row r="358" spans="4:22" x14ac:dyDescent="0.45">
      <c r="D358" t="s">
        <v>650</v>
      </c>
      <c r="E358" t="s">
        <v>1912</v>
      </c>
      <c r="F358" t="s">
        <v>290</v>
      </c>
      <c r="G358" t="s">
        <v>1913</v>
      </c>
      <c r="H358" t="s">
        <v>19</v>
      </c>
      <c r="I358" t="s">
        <v>127</v>
      </c>
      <c r="K358" t="s">
        <v>143</v>
      </c>
      <c r="N358" t="s">
        <v>29</v>
      </c>
      <c r="Q358" t="s">
        <v>61</v>
      </c>
      <c r="V358" t="s">
        <v>22</v>
      </c>
    </row>
    <row r="359" spans="4:22" x14ac:dyDescent="0.45">
      <c r="D359" t="s">
        <v>651</v>
      </c>
      <c r="E359" t="s">
        <v>1914</v>
      </c>
      <c r="F359" t="s">
        <v>290</v>
      </c>
      <c r="G359" t="s">
        <v>1915</v>
      </c>
      <c r="H359" t="s">
        <v>19</v>
      </c>
      <c r="I359" t="s">
        <v>150</v>
      </c>
      <c r="K359" t="s">
        <v>143</v>
      </c>
      <c r="N359" t="s">
        <v>29</v>
      </c>
      <c r="Q359" t="s">
        <v>61</v>
      </c>
      <c r="V359" t="s">
        <v>22</v>
      </c>
    </row>
    <row r="360" spans="4:22" x14ac:dyDescent="0.45">
      <c r="D360" t="s">
        <v>652</v>
      </c>
      <c r="E360" t="s">
        <v>1916</v>
      </c>
      <c r="F360" t="s">
        <v>290</v>
      </c>
      <c r="G360" t="s">
        <v>1917</v>
      </c>
      <c r="H360" t="s">
        <v>19</v>
      </c>
      <c r="I360" t="s">
        <v>151</v>
      </c>
      <c r="K360" t="s">
        <v>143</v>
      </c>
      <c r="N360" t="s">
        <v>29</v>
      </c>
      <c r="Q360" t="s">
        <v>61</v>
      </c>
      <c r="V360" t="s">
        <v>22</v>
      </c>
    </row>
    <row r="361" spans="4:22" x14ac:dyDescent="0.45">
      <c r="D361" t="s">
        <v>653</v>
      </c>
      <c r="E361" t="s">
        <v>1668</v>
      </c>
      <c r="F361" t="s">
        <v>290</v>
      </c>
      <c r="G361" t="s">
        <v>1918</v>
      </c>
      <c r="H361" t="s">
        <v>19</v>
      </c>
      <c r="I361" t="s">
        <v>146</v>
      </c>
      <c r="K361" t="s">
        <v>143</v>
      </c>
      <c r="N361" t="s">
        <v>29</v>
      </c>
      <c r="Q361" t="s">
        <v>61</v>
      </c>
      <c r="V361" t="s">
        <v>40</v>
      </c>
    </row>
    <row r="362" spans="4:22" x14ac:dyDescent="0.45">
      <c r="D362" t="s">
        <v>654</v>
      </c>
      <c r="E362" t="s">
        <v>1919</v>
      </c>
      <c r="F362" t="s">
        <v>290</v>
      </c>
      <c r="G362" t="s">
        <v>1920</v>
      </c>
      <c r="H362" t="s">
        <v>19</v>
      </c>
      <c r="I362" t="s">
        <v>130</v>
      </c>
      <c r="K362" t="s">
        <v>131</v>
      </c>
      <c r="N362" t="s">
        <v>29</v>
      </c>
      <c r="Q362" t="s">
        <v>61</v>
      </c>
      <c r="V362" t="s">
        <v>40</v>
      </c>
    </row>
    <row r="363" spans="4:22" x14ac:dyDescent="0.45">
      <c r="D363" t="s">
        <v>655</v>
      </c>
      <c r="E363" t="s">
        <v>1921</v>
      </c>
      <c r="F363" t="s">
        <v>290</v>
      </c>
      <c r="G363" t="s">
        <v>1922</v>
      </c>
      <c r="H363" t="s">
        <v>19</v>
      </c>
      <c r="I363" t="s">
        <v>152</v>
      </c>
      <c r="K363" t="s">
        <v>143</v>
      </c>
      <c r="N363" t="s">
        <v>29</v>
      </c>
      <c r="Q363" t="s">
        <v>61</v>
      </c>
      <c r="V363" t="s">
        <v>22</v>
      </c>
    </row>
    <row r="364" spans="4:22" x14ac:dyDescent="0.45">
      <c r="D364" t="s">
        <v>656</v>
      </c>
      <c r="E364" t="s">
        <v>1923</v>
      </c>
      <c r="F364" t="s">
        <v>290</v>
      </c>
      <c r="G364" t="s">
        <v>1924</v>
      </c>
      <c r="H364" t="s">
        <v>19</v>
      </c>
      <c r="I364" t="s">
        <v>133</v>
      </c>
      <c r="K364" t="s">
        <v>131</v>
      </c>
      <c r="N364" t="s">
        <v>29</v>
      </c>
      <c r="Q364" t="s">
        <v>61</v>
      </c>
      <c r="V364" t="s">
        <v>22</v>
      </c>
    </row>
    <row r="365" spans="4:22" x14ac:dyDescent="0.45">
      <c r="D365" t="s">
        <v>657</v>
      </c>
      <c r="E365" t="s">
        <v>1925</v>
      </c>
      <c r="F365" t="s">
        <v>290</v>
      </c>
      <c r="G365" t="s">
        <v>1905</v>
      </c>
      <c r="H365" t="s">
        <v>19</v>
      </c>
      <c r="I365" t="s">
        <v>120</v>
      </c>
      <c r="K365" t="s">
        <v>143</v>
      </c>
      <c r="N365" t="s">
        <v>28</v>
      </c>
      <c r="Q365" t="s">
        <v>61</v>
      </c>
      <c r="V365" t="s">
        <v>22</v>
      </c>
    </row>
    <row r="366" spans="4:22" x14ac:dyDescent="0.45">
      <c r="D366" t="s">
        <v>658</v>
      </c>
      <c r="E366" t="s">
        <v>1926</v>
      </c>
      <c r="F366" t="s">
        <v>290</v>
      </c>
      <c r="G366" t="s">
        <v>1907</v>
      </c>
      <c r="H366" t="s">
        <v>19</v>
      </c>
      <c r="I366" t="s">
        <v>111</v>
      </c>
      <c r="K366" t="s">
        <v>143</v>
      </c>
      <c r="N366" t="s">
        <v>28</v>
      </c>
      <c r="Q366" t="s">
        <v>61</v>
      </c>
      <c r="V366" t="s">
        <v>22</v>
      </c>
    </row>
    <row r="367" spans="4:22" x14ac:dyDescent="0.45">
      <c r="D367" t="s">
        <v>659</v>
      </c>
      <c r="E367" t="s">
        <v>1927</v>
      </c>
      <c r="F367" t="s">
        <v>290</v>
      </c>
      <c r="G367" t="s">
        <v>1909</v>
      </c>
      <c r="H367" t="s">
        <v>19</v>
      </c>
      <c r="I367" t="s">
        <v>122</v>
      </c>
      <c r="K367" t="s">
        <v>143</v>
      </c>
      <c r="N367" t="s">
        <v>28</v>
      </c>
      <c r="Q367" t="s">
        <v>61</v>
      </c>
      <c r="V367" t="s">
        <v>22</v>
      </c>
    </row>
    <row r="368" spans="4:22" x14ac:dyDescent="0.45">
      <c r="D368" t="s">
        <v>660</v>
      </c>
      <c r="E368" t="s">
        <v>1928</v>
      </c>
      <c r="F368" t="s">
        <v>290</v>
      </c>
      <c r="G368" t="s">
        <v>1911</v>
      </c>
      <c r="H368" t="s">
        <v>19</v>
      </c>
      <c r="I368" t="s">
        <v>126</v>
      </c>
      <c r="K368" t="s">
        <v>143</v>
      </c>
      <c r="N368" t="s">
        <v>28</v>
      </c>
      <c r="Q368" t="s">
        <v>61</v>
      </c>
      <c r="V368" t="s">
        <v>22</v>
      </c>
    </row>
    <row r="369" spans="4:22" x14ac:dyDescent="0.45">
      <c r="D369" t="s">
        <v>661</v>
      </c>
      <c r="E369" t="s">
        <v>1929</v>
      </c>
      <c r="F369" t="s">
        <v>290</v>
      </c>
      <c r="G369" t="s">
        <v>1913</v>
      </c>
      <c r="H369" t="s">
        <v>19</v>
      </c>
      <c r="I369" t="s">
        <v>127</v>
      </c>
      <c r="K369" t="s">
        <v>143</v>
      </c>
      <c r="N369" t="s">
        <v>28</v>
      </c>
      <c r="Q369" t="s">
        <v>61</v>
      </c>
      <c r="V369" t="s">
        <v>22</v>
      </c>
    </row>
    <row r="370" spans="4:22" x14ac:dyDescent="0.45">
      <c r="D370" t="s">
        <v>662</v>
      </c>
      <c r="E370" t="s">
        <v>1930</v>
      </c>
      <c r="F370" t="s">
        <v>290</v>
      </c>
      <c r="G370" t="s">
        <v>1915</v>
      </c>
      <c r="H370" t="s">
        <v>19</v>
      </c>
      <c r="I370" t="s">
        <v>150</v>
      </c>
      <c r="K370" t="s">
        <v>143</v>
      </c>
      <c r="N370" t="s">
        <v>28</v>
      </c>
      <c r="Q370" t="s">
        <v>61</v>
      </c>
      <c r="V370" t="s">
        <v>22</v>
      </c>
    </row>
    <row r="371" spans="4:22" x14ac:dyDescent="0.45">
      <c r="D371" t="s">
        <v>663</v>
      </c>
      <c r="E371" t="s">
        <v>1931</v>
      </c>
      <c r="F371" t="s">
        <v>290</v>
      </c>
      <c r="G371" t="s">
        <v>1917</v>
      </c>
      <c r="H371" t="s">
        <v>19</v>
      </c>
      <c r="I371" t="s">
        <v>151</v>
      </c>
      <c r="K371" t="s">
        <v>143</v>
      </c>
      <c r="N371" t="s">
        <v>28</v>
      </c>
      <c r="Q371" t="s">
        <v>61</v>
      </c>
      <c r="V371" t="s">
        <v>22</v>
      </c>
    </row>
    <row r="372" spans="4:22" x14ac:dyDescent="0.45">
      <c r="D372" t="s">
        <v>664</v>
      </c>
      <c r="E372" t="s">
        <v>1671</v>
      </c>
      <c r="F372" t="s">
        <v>290</v>
      </c>
      <c r="G372" t="s">
        <v>1932</v>
      </c>
      <c r="H372" t="s">
        <v>19</v>
      </c>
      <c r="I372" t="s">
        <v>148</v>
      </c>
      <c r="K372" t="s">
        <v>143</v>
      </c>
      <c r="N372" t="s">
        <v>28</v>
      </c>
      <c r="Q372" t="s">
        <v>61</v>
      </c>
      <c r="V372" t="s">
        <v>40</v>
      </c>
    </row>
    <row r="373" spans="4:22" x14ac:dyDescent="0.45">
      <c r="D373" t="s">
        <v>665</v>
      </c>
      <c r="E373" t="s">
        <v>1933</v>
      </c>
      <c r="F373" t="s">
        <v>290</v>
      </c>
      <c r="G373" t="s">
        <v>1920</v>
      </c>
      <c r="H373" t="s">
        <v>19</v>
      </c>
      <c r="I373" t="s">
        <v>130</v>
      </c>
      <c r="K373" t="s">
        <v>131</v>
      </c>
      <c r="N373" t="s">
        <v>28</v>
      </c>
      <c r="Q373" t="s">
        <v>61</v>
      </c>
      <c r="V373" t="s">
        <v>40</v>
      </c>
    </row>
    <row r="374" spans="4:22" x14ac:dyDescent="0.45">
      <c r="D374" t="s">
        <v>666</v>
      </c>
      <c r="E374" t="s">
        <v>1934</v>
      </c>
      <c r="F374" t="s">
        <v>290</v>
      </c>
      <c r="G374" t="s">
        <v>1922</v>
      </c>
      <c r="H374" t="s">
        <v>19</v>
      </c>
      <c r="I374" t="s">
        <v>152</v>
      </c>
      <c r="K374" t="s">
        <v>143</v>
      </c>
      <c r="N374" t="s">
        <v>28</v>
      </c>
      <c r="Q374" t="s">
        <v>61</v>
      </c>
      <c r="V374" t="s">
        <v>22</v>
      </c>
    </row>
    <row r="375" spans="4:22" x14ac:dyDescent="0.45">
      <c r="D375" t="s">
        <v>667</v>
      </c>
      <c r="E375" t="s">
        <v>1935</v>
      </c>
      <c r="F375" t="s">
        <v>290</v>
      </c>
      <c r="G375" t="s">
        <v>1924</v>
      </c>
      <c r="H375" t="s">
        <v>19</v>
      </c>
      <c r="I375" t="s">
        <v>133</v>
      </c>
      <c r="K375" t="s">
        <v>131</v>
      </c>
      <c r="N375" t="s">
        <v>28</v>
      </c>
      <c r="Q375" t="s">
        <v>61</v>
      </c>
      <c r="V375" t="s">
        <v>22</v>
      </c>
    </row>
    <row r="376" spans="4:22" x14ac:dyDescent="0.45">
      <c r="D376" t="s">
        <v>668</v>
      </c>
      <c r="E376" t="s">
        <v>1936</v>
      </c>
      <c r="F376" t="s">
        <v>290</v>
      </c>
      <c r="G376" t="s">
        <v>1905</v>
      </c>
      <c r="H376" t="s">
        <v>19</v>
      </c>
      <c r="I376" t="s">
        <v>120</v>
      </c>
      <c r="K376" t="s">
        <v>143</v>
      </c>
      <c r="N376" t="s">
        <v>26</v>
      </c>
      <c r="Q376" t="s">
        <v>61</v>
      </c>
      <c r="V376" t="s">
        <v>22</v>
      </c>
    </row>
    <row r="377" spans="4:22" x14ac:dyDescent="0.45">
      <c r="D377" t="s">
        <v>669</v>
      </c>
      <c r="E377" t="s">
        <v>1937</v>
      </c>
      <c r="F377" t="s">
        <v>290</v>
      </c>
      <c r="G377" t="s">
        <v>1907</v>
      </c>
      <c r="H377" t="s">
        <v>19</v>
      </c>
      <c r="I377" t="s">
        <v>111</v>
      </c>
      <c r="K377" t="s">
        <v>143</v>
      </c>
      <c r="N377" t="s">
        <v>26</v>
      </c>
      <c r="Q377" t="s">
        <v>61</v>
      </c>
      <c r="V377" t="s">
        <v>22</v>
      </c>
    </row>
    <row r="378" spans="4:22" x14ac:dyDescent="0.45">
      <c r="D378" t="s">
        <v>670</v>
      </c>
      <c r="E378" t="s">
        <v>1938</v>
      </c>
      <c r="F378" t="s">
        <v>290</v>
      </c>
      <c r="G378" t="s">
        <v>1909</v>
      </c>
      <c r="H378" t="s">
        <v>19</v>
      </c>
      <c r="I378" t="s">
        <v>122</v>
      </c>
      <c r="K378" t="s">
        <v>143</v>
      </c>
      <c r="N378" t="s">
        <v>26</v>
      </c>
      <c r="Q378" t="s">
        <v>61</v>
      </c>
      <c r="V378" t="s">
        <v>22</v>
      </c>
    </row>
    <row r="379" spans="4:22" x14ac:dyDescent="0.45">
      <c r="D379" t="s">
        <v>671</v>
      </c>
      <c r="E379" t="s">
        <v>1939</v>
      </c>
      <c r="F379" t="s">
        <v>290</v>
      </c>
      <c r="G379" t="s">
        <v>1911</v>
      </c>
      <c r="H379" t="s">
        <v>19</v>
      </c>
      <c r="I379" t="s">
        <v>126</v>
      </c>
      <c r="K379" t="s">
        <v>143</v>
      </c>
      <c r="N379" t="s">
        <v>26</v>
      </c>
      <c r="Q379" t="s">
        <v>61</v>
      </c>
      <c r="V379" t="s">
        <v>22</v>
      </c>
    </row>
    <row r="380" spans="4:22" x14ac:dyDescent="0.45">
      <c r="D380" t="s">
        <v>672</v>
      </c>
      <c r="E380" t="s">
        <v>1940</v>
      </c>
      <c r="F380" t="s">
        <v>290</v>
      </c>
      <c r="G380" t="s">
        <v>1913</v>
      </c>
      <c r="H380" t="s">
        <v>19</v>
      </c>
      <c r="I380" t="s">
        <v>127</v>
      </c>
      <c r="K380" t="s">
        <v>143</v>
      </c>
      <c r="N380" t="s">
        <v>26</v>
      </c>
      <c r="Q380" t="s">
        <v>61</v>
      </c>
      <c r="V380" t="s">
        <v>22</v>
      </c>
    </row>
    <row r="381" spans="4:22" x14ac:dyDescent="0.45">
      <c r="D381" t="s">
        <v>673</v>
      </c>
      <c r="E381" t="s">
        <v>1941</v>
      </c>
      <c r="F381" t="s">
        <v>290</v>
      </c>
      <c r="G381" t="s">
        <v>1915</v>
      </c>
      <c r="H381" t="s">
        <v>19</v>
      </c>
      <c r="I381" t="s">
        <v>150</v>
      </c>
      <c r="K381" t="s">
        <v>143</v>
      </c>
      <c r="N381" t="s">
        <v>26</v>
      </c>
      <c r="Q381" t="s">
        <v>61</v>
      </c>
      <c r="V381" t="s">
        <v>22</v>
      </c>
    </row>
    <row r="382" spans="4:22" x14ac:dyDescent="0.45">
      <c r="D382" t="s">
        <v>674</v>
      </c>
      <c r="E382" t="s">
        <v>1942</v>
      </c>
      <c r="F382" t="s">
        <v>290</v>
      </c>
      <c r="G382" t="s">
        <v>1917</v>
      </c>
      <c r="H382" t="s">
        <v>19</v>
      </c>
      <c r="I382" t="s">
        <v>151</v>
      </c>
      <c r="K382" t="s">
        <v>143</v>
      </c>
      <c r="N382" t="s">
        <v>26</v>
      </c>
      <c r="Q382" t="s">
        <v>61</v>
      </c>
      <c r="V382" t="s">
        <v>22</v>
      </c>
    </row>
    <row r="383" spans="4:22" x14ac:dyDescent="0.45">
      <c r="D383" t="s">
        <v>675</v>
      </c>
      <c r="E383" t="s">
        <v>1673</v>
      </c>
      <c r="F383" t="s">
        <v>290</v>
      </c>
      <c r="G383" t="s">
        <v>1943</v>
      </c>
      <c r="H383" t="s">
        <v>19</v>
      </c>
      <c r="I383" t="s">
        <v>149</v>
      </c>
      <c r="K383" t="s">
        <v>143</v>
      </c>
      <c r="N383" t="s">
        <v>26</v>
      </c>
      <c r="Q383" t="s">
        <v>61</v>
      </c>
      <c r="V383" t="s">
        <v>40</v>
      </c>
    </row>
    <row r="384" spans="4:22" x14ac:dyDescent="0.45">
      <c r="D384" t="s">
        <v>676</v>
      </c>
      <c r="E384" t="s">
        <v>1944</v>
      </c>
      <c r="F384" t="s">
        <v>290</v>
      </c>
      <c r="G384" t="s">
        <v>1920</v>
      </c>
      <c r="H384" t="s">
        <v>19</v>
      </c>
      <c r="I384" t="s">
        <v>130</v>
      </c>
      <c r="K384" t="s">
        <v>131</v>
      </c>
      <c r="N384" t="s">
        <v>26</v>
      </c>
      <c r="Q384" t="s">
        <v>61</v>
      </c>
      <c r="V384" t="s">
        <v>40</v>
      </c>
    </row>
    <row r="385" spans="4:22" x14ac:dyDescent="0.45">
      <c r="D385" t="s">
        <v>677</v>
      </c>
      <c r="E385" t="s">
        <v>1945</v>
      </c>
      <c r="F385" t="s">
        <v>290</v>
      </c>
      <c r="G385" t="s">
        <v>1922</v>
      </c>
      <c r="H385" t="s">
        <v>19</v>
      </c>
      <c r="I385" t="s">
        <v>152</v>
      </c>
      <c r="K385" t="s">
        <v>143</v>
      </c>
      <c r="N385" t="s">
        <v>26</v>
      </c>
      <c r="Q385" t="s">
        <v>61</v>
      </c>
      <c r="V385" t="s">
        <v>22</v>
      </c>
    </row>
    <row r="386" spans="4:22" x14ac:dyDescent="0.45">
      <c r="D386" t="s">
        <v>678</v>
      </c>
      <c r="E386" t="s">
        <v>1946</v>
      </c>
      <c r="F386" t="s">
        <v>290</v>
      </c>
      <c r="G386" t="s">
        <v>1924</v>
      </c>
      <c r="H386" t="s">
        <v>19</v>
      </c>
      <c r="I386" t="s">
        <v>133</v>
      </c>
      <c r="K386" t="s">
        <v>131</v>
      </c>
      <c r="N386" t="s">
        <v>26</v>
      </c>
      <c r="Q386" t="s">
        <v>61</v>
      </c>
      <c r="V386" t="s">
        <v>22</v>
      </c>
    </row>
    <row r="387" spans="4:22" x14ac:dyDescent="0.45">
      <c r="D387" t="s">
        <v>679</v>
      </c>
      <c r="E387" t="s">
        <v>1947</v>
      </c>
      <c r="F387" t="s">
        <v>290</v>
      </c>
      <c r="G387" t="s">
        <v>1948</v>
      </c>
      <c r="H387" t="s">
        <v>19</v>
      </c>
      <c r="I387" t="s">
        <v>120</v>
      </c>
      <c r="K387" t="s">
        <v>100</v>
      </c>
      <c r="N387" t="s">
        <v>29</v>
      </c>
      <c r="Q387" t="s">
        <v>101</v>
      </c>
      <c r="V387" t="s">
        <v>22</v>
      </c>
    </row>
    <row r="388" spans="4:22" x14ac:dyDescent="0.45">
      <c r="D388" t="s">
        <v>680</v>
      </c>
      <c r="E388" t="s">
        <v>1949</v>
      </c>
      <c r="F388" t="s">
        <v>290</v>
      </c>
      <c r="G388" t="s">
        <v>1950</v>
      </c>
      <c r="H388" t="s">
        <v>19</v>
      </c>
      <c r="I388" t="s">
        <v>111</v>
      </c>
      <c r="K388" t="s">
        <v>100</v>
      </c>
      <c r="N388" t="s">
        <v>29</v>
      </c>
      <c r="Q388" t="s">
        <v>101</v>
      </c>
      <c r="V388" t="s">
        <v>22</v>
      </c>
    </row>
    <row r="389" spans="4:22" x14ac:dyDescent="0.45">
      <c r="D389" t="s">
        <v>681</v>
      </c>
      <c r="E389" t="s">
        <v>1951</v>
      </c>
      <c r="F389" t="s">
        <v>290</v>
      </c>
      <c r="G389" t="s">
        <v>1952</v>
      </c>
      <c r="H389" t="s">
        <v>19</v>
      </c>
      <c r="I389" t="s">
        <v>122</v>
      </c>
      <c r="K389" t="s">
        <v>100</v>
      </c>
      <c r="N389" t="s">
        <v>29</v>
      </c>
      <c r="Q389" t="s">
        <v>101</v>
      </c>
      <c r="V389" t="s">
        <v>22</v>
      </c>
    </row>
    <row r="390" spans="4:22" x14ac:dyDescent="0.45">
      <c r="D390" t="s">
        <v>682</v>
      </c>
      <c r="E390" t="s">
        <v>1953</v>
      </c>
      <c r="F390" t="s">
        <v>290</v>
      </c>
      <c r="G390" t="s">
        <v>1954</v>
      </c>
      <c r="H390" t="s">
        <v>19</v>
      </c>
      <c r="I390" t="s">
        <v>126</v>
      </c>
      <c r="K390" t="s">
        <v>100</v>
      </c>
      <c r="N390" t="s">
        <v>29</v>
      </c>
      <c r="Q390" t="s">
        <v>101</v>
      </c>
      <c r="V390" t="s">
        <v>22</v>
      </c>
    </row>
    <row r="391" spans="4:22" x14ac:dyDescent="0.45">
      <c r="D391" t="s">
        <v>683</v>
      </c>
      <c r="E391" t="s">
        <v>1955</v>
      </c>
      <c r="F391" t="s">
        <v>290</v>
      </c>
      <c r="G391" t="s">
        <v>1956</v>
      </c>
      <c r="H391" t="s">
        <v>19</v>
      </c>
      <c r="I391" t="s">
        <v>127</v>
      </c>
      <c r="K391" t="s">
        <v>100</v>
      </c>
      <c r="N391" t="s">
        <v>29</v>
      </c>
      <c r="Q391" t="s">
        <v>101</v>
      </c>
      <c r="V391" t="s">
        <v>22</v>
      </c>
    </row>
    <row r="392" spans="4:22" x14ac:dyDescent="0.45">
      <c r="D392" t="s">
        <v>684</v>
      </c>
      <c r="E392" t="s">
        <v>1957</v>
      </c>
      <c r="F392" t="s">
        <v>290</v>
      </c>
      <c r="G392" t="s">
        <v>1958</v>
      </c>
      <c r="H392" t="s">
        <v>19</v>
      </c>
      <c r="I392" t="s">
        <v>153</v>
      </c>
      <c r="K392" t="s">
        <v>100</v>
      </c>
      <c r="N392" t="s">
        <v>29</v>
      </c>
      <c r="Q392" t="s">
        <v>101</v>
      </c>
      <c r="V392" t="s">
        <v>22</v>
      </c>
    </row>
    <row r="393" spans="4:22" x14ac:dyDescent="0.45">
      <c r="D393" t="s">
        <v>685</v>
      </c>
      <c r="E393" t="s">
        <v>1959</v>
      </c>
      <c r="F393" t="s">
        <v>290</v>
      </c>
      <c r="G393" t="s">
        <v>1960</v>
      </c>
      <c r="H393" t="s">
        <v>19</v>
      </c>
      <c r="I393" t="s">
        <v>154</v>
      </c>
      <c r="K393" t="s">
        <v>100</v>
      </c>
      <c r="N393" t="s">
        <v>29</v>
      </c>
      <c r="Q393" t="s">
        <v>101</v>
      </c>
      <c r="V393" t="s">
        <v>22</v>
      </c>
    </row>
    <row r="394" spans="4:22" x14ac:dyDescent="0.45">
      <c r="D394" t="s">
        <v>686</v>
      </c>
      <c r="E394" t="s">
        <v>1663</v>
      </c>
      <c r="F394" t="s">
        <v>290</v>
      </c>
      <c r="G394" t="s">
        <v>1961</v>
      </c>
      <c r="H394" t="s">
        <v>19</v>
      </c>
      <c r="I394" t="s">
        <v>146</v>
      </c>
      <c r="K394" t="s">
        <v>100</v>
      </c>
      <c r="N394" t="s">
        <v>29</v>
      </c>
      <c r="Q394" t="s">
        <v>101</v>
      </c>
      <c r="V394" t="s">
        <v>40</v>
      </c>
    </row>
    <row r="395" spans="4:22" x14ac:dyDescent="0.45">
      <c r="D395" t="s">
        <v>687</v>
      </c>
      <c r="E395" t="s">
        <v>1962</v>
      </c>
      <c r="F395" t="s">
        <v>290</v>
      </c>
      <c r="G395" t="s">
        <v>1963</v>
      </c>
      <c r="H395" t="s">
        <v>19</v>
      </c>
      <c r="I395" t="s">
        <v>130</v>
      </c>
      <c r="K395" t="s">
        <v>131</v>
      </c>
      <c r="N395" t="s">
        <v>29</v>
      </c>
      <c r="Q395" t="s">
        <v>101</v>
      </c>
      <c r="V395" t="s">
        <v>40</v>
      </c>
    </row>
    <row r="396" spans="4:22" x14ac:dyDescent="0.45">
      <c r="D396" t="s">
        <v>688</v>
      </c>
      <c r="E396" t="s">
        <v>1964</v>
      </c>
      <c r="F396" t="s">
        <v>290</v>
      </c>
      <c r="G396" t="s">
        <v>1965</v>
      </c>
      <c r="H396" t="s">
        <v>19</v>
      </c>
      <c r="I396" t="s">
        <v>155</v>
      </c>
      <c r="K396" t="s">
        <v>100</v>
      </c>
      <c r="N396" t="s">
        <v>29</v>
      </c>
      <c r="Q396" t="s">
        <v>101</v>
      </c>
      <c r="V396" t="s">
        <v>22</v>
      </c>
    </row>
    <row r="397" spans="4:22" x14ac:dyDescent="0.45">
      <c r="D397" t="s">
        <v>689</v>
      </c>
      <c r="E397" t="s">
        <v>1966</v>
      </c>
      <c r="F397" t="s">
        <v>290</v>
      </c>
      <c r="G397" t="s">
        <v>1967</v>
      </c>
      <c r="H397" t="s">
        <v>19</v>
      </c>
      <c r="I397" t="s">
        <v>133</v>
      </c>
      <c r="K397" t="s">
        <v>131</v>
      </c>
      <c r="N397" t="s">
        <v>29</v>
      </c>
      <c r="Q397" t="s">
        <v>101</v>
      </c>
      <c r="V397" t="s">
        <v>22</v>
      </c>
    </row>
    <row r="398" spans="4:22" x14ac:dyDescent="0.45">
      <c r="D398" t="s">
        <v>690</v>
      </c>
      <c r="E398" t="s">
        <v>1968</v>
      </c>
      <c r="F398" t="s">
        <v>290</v>
      </c>
      <c r="G398" t="s">
        <v>1948</v>
      </c>
      <c r="H398" t="s">
        <v>19</v>
      </c>
      <c r="I398" t="s">
        <v>120</v>
      </c>
      <c r="K398" t="s">
        <v>100</v>
      </c>
      <c r="N398" t="s">
        <v>28</v>
      </c>
      <c r="Q398" t="s">
        <v>101</v>
      </c>
      <c r="V398" t="s">
        <v>22</v>
      </c>
    </row>
    <row r="399" spans="4:22" x14ac:dyDescent="0.45">
      <c r="D399" t="s">
        <v>691</v>
      </c>
      <c r="E399" t="s">
        <v>1644</v>
      </c>
      <c r="F399" t="s">
        <v>290</v>
      </c>
      <c r="G399" t="s">
        <v>1950</v>
      </c>
      <c r="H399" t="s">
        <v>19</v>
      </c>
      <c r="I399" t="s">
        <v>111</v>
      </c>
      <c r="K399" t="s">
        <v>100</v>
      </c>
      <c r="N399" t="s">
        <v>28</v>
      </c>
      <c r="Q399" t="s">
        <v>101</v>
      </c>
      <c r="V399" t="s">
        <v>22</v>
      </c>
    </row>
    <row r="400" spans="4:22" x14ac:dyDescent="0.45">
      <c r="D400" t="s">
        <v>692</v>
      </c>
      <c r="E400" t="s">
        <v>1969</v>
      </c>
      <c r="F400" t="s">
        <v>290</v>
      </c>
      <c r="G400" t="s">
        <v>1952</v>
      </c>
      <c r="H400" t="s">
        <v>19</v>
      </c>
      <c r="I400" t="s">
        <v>122</v>
      </c>
      <c r="K400" t="s">
        <v>100</v>
      </c>
      <c r="N400" t="s">
        <v>28</v>
      </c>
      <c r="Q400" t="s">
        <v>101</v>
      </c>
      <c r="V400" t="s">
        <v>22</v>
      </c>
    </row>
    <row r="401" spans="4:22" x14ac:dyDescent="0.45">
      <c r="D401" t="s">
        <v>693</v>
      </c>
      <c r="E401" t="s">
        <v>1970</v>
      </c>
      <c r="F401" t="s">
        <v>290</v>
      </c>
      <c r="G401" t="s">
        <v>1954</v>
      </c>
      <c r="H401" t="s">
        <v>19</v>
      </c>
      <c r="I401" t="s">
        <v>126</v>
      </c>
      <c r="K401" t="s">
        <v>100</v>
      </c>
      <c r="N401" t="s">
        <v>28</v>
      </c>
      <c r="Q401" t="s">
        <v>101</v>
      </c>
      <c r="V401" t="s">
        <v>22</v>
      </c>
    </row>
    <row r="402" spans="4:22" x14ac:dyDescent="0.45">
      <c r="D402" t="s">
        <v>694</v>
      </c>
      <c r="E402" t="s">
        <v>1971</v>
      </c>
      <c r="F402" t="s">
        <v>290</v>
      </c>
      <c r="G402" t="s">
        <v>1956</v>
      </c>
      <c r="H402" t="s">
        <v>19</v>
      </c>
      <c r="I402" t="s">
        <v>127</v>
      </c>
      <c r="K402" t="s">
        <v>100</v>
      </c>
      <c r="N402" t="s">
        <v>28</v>
      </c>
      <c r="Q402" t="s">
        <v>101</v>
      </c>
      <c r="V402" t="s">
        <v>22</v>
      </c>
    </row>
    <row r="403" spans="4:22" x14ac:dyDescent="0.45">
      <c r="D403" t="s">
        <v>695</v>
      </c>
      <c r="E403" t="s">
        <v>1972</v>
      </c>
      <c r="F403" t="s">
        <v>290</v>
      </c>
      <c r="G403" t="s">
        <v>1958</v>
      </c>
      <c r="H403" t="s">
        <v>19</v>
      </c>
      <c r="I403" t="s">
        <v>153</v>
      </c>
      <c r="K403" t="s">
        <v>100</v>
      </c>
      <c r="N403" t="s">
        <v>28</v>
      </c>
      <c r="Q403" t="s">
        <v>101</v>
      </c>
      <c r="V403" t="s">
        <v>22</v>
      </c>
    </row>
    <row r="404" spans="4:22" x14ac:dyDescent="0.45">
      <c r="D404" t="s">
        <v>696</v>
      </c>
      <c r="E404" t="s">
        <v>1973</v>
      </c>
      <c r="F404" t="s">
        <v>290</v>
      </c>
      <c r="G404" t="s">
        <v>1960</v>
      </c>
      <c r="H404" t="s">
        <v>19</v>
      </c>
      <c r="I404" t="s">
        <v>154</v>
      </c>
      <c r="K404" t="s">
        <v>100</v>
      </c>
      <c r="N404" t="s">
        <v>28</v>
      </c>
      <c r="Q404" t="s">
        <v>101</v>
      </c>
      <c r="V404" t="s">
        <v>22</v>
      </c>
    </row>
    <row r="405" spans="4:22" x14ac:dyDescent="0.45">
      <c r="D405" t="s">
        <v>697</v>
      </c>
      <c r="E405" t="s">
        <v>1665</v>
      </c>
      <c r="F405" t="s">
        <v>290</v>
      </c>
      <c r="G405" t="s">
        <v>1974</v>
      </c>
      <c r="H405" t="s">
        <v>19</v>
      </c>
      <c r="I405" t="s">
        <v>148</v>
      </c>
      <c r="K405" t="s">
        <v>100</v>
      </c>
      <c r="N405" t="s">
        <v>28</v>
      </c>
      <c r="Q405" t="s">
        <v>101</v>
      </c>
      <c r="V405" t="s">
        <v>40</v>
      </c>
    </row>
    <row r="406" spans="4:22" x14ac:dyDescent="0.45">
      <c r="D406" t="s">
        <v>698</v>
      </c>
      <c r="E406" t="s">
        <v>1975</v>
      </c>
      <c r="F406" t="s">
        <v>290</v>
      </c>
      <c r="G406" t="s">
        <v>1963</v>
      </c>
      <c r="H406" t="s">
        <v>19</v>
      </c>
      <c r="I406" t="s">
        <v>130</v>
      </c>
      <c r="K406" t="s">
        <v>131</v>
      </c>
      <c r="N406" t="s">
        <v>28</v>
      </c>
      <c r="Q406" t="s">
        <v>101</v>
      </c>
      <c r="V406" t="s">
        <v>40</v>
      </c>
    </row>
    <row r="407" spans="4:22" x14ac:dyDescent="0.45">
      <c r="D407" t="s">
        <v>699</v>
      </c>
      <c r="E407" t="s">
        <v>1976</v>
      </c>
      <c r="F407" t="s">
        <v>290</v>
      </c>
      <c r="G407" t="s">
        <v>1965</v>
      </c>
      <c r="H407" t="s">
        <v>19</v>
      </c>
      <c r="I407" t="s">
        <v>155</v>
      </c>
      <c r="K407" t="s">
        <v>100</v>
      </c>
      <c r="N407" t="s">
        <v>28</v>
      </c>
      <c r="Q407" t="s">
        <v>101</v>
      </c>
      <c r="V407" t="s">
        <v>22</v>
      </c>
    </row>
    <row r="408" spans="4:22" x14ac:dyDescent="0.45">
      <c r="D408" t="s">
        <v>700</v>
      </c>
      <c r="E408" t="s">
        <v>1977</v>
      </c>
      <c r="F408" t="s">
        <v>290</v>
      </c>
      <c r="G408" t="s">
        <v>1967</v>
      </c>
      <c r="H408" t="s">
        <v>19</v>
      </c>
      <c r="I408" t="s">
        <v>133</v>
      </c>
      <c r="K408" t="s">
        <v>131</v>
      </c>
      <c r="N408" t="s">
        <v>28</v>
      </c>
      <c r="Q408" t="s">
        <v>101</v>
      </c>
      <c r="V408" t="s">
        <v>22</v>
      </c>
    </row>
    <row r="409" spans="4:22" x14ac:dyDescent="0.45">
      <c r="D409" t="s">
        <v>701</v>
      </c>
      <c r="E409" t="s">
        <v>1978</v>
      </c>
      <c r="F409" t="s">
        <v>290</v>
      </c>
      <c r="G409" t="s">
        <v>1979</v>
      </c>
      <c r="H409" t="s">
        <v>19</v>
      </c>
      <c r="I409" t="s">
        <v>133</v>
      </c>
      <c r="K409" t="s">
        <v>131</v>
      </c>
      <c r="N409" t="s">
        <v>46</v>
      </c>
      <c r="Q409" t="s">
        <v>46</v>
      </c>
      <c r="V409" t="s">
        <v>40</v>
      </c>
    </row>
    <row r="410" spans="4:22" x14ac:dyDescent="0.45">
      <c r="D410" t="s">
        <v>702</v>
      </c>
      <c r="E410" t="s">
        <v>1980</v>
      </c>
      <c r="F410" t="s">
        <v>290</v>
      </c>
      <c r="G410" t="s">
        <v>1981</v>
      </c>
      <c r="H410" t="s">
        <v>19</v>
      </c>
      <c r="I410" t="s">
        <v>133</v>
      </c>
      <c r="K410" t="s">
        <v>131</v>
      </c>
      <c r="N410" t="s">
        <v>46</v>
      </c>
      <c r="Q410" t="s">
        <v>46</v>
      </c>
      <c r="V410" t="s">
        <v>22</v>
      </c>
    </row>
    <row r="411" spans="4:22" x14ac:dyDescent="0.45">
      <c r="D411" t="s">
        <v>1982</v>
      </c>
      <c r="E411" t="s">
        <v>1983</v>
      </c>
      <c r="F411" t="s">
        <v>290</v>
      </c>
      <c r="G411" t="s">
        <v>1984</v>
      </c>
      <c r="H411" t="s">
        <v>19</v>
      </c>
      <c r="I411" t="s">
        <v>156</v>
      </c>
      <c r="K411" t="s">
        <v>131</v>
      </c>
      <c r="N411" t="s">
        <v>46</v>
      </c>
      <c r="Q411" t="s">
        <v>63</v>
      </c>
      <c r="V411" t="s">
        <v>22</v>
      </c>
    </row>
    <row r="412" spans="4:22" x14ac:dyDescent="0.45">
      <c r="D412" t="s">
        <v>1985</v>
      </c>
      <c r="E412" t="s">
        <v>1986</v>
      </c>
      <c r="F412" t="s">
        <v>290</v>
      </c>
      <c r="G412" t="s">
        <v>1987</v>
      </c>
      <c r="H412" t="s">
        <v>19</v>
      </c>
      <c r="I412" t="s">
        <v>156</v>
      </c>
      <c r="K412" t="s">
        <v>131</v>
      </c>
      <c r="N412" t="s">
        <v>46</v>
      </c>
      <c r="Q412" t="s">
        <v>64</v>
      </c>
      <c r="V412" t="s">
        <v>22</v>
      </c>
    </row>
    <row r="413" spans="4:22" x14ac:dyDescent="0.45">
      <c r="D413" t="s">
        <v>1988</v>
      </c>
      <c r="E413" t="s">
        <v>1989</v>
      </c>
      <c r="F413" t="s">
        <v>290</v>
      </c>
      <c r="G413" t="s">
        <v>1990</v>
      </c>
      <c r="H413" t="s">
        <v>19</v>
      </c>
      <c r="I413" t="s">
        <v>156</v>
      </c>
      <c r="K413" t="s">
        <v>131</v>
      </c>
      <c r="N413" t="s">
        <v>46</v>
      </c>
      <c r="Q413" t="s">
        <v>65</v>
      </c>
      <c r="V413" t="s">
        <v>22</v>
      </c>
    </row>
    <row r="414" spans="4:22" x14ac:dyDescent="0.45">
      <c r="D414" t="s">
        <v>1991</v>
      </c>
      <c r="E414" t="s">
        <v>1992</v>
      </c>
      <c r="F414" t="s">
        <v>290</v>
      </c>
      <c r="G414" t="s">
        <v>1993</v>
      </c>
      <c r="H414" t="s">
        <v>19</v>
      </c>
      <c r="I414" t="s">
        <v>156</v>
      </c>
      <c r="K414" t="s">
        <v>131</v>
      </c>
      <c r="N414" t="s">
        <v>46</v>
      </c>
      <c r="Q414" t="s">
        <v>66</v>
      </c>
      <c r="V414" t="s">
        <v>22</v>
      </c>
    </row>
    <row r="415" spans="4:22" x14ac:dyDescent="0.45">
      <c r="D415" t="s">
        <v>1994</v>
      </c>
      <c r="E415" t="s">
        <v>1995</v>
      </c>
      <c r="F415" t="s">
        <v>290</v>
      </c>
      <c r="G415" t="s">
        <v>1996</v>
      </c>
      <c r="H415" t="s">
        <v>19</v>
      </c>
      <c r="I415" t="s">
        <v>156</v>
      </c>
      <c r="K415" t="s">
        <v>131</v>
      </c>
      <c r="N415" t="s">
        <v>29</v>
      </c>
      <c r="Q415" t="s">
        <v>60</v>
      </c>
      <c r="V415" t="s">
        <v>22</v>
      </c>
    </row>
    <row r="416" spans="4:22" x14ac:dyDescent="0.45">
      <c r="D416" t="s">
        <v>1997</v>
      </c>
      <c r="E416" t="s">
        <v>1998</v>
      </c>
      <c r="F416" t="s">
        <v>290</v>
      </c>
      <c r="G416" t="s">
        <v>1996</v>
      </c>
      <c r="H416" t="s">
        <v>19</v>
      </c>
      <c r="I416" t="s">
        <v>156</v>
      </c>
      <c r="K416" t="s">
        <v>131</v>
      </c>
      <c r="N416" t="s">
        <v>28</v>
      </c>
      <c r="Q416" t="s">
        <v>60</v>
      </c>
      <c r="V416" t="s">
        <v>22</v>
      </c>
    </row>
    <row r="417" spans="4:22" x14ac:dyDescent="0.45">
      <c r="D417" t="s">
        <v>1999</v>
      </c>
      <c r="E417" t="s">
        <v>2000</v>
      </c>
      <c r="F417" t="s">
        <v>290</v>
      </c>
      <c r="G417" t="s">
        <v>1996</v>
      </c>
      <c r="H417" t="s">
        <v>19</v>
      </c>
      <c r="I417" t="s">
        <v>156</v>
      </c>
      <c r="K417" t="s">
        <v>131</v>
      </c>
      <c r="N417" t="s">
        <v>26</v>
      </c>
      <c r="Q417" t="s">
        <v>60</v>
      </c>
      <c r="V417" t="s">
        <v>22</v>
      </c>
    </row>
    <row r="418" spans="4:22" x14ac:dyDescent="0.45">
      <c r="D418" t="s">
        <v>2001</v>
      </c>
      <c r="E418" t="s">
        <v>2002</v>
      </c>
      <c r="F418" t="s">
        <v>290</v>
      </c>
      <c r="G418" t="s">
        <v>2003</v>
      </c>
      <c r="H418" t="s">
        <v>19</v>
      </c>
      <c r="I418" t="s">
        <v>156</v>
      </c>
      <c r="K418" t="s">
        <v>131</v>
      </c>
      <c r="N418" t="s">
        <v>29</v>
      </c>
      <c r="Q418" t="s">
        <v>61</v>
      </c>
      <c r="V418" t="s">
        <v>22</v>
      </c>
    </row>
    <row r="419" spans="4:22" x14ac:dyDescent="0.45">
      <c r="D419" t="s">
        <v>2004</v>
      </c>
      <c r="E419" t="s">
        <v>2005</v>
      </c>
      <c r="F419" t="s">
        <v>290</v>
      </c>
      <c r="G419" t="s">
        <v>2003</v>
      </c>
      <c r="H419" t="s">
        <v>19</v>
      </c>
      <c r="I419" t="s">
        <v>156</v>
      </c>
      <c r="K419" t="s">
        <v>131</v>
      </c>
      <c r="N419" t="s">
        <v>28</v>
      </c>
      <c r="Q419" t="s">
        <v>61</v>
      </c>
      <c r="V419" t="s">
        <v>22</v>
      </c>
    </row>
    <row r="420" spans="4:22" x14ac:dyDescent="0.45">
      <c r="D420" t="s">
        <v>2006</v>
      </c>
      <c r="E420" t="s">
        <v>2007</v>
      </c>
      <c r="F420" t="s">
        <v>290</v>
      </c>
      <c r="G420" t="s">
        <v>2003</v>
      </c>
      <c r="H420" t="s">
        <v>19</v>
      </c>
      <c r="I420" t="s">
        <v>156</v>
      </c>
      <c r="K420" t="s">
        <v>131</v>
      </c>
      <c r="N420" t="s">
        <v>26</v>
      </c>
      <c r="Q420" t="s">
        <v>61</v>
      </c>
      <c r="V420" t="s">
        <v>22</v>
      </c>
    </row>
    <row r="421" spans="4:22" x14ac:dyDescent="0.45">
      <c r="D421" t="s">
        <v>703</v>
      </c>
      <c r="E421" t="s">
        <v>2008</v>
      </c>
      <c r="F421" t="s">
        <v>290</v>
      </c>
      <c r="G421" t="s">
        <v>2009</v>
      </c>
      <c r="H421" t="s">
        <v>19</v>
      </c>
      <c r="I421" t="s">
        <v>156</v>
      </c>
      <c r="K421" t="s">
        <v>131</v>
      </c>
      <c r="N421" t="s">
        <v>46</v>
      </c>
      <c r="Q421" t="s">
        <v>46</v>
      </c>
      <c r="V421" t="s">
        <v>40</v>
      </c>
    </row>
    <row r="422" spans="4:22" x14ac:dyDescent="0.45">
      <c r="D422" t="s">
        <v>703</v>
      </c>
      <c r="E422" t="s">
        <v>2010</v>
      </c>
      <c r="F422" t="s">
        <v>290</v>
      </c>
      <c r="G422" t="s">
        <v>2011</v>
      </c>
      <c r="H422" t="s">
        <v>19</v>
      </c>
      <c r="I422" t="s">
        <v>156</v>
      </c>
      <c r="K422" t="s">
        <v>131</v>
      </c>
      <c r="N422" t="s">
        <v>46</v>
      </c>
      <c r="Q422" t="s">
        <v>46</v>
      </c>
      <c r="V422" t="s">
        <v>22</v>
      </c>
    </row>
    <row r="423" spans="4:22" x14ac:dyDescent="0.45">
      <c r="D423" t="s">
        <v>704</v>
      </c>
      <c r="E423" t="s">
        <v>2012</v>
      </c>
      <c r="F423" t="s">
        <v>290</v>
      </c>
      <c r="G423" t="s">
        <v>2013</v>
      </c>
      <c r="H423" t="s">
        <v>19</v>
      </c>
      <c r="I423" t="s">
        <v>157</v>
      </c>
      <c r="K423" t="s">
        <v>131</v>
      </c>
      <c r="N423" t="s">
        <v>46</v>
      </c>
      <c r="Q423" t="s">
        <v>46</v>
      </c>
      <c r="V423" t="s">
        <v>40</v>
      </c>
    </row>
    <row r="424" spans="4:22" x14ac:dyDescent="0.45">
      <c r="G424" t="s">
        <v>18</v>
      </c>
      <c r="H424" t="s">
        <v>18</v>
      </c>
      <c r="J424" t="s">
        <v>18</v>
      </c>
      <c r="P424" t="s">
        <v>18</v>
      </c>
      <c r="U424" t="s">
        <v>18</v>
      </c>
    </row>
    <row r="425" spans="4:22" x14ac:dyDescent="0.45">
      <c r="D425" t="s">
        <v>705</v>
      </c>
      <c r="E425" t="s">
        <v>2014</v>
      </c>
      <c r="F425" t="s">
        <v>290</v>
      </c>
      <c r="G425" t="s">
        <v>2015</v>
      </c>
      <c r="H425" t="s">
        <v>19</v>
      </c>
      <c r="I425" t="s">
        <v>158</v>
      </c>
      <c r="J425" t="s">
        <v>46</v>
      </c>
      <c r="K425" t="s">
        <v>159</v>
      </c>
      <c r="P425" t="s">
        <v>18</v>
      </c>
      <c r="Q425" t="s">
        <v>46</v>
      </c>
      <c r="U425" t="s">
        <v>18</v>
      </c>
      <c r="V425">
        <v>1</v>
      </c>
    </row>
    <row r="426" spans="4:22" x14ac:dyDescent="0.45">
      <c r="D426" t="s">
        <v>706</v>
      </c>
      <c r="E426" t="s">
        <v>2016</v>
      </c>
      <c r="F426" t="s">
        <v>290</v>
      </c>
      <c r="G426" t="s">
        <v>2017</v>
      </c>
      <c r="H426" t="s">
        <v>19</v>
      </c>
      <c r="I426" t="s">
        <v>158</v>
      </c>
      <c r="J426" t="s">
        <v>59</v>
      </c>
      <c r="K426" t="s">
        <v>159</v>
      </c>
      <c r="P426" t="s">
        <v>18</v>
      </c>
      <c r="Q426" t="s">
        <v>60</v>
      </c>
      <c r="U426" t="s">
        <v>18</v>
      </c>
      <c r="V426">
        <v>1</v>
      </c>
    </row>
    <row r="427" spans="4:22" x14ac:dyDescent="0.45">
      <c r="D427" t="s">
        <v>707</v>
      </c>
      <c r="E427" t="s">
        <v>2018</v>
      </c>
      <c r="F427" t="s">
        <v>290</v>
      </c>
      <c r="G427" t="s">
        <v>2019</v>
      </c>
      <c r="H427" t="s">
        <v>19</v>
      </c>
      <c r="I427" t="s">
        <v>158</v>
      </c>
      <c r="J427" t="s">
        <v>59</v>
      </c>
      <c r="K427" t="s">
        <v>159</v>
      </c>
      <c r="P427" t="s">
        <v>18</v>
      </c>
      <c r="Q427" t="s">
        <v>61</v>
      </c>
      <c r="U427" t="s">
        <v>18</v>
      </c>
      <c r="V427">
        <v>1</v>
      </c>
    </row>
    <row r="428" spans="4:22" x14ac:dyDescent="0.45">
      <c r="D428" t="s">
        <v>708</v>
      </c>
      <c r="E428" t="s">
        <v>2020</v>
      </c>
      <c r="F428" t="s">
        <v>290</v>
      </c>
      <c r="G428" t="s">
        <v>2021</v>
      </c>
      <c r="H428" t="s">
        <v>19</v>
      </c>
      <c r="I428" t="s">
        <v>158</v>
      </c>
      <c r="J428" t="s">
        <v>59</v>
      </c>
      <c r="K428" t="s">
        <v>159</v>
      </c>
      <c r="P428" t="s">
        <v>18</v>
      </c>
      <c r="Q428" t="s">
        <v>113</v>
      </c>
      <c r="U428" t="s">
        <v>18</v>
      </c>
      <c r="V428">
        <v>1</v>
      </c>
    </row>
    <row r="429" spans="4:22" x14ac:dyDescent="0.45">
      <c r="D429" t="s">
        <v>709</v>
      </c>
      <c r="E429" t="s">
        <v>2022</v>
      </c>
      <c r="F429" t="s">
        <v>290</v>
      </c>
      <c r="G429" t="s">
        <v>2023</v>
      </c>
      <c r="H429" t="s">
        <v>19</v>
      </c>
      <c r="I429" t="s">
        <v>158</v>
      </c>
      <c r="J429" t="s">
        <v>59</v>
      </c>
      <c r="K429" t="s">
        <v>159</v>
      </c>
      <c r="P429" t="s">
        <v>18</v>
      </c>
      <c r="Q429" t="s">
        <v>63</v>
      </c>
      <c r="U429" t="s">
        <v>18</v>
      </c>
      <c r="V429">
        <v>1</v>
      </c>
    </row>
    <row r="430" spans="4:22" x14ac:dyDescent="0.45">
      <c r="D430" t="s">
        <v>710</v>
      </c>
      <c r="E430" t="s">
        <v>2024</v>
      </c>
      <c r="F430" t="s">
        <v>290</v>
      </c>
      <c r="G430" t="s">
        <v>2025</v>
      </c>
      <c r="H430" t="s">
        <v>19</v>
      </c>
      <c r="I430" t="s">
        <v>158</v>
      </c>
      <c r="J430" t="s">
        <v>59</v>
      </c>
      <c r="K430" t="s">
        <v>159</v>
      </c>
      <c r="P430" t="s">
        <v>18</v>
      </c>
      <c r="Q430" t="s">
        <v>64</v>
      </c>
      <c r="U430" t="s">
        <v>18</v>
      </c>
      <c r="V430">
        <v>1</v>
      </c>
    </row>
    <row r="431" spans="4:22" x14ac:dyDescent="0.45">
      <c r="D431" t="s">
        <v>711</v>
      </c>
      <c r="E431" t="s">
        <v>2026</v>
      </c>
      <c r="F431" t="s">
        <v>290</v>
      </c>
      <c r="G431" t="s">
        <v>2027</v>
      </c>
      <c r="H431" t="s">
        <v>19</v>
      </c>
      <c r="I431" t="s">
        <v>158</v>
      </c>
      <c r="J431" t="s">
        <v>59</v>
      </c>
      <c r="K431" t="s">
        <v>159</v>
      </c>
      <c r="P431" t="s">
        <v>18</v>
      </c>
      <c r="Q431" t="s">
        <v>65</v>
      </c>
      <c r="U431" t="s">
        <v>18</v>
      </c>
      <c r="V431">
        <v>1</v>
      </c>
    </row>
    <row r="432" spans="4:22" x14ac:dyDescent="0.45">
      <c r="D432" t="s">
        <v>712</v>
      </c>
      <c r="E432" t="s">
        <v>2028</v>
      </c>
      <c r="F432" t="s">
        <v>290</v>
      </c>
      <c r="G432" t="s">
        <v>2029</v>
      </c>
      <c r="H432" t="s">
        <v>19</v>
      </c>
      <c r="I432" t="s">
        <v>158</v>
      </c>
      <c r="J432" t="s">
        <v>59</v>
      </c>
      <c r="K432" t="s">
        <v>159</v>
      </c>
      <c r="P432" t="s">
        <v>18</v>
      </c>
      <c r="Q432" t="s">
        <v>66</v>
      </c>
      <c r="U432" t="s">
        <v>18</v>
      </c>
      <c r="V432">
        <v>1</v>
      </c>
    </row>
    <row r="433" spans="4:22" x14ac:dyDescent="0.45">
      <c r="D433" t="s">
        <v>713</v>
      </c>
      <c r="E433" t="s">
        <v>2030</v>
      </c>
      <c r="F433" t="s">
        <v>290</v>
      </c>
      <c r="G433" t="s">
        <v>2031</v>
      </c>
      <c r="H433" t="s">
        <v>19</v>
      </c>
      <c r="I433" t="s">
        <v>158</v>
      </c>
      <c r="J433" t="s">
        <v>59</v>
      </c>
      <c r="K433" t="s">
        <v>159</v>
      </c>
      <c r="P433" t="s">
        <v>18</v>
      </c>
      <c r="Q433" t="s">
        <v>160</v>
      </c>
      <c r="U433" t="s">
        <v>18</v>
      </c>
      <c r="V433">
        <v>1</v>
      </c>
    </row>
    <row r="434" spans="4:22" x14ac:dyDescent="0.45">
      <c r="D434" t="s">
        <v>714</v>
      </c>
      <c r="E434" t="s">
        <v>2032</v>
      </c>
      <c r="F434" t="s">
        <v>290</v>
      </c>
      <c r="G434" t="s">
        <v>2033</v>
      </c>
      <c r="H434" t="s">
        <v>19</v>
      </c>
      <c r="I434" t="s">
        <v>158</v>
      </c>
      <c r="J434" t="s">
        <v>59</v>
      </c>
      <c r="K434" t="s">
        <v>159</v>
      </c>
      <c r="P434" t="s">
        <v>18</v>
      </c>
      <c r="Q434" t="s">
        <v>161</v>
      </c>
      <c r="U434" t="s">
        <v>18</v>
      </c>
      <c r="V434">
        <v>1</v>
      </c>
    </row>
    <row r="435" spans="4:22" x14ac:dyDescent="0.45">
      <c r="D435" t="s">
        <v>715</v>
      </c>
      <c r="E435" t="s">
        <v>2034</v>
      </c>
      <c r="F435" t="s">
        <v>290</v>
      </c>
      <c r="G435" t="s">
        <v>2035</v>
      </c>
      <c r="H435" t="s">
        <v>19</v>
      </c>
      <c r="I435" t="s">
        <v>158</v>
      </c>
      <c r="J435" t="s">
        <v>59</v>
      </c>
      <c r="K435" t="s">
        <v>159</v>
      </c>
      <c r="P435" t="s">
        <v>18</v>
      </c>
      <c r="Q435" t="s">
        <v>162</v>
      </c>
      <c r="U435" t="s">
        <v>18</v>
      </c>
      <c r="V435">
        <v>1</v>
      </c>
    </row>
    <row r="436" spans="4:22" x14ac:dyDescent="0.45">
      <c r="D436" t="s">
        <v>716</v>
      </c>
      <c r="E436" t="s">
        <v>2036</v>
      </c>
      <c r="F436" t="s">
        <v>290</v>
      </c>
      <c r="G436" t="s">
        <v>2037</v>
      </c>
      <c r="H436" t="s">
        <v>19</v>
      </c>
      <c r="I436" t="s">
        <v>158</v>
      </c>
      <c r="J436" t="s">
        <v>46</v>
      </c>
      <c r="K436" t="s">
        <v>159</v>
      </c>
      <c r="P436" t="s">
        <v>18</v>
      </c>
      <c r="Q436" t="s">
        <v>37</v>
      </c>
      <c r="U436" t="s">
        <v>18</v>
      </c>
      <c r="V436">
        <v>2</v>
      </c>
    </row>
    <row r="437" spans="4:22" x14ac:dyDescent="0.45">
      <c r="D437" t="s">
        <v>717</v>
      </c>
      <c r="E437" t="s">
        <v>2038</v>
      </c>
      <c r="F437" t="s">
        <v>290</v>
      </c>
      <c r="G437" t="s">
        <v>2039</v>
      </c>
      <c r="H437" t="s">
        <v>19</v>
      </c>
      <c r="I437" t="s">
        <v>158</v>
      </c>
      <c r="J437" t="s">
        <v>59</v>
      </c>
      <c r="K437" t="s">
        <v>159</v>
      </c>
      <c r="P437" t="s">
        <v>18</v>
      </c>
      <c r="Q437" t="s">
        <v>60</v>
      </c>
      <c r="U437" t="s">
        <v>18</v>
      </c>
      <c r="V437">
        <v>2</v>
      </c>
    </row>
    <row r="438" spans="4:22" x14ac:dyDescent="0.45">
      <c r="D438" t="s">
        <v>718</v>
      </c>
      <c r="E438" t="s">
        <v>2040</v>
      </c>
      <c r="F438" t="s">
        <v>290</v>
      </c>
      <c r="G438" t="s">
        <v>2041</v>
      </c>
      <c r="H438" t="s">
        <v>19</v>
      </c>
      <c r="I438" t="s">
        <v>158</v>
      </c>
      <c r="J438" t="s">
        <v>59</v>
      </c>
      <c r="K438" t="s">
        <v>159</v>
      </c>
      <c r="P438" t="s">
        <v>18</v>
      </c>
      <c r="Q438" t="s">
        <v>61</v>
      </c>
      <c r="U438" t="s">
        <v>18</v>
      </c>
      <c r="V438">
        <v>2</v>
      </c>
    </row>
    <row r="439" spans="4:22" x14ac:dyDescent="0.45">
      <c r="D439" t="s">
        <v>719</v>
      </c>
      <c r="E439" t="s">
        <v>2042</v>
      </c>
      <c r="F439" t="s">
        <v>290</v>
      </c>
      <c r="G439" t="s">
        <v>2043</v>
      </c>
      <c r="H439" t="s">
        <v>19</v>
      </c>
      <c r="I439" t="s">
        <v>158</v>
      </c>
      <c r="J439" t="s">
        <v>59</v>
      </c>
      <c r="K439" t="s">
        <v>159</v>
      </c>
      <c r="P439" t="s">
        <v>18</v>
      </c>
      <c r="Q439" t="s">
        <v>113</v>
      </c>
      <c r="U439" t="s">
        <v>18</v>
      </c>
      <c r="V439">
        <v>2</v>
      </c>
    </row>
    <row r="440" spans="4:22" x14ac:dyDescent="0.45">
      <c r="D440" t="s">
        <v>720</v>
      </c>
      <c r="E440" t="s">
        <v>2044</v>
      </c>
      <c r="F440" t="s">
        <v>290</v>
      </c>
      <c r="G440" t="s">
        <v>2045</v>
      </c>
      <c r="H440" t="s">
        <v>19</v>
      </c>
      <c r="I440" t="s">
        <v>158</v>
      </c>
      <c r="J440" t="s">
        <v>59</v>
      </c>
      <c r="K440" t="s">
        <v>159</v>
      </c>
      <c r="P440" t="s">
        <v>18</v>
      </c>
      <c r="Q440" t="s">
        <v>63</v>
      </c>
      <c r="U440" t="s">
        <v>18</v>
      </c>
      <c r="V440">
        <v>2</v>
      </c>
    </row>
    <row r="441" spans="4:22" x14ac:dyDescent="0.45">
      <c r="D441" t="s">
        <v>721</v>
      </c>
      <c r="E441" t="s">
        <v>2046</v>
      </c>
      <c r="F441" t="s">
        <v>290</v>
      </c>
      <c r="G441" t="s">
        <v>2047</v>
      </c>
      <c r="H441" t="s">
        <v>19</v>
      </c>
      <c r="I441" t="s">
        <v>158</v>
      </c>
      <c r="J441" t="s">
        <v>59</v>
      </c>
      <c r="K441" t="s">
        <v>159</v>
      </c>
      <c r="P441" t="s">
        <v>18</v>
      </c>
      <c r="Q441" t="s">
        <v>64</v>
      </c>
      <c r="U441" t="s">
        <v>18</v>
      </c>
      <c r="V441">
        <v>2</v>
      </c>
    </row>
    <row r="442" spans="4:22" x14ac:dyDescent="0.45">
      <c r="D442" t="s">
        <v>722</v>
      </c>
      <c r="E442" t="s">
        <v>2048</v>
      </c>
      <c r="F442" t="s">
        <v>290</v>
      </c>
      <c r="G442" t="s">
        <v>2049</v>
      </c>
      <c r="H442" t="s">
        <v>19</v>
      </c>
      <c r="I442" t="s">
        <v>158</v>
      </c>
      <c r="J442" t="s">
        <v>59</v>
      </c>
      <c r="K442" t="s">
        <v>159</v>
      </c>
      <c r="P442" t="s">
        <v>18</v>
      </c>
      <c r="Q442" t="s">
        <v>65</v>
      </c>
      <c r="U442" t="s">
        <v>18</v>
      </c>
      <c r="V442">
        <v>2</v>
      </c>
    </row>
    <row r="443" spans="4:22" x14ac:dyDescent="0.45">
      <c r="D443" t="s">
        <v>723</v>
      </c>
      <c r="E443" t="s">
        <v>2050</v>
      </c>
      <c r="F443" t="s">
        <v>290</v>
      </c>
      <c r="G443" t="s">
        <v>2051</v>
      </c>
      <c r="H443" t="s">
        <v>19</v>
      </c>
      <c r="I443" t="s">
        <v>158</v>
      </c>
      <c r="J443" t="s">
        <v>59</v>
      </c>
      <c r="K443" t="s">
        <v>159</v>
      </c>
      <c r="P443" t="s">
        <v>18</v>
      </c>
      <c r="Q443" t="s">
        <v>66</v>
      </c>
      <c r="U443" t="s">
        <v>18</v>
      </c>
      <c r="V443">
        <v>2</v>
      </c>
    </row>
    <row r="444" spans="4:22" x14ac:dyDescent="0.45">
      <c r="D444" t="s">
        <v>724</v>
      </c>
      <c r="E444" t="s">
        <v>2052</v>
      </c>
      <c r="F444" t="s">
        <v>290</v>
      </c>
      <c r="G444" t="s">
        <v>2053</v>
      </c>
      <c r="H444" t="s">
        <v>19</v>
      </c>
      <c r="I444" t="s">
        <v>158</v>
      </c>
      <c r="J444" t="s">
        <v>59</v>
      </c>
      <c r="K444" t="s">
        <v>159</v>
      </c>
      <c r="P444" t="s">
        <v>18</v>
      </c>
      <c r="Q444" t="s">
        <v>160</v>
      </c>
      <c r="U444" t="s">
        <v>18</v>
      </c>
      <c r="V444">
        <v>2</v>
      </c>
    </row>
    <row r="445" spans="4:22" x14ac:dyDescent="0.45">
      <c r="D445" t="s">
        <v>725</v>
      </c>
      <c r="E445" t="s">
        <v>2054</v>
      </c>
      <c r="F445" t="s">
        <v>290</v>
      </c>
      <c r="G445" t="s">
        <v>2055</v>
      </c>
      <c r="H445" t="s">
        <v>19</v>
      </c>
      <c r="I445" t="s">
        <v>158</v>
      </c>
      <c r="J445" t="s">
        <v>59</v>
      </c>
      <c r="K445" t="s">
        <v>159</v>
      </c>
      <c r="P445" t="s">
        <v>18</v>
      </c>
      <c r="Q445" t="s">
        <v>161</v>
      </c>
      <c r="U445" t="s">
        <v>18</v>
      </c>
      <c r="V445">
        <v>2</v>
      </c>
    </row>
    <row r="446" spans="4:22" x14ac:dyDescent="0.45">
      <c r="D446" t="s">
        <v>726</v>
      </c>
      <c r="E446" t="s">
        <v>2056</v>
      </c>
      <c r="F446" t="s">
        <v>290</v>
      </c>
      <c r="G446" t="s">
        <v>2057</v>
      </c>
      <c r="H446" t="s">
        <v>19</v>
      </c>
      <c r="I446" t="s">
        <v>158</v>
      </c>
      <c r="J446" t="s">
        <v>59</v>
      </c>
      <c r="K446" t="s">
        <v>159</v>
      </c>
      <c r="P446" t="s">
        <v>18</v>
      </c>
      <c r="Q446" t="s">
        <v>162</v>
      </c>
      <c r="U446" t="s">
        <v>18</v>
      </c>
      <c r="V446">
        <v>2</v>
      </c>
    </row>
    <row r="447" spans="4:22" x14ac:dyDescent="0.45">
      <c r="D447" t="s">
        <v>727</v>
      </c>
      <c r="E447" t="s">
        <v>2016</v>
      </c>
      <c r="F447" t="s">
        <v>290</v>
      </c>
      <c r="G447" t="s">
        <v>2058</v>
      </c>
      <c r="H447" t="s">
        <v>19</v>
      </c>
      <c r="I447" t="s">
        <v>158</v>
      </c>
      <c r="J447" t="s">
        <v>163</v>
      </c>
      <c r="K447" t="s">
        <v>159</v>
      </c>
      <c r="P447" t="s">
        <v>18</v>
      </c>
      <c r="Q447" t="s">
        <v>60</v>
      </c>
      <c r="U447" t="s">
        <v>18</v>
      </c>
      <c r="V447">
        <v>1</v>
      </c>
    </row>
    <row r="448" spans="4:22" x14ac:dyDescent="0.45">
      <c r="D448" t="s">
        <v>728</v>
      </c>
      <c r="E448" t="s">
        <v>2059</v>
      </c>
      <c r="F448" t="s">
        <v>290</v>
      </c>
      <c r="G448" t="s">
        <v>2060</v>
      </c>
      <c r="H448" t="s">
        <v>19</v>
      </c>
      <c r="I448" t="s">
        <v>158</v>
      </c>
      <c r="J448" t="s">
        <v>67</v>
      </c>
      <c r="K448" t="s">
        <v>159</v>
      </c>
      <c r="M448" t="s">
        <v>26</v>
      </c>
      <c r="P448" t="s">
        <v>26</v>
      </c>
      <c r="Q448" t="s">
        <v>60</v>
      </c>
      <c r="U448" t="s">
        <v>18</v>
      </c>
      <c r="V448">
        <v>1</v>
      </c>
    </row>
    <row r="449" spans="4:22" x14ac:dyDescent="0.45">
      <c r="D449" t="s">
        <v>729</v>
      </c>
      <c r="E449" t="s">
        <v>2061</v>
      </c>
      <c r="F449" t="s">
        <v>290</v>
      </c>
      <c r="G449" t="s">
        <v>2060</v>
      </c>
      <c r="H449" t="s">
        <v>19</v>
      </c>
      <c r="I449" t="s">
        <v>158</v>
      </c>
      <c r="J449" t="s">
        <v>67</v>
      </c>
      <c r="K449" t="s">
        <v>159</v>
      </c>
      <c r="M449" t="s">
        <v>27</v>
      </c>
      <c r="P449" t="s">
        <v>27</v>
      </c>
      <c r="Q449" t="s">
        <v>60</v>
      </c>
      <c r="U449" t="s">
        <v>18</v>
      </c>
      <c r="V449">
        <v>1</v>
      </c>
    </row>
    <row r="450" spans="4:22" x14ac:dyDescent="0.45">
      <c r="D450" t="s">
        <v>730</v>
      </c>
      <c r="E450" t="s">
        <v>2062</v>
      </c>
      <c r="F450" t="s">
        <v>290</v>
      </c>
      <c r="G450" t="s">
        <v>2060</v>
      </c>
      <c r="H450" t="s">
        <v>19</v>
      </c>
      <c r="I450" t="s">
        <v>158</v>
      </c>
      <c r="J450" t="s">
        <v>67</v>
      </c>
      <c r="K450" t="s">
        <v>159</v>
      </c>
      <c r="M450" t="s">
        <v>164</v>
      </c>
      <c r="P450" t="s">
        <v>164</v>
      </c>
      <c r="Q450" t="s">
        <v>60</v>
      </c>
      <c r="U450" t="s">
        <v>18</v>
      </c>
      <c r="V450">
        <v>1</v>
      </c>
    </row>
    <row r="451" spans="4:22" x14ac:dyDescent="0.45">
      <c r="D451" t="s">
        <v>731</v>
      </c>
      <c r="E451" t="s">
        <v>2063</v>
      </c>
      <c r="F451" t="s">
        <v>290</v>
      </c>
      <c r="G451" t="s">
        <v>2060</v>
      </c>
      <c r="H451" t="s">
        <v>19</v>
      </c>
      <c r="I451" t="s">
        <v>158</v>
      </c>
      <c r="J451" t="s">
        <v>67</v>
      </c>
      <c r="K451" t="s">
        <v>159</v>
      </c>
      <c r="M451" t="s">
        <v>29</v>
      </c>
      <c r="P451" t="s">
        <v>29</v>
      </c>
      <c r="Q451" t="s">
        <v>60</v>
      </c>
      <c r="U451" t="s">
        <v>18</v>
      </c>
      <c r="V451">
        <v>1</v>
      </c>
    </row>
    <row r="452" spans="4:22" x14ac:dyDescent="0.45">
      <c r="D452" t="s">
        <v>732</v>
      </c>
      <c r="E452" t="s">
        <v>2064</v>
      </c>
      <c r="F452" t="s">
        <v>290</v>
      </c>
      <c r="G452" t="s">
        <v>2060</v>
      </c>
      <c r="H452" t="s">
        <v>19</v>
      </c>
      <c r="I452" t="s">
        <v>158</v>
      </c>
      <c r="J452" t="s">
        <v>67</v>
      </c>
      <c r="K452" t="s">
        <v>159</v>
      </c>
      <c r="M452" t="s">
        <v>165</v>
      </c>
      <c r="P452" t="s">
        <v>165</v>
      </c>
      <c r="Q452" t="s">
        <v>60</v>
      </c>
      <c r="U452" t="s">
        <v>18</v>
      </c>
      <c r="V452">
        <v>1</v>
      </c>
    </row>
    <row r="453" spans="4:22" x14ac:dyDescent="0.45">
      <c r="D453" t="s">
        <v>733</v>
      </c>
      <c r="E453" t="s">
        <v>2018</v>
      </c>
      <c r="F453" t="s">
        <v>290</v>
      </c>
      <c r="G453" t="s">
        <v>2065</v>
      </c>
      <c r="H453" t="s">
        <v>19</v>
      </c>
      <c r="I453" t="s">
        <v>158</v>
      </c>
      <c r="J453" t="s">
        <v>163</v>
      </c>
      <c r="K453" t="s">
        <v>159</v>
      </c>
      <c r="M453" t="s">
        <v>37</v>
      </c>
      <c r="P453" t="s">
        <v>37</v>
      </c>
      <c r="Q453" t="s">
        <v>61</v>
      </c>
      <c r="U453" t="s">
        <v>18</v>
      </c>
      <c r="V453">
        <v>1</v>
      </c>
    </row>
    <row r="454" spans="4:22" x14ac:dyDescent="0.45">
      <c r="D454" t="s">
        <v>734</v>
      </c>
      <c r="E454" t="s">
        <v>2066</v>
      </c>
      <c r="F454" t="s">
        <v>290</v>
      </c>
      <c r="G454" t="s">
        <v>2067</v>
      </c>
      <c r="H454" t="s">
        <v>19</v>
      </c>
      <c r="I454" t="s">
        <v>158</v>
      </c>
      <c r="J454" t="s">
        <v>67</v>
      </c>
      <c r="K454" t="s">
        <v>159</v>
      </c>
      <c r="M454" t="s">
        <v>26</v>
      </c>
      <c r="P454" t="s">
        <v>26</v>
      </c>
      <c r="Q454" t="s">
        <v>61</v>
      </c>
      <c r="U454" t="s">
        <v>18</v>
      </c>
      <c r="V454">
        <v>1</v>
      </c>
    </row>
    <row r="455" spans="4:22" x14ac:dyDescent="0.45">
      <c r="D455" t="s">
        <v>735</v>
      </c>
      <c r="E455" t="s">
        <v>2068</v>
      </c>
      <c r="F455" t="s">
        <v>290</v>
      </c>
      <c r="G455" t="s">
        <v>2067</v>
      </c>
      <c r="H455" t="s">
        <v>19</v>
      </c>
      <c r="I455" t="s">
        <v>158</v>
      </c>
      <c r="J455" t="s">
        <v>67</v>
      </c>
      <c r="K455" t="s">
        <v>159</v>
      </c>
      <c r="M455" t="s">
        <v>27</v>
      </c>
      <c r="P455" t="s">
        <v>27</v>
      </c>
      <c r="Q455" t="s">
        <v>61</v>
      </c>
      <c r="U455" t="s">
        <v>18</v>
      </c>
      <c r="V455">
        <v>1</v>
      </c>
    </row>
    <row r="456" spans="4:22" x14ac:dyDescent="0.45">
      <c r="D456" t="s">
        <v>736</v>
      </c>
      <c r="E456" t="s">
        <v>2069</v>
      </c>
      <c r="F456" t="s">
        <v>290</v>
      </c>
      <c r="G456" t="s">
        <v>2067</v>
      </c>
      <c r="H456" t="s">
        <v>19</v>
      </c>
      <c r="I456" t="s">
        <v>158</v>
      </c>
      <c r="J456" t="s">
        <v>67</v>
      </c>
      <c r="K456" t="s">
        <v>159</v>
      </c>
      <c r="M456" t="s">
        <v>164</v>
      </c>
      <c r="P456" t="s">
        <v>164</v>
      </c>
      <c r="Q456" t="s">
        <v>61</v>
      </c>
      <c r="U456" t="s">
        <v>18</v>
      </c>
      <c r="V456">
        <v>1</v>
      </c>
    </row>
    <row r="457" spans="4:22" x14ac:dyDescent="0.45">
      <c r="D457" t="s">
        <v>737</v>
      </c>
      <c r="E457" t="s">
        <v>2070</v>
      </c>
      <c r="F457" t="s">
        <v>290</v>
      </c>
      <c r="G457" t="s">
        <v>2067</v>
      </c>
      <c r="H457" t="s">
        <v>19</v>
      </c>
      <c r="I457" t="s">
        <v>158</v>
      </c>
      <c r="J457" t="s">
        <v>67</v>
      </c>
      <c r="K457" t="s">
        <v>159</v>
      </c>
      <c r="M457" t="s">
        <v>29</v>
      </c>
      <c r="P457" t="s">
        <v>29</v>
      </c>
      <c r="Q457" t="s">
        <v>61</v>
      </c>
      <c r="U457" t="s">
        <v>18</v>
      </c>
      <c r="V457">
        <v>1</v>
      </c>
    </row>
    <row r="458" spans="4:22" x14ac:dyDescent="0.45">
      <c r="D458" t="s">
        <v>738</v>
      </c>
      <c r="E458" t="s">
        <v>2071</v>
      </c>
      <c r="F458" t="s">
        <v>290</v>
      </c>
      <c r="G458" t="s">
        <v>2067</v>
      </c>
      <c r="H458" t="s">
        <v>19</v>
      </c>
      <c r="I458" t="s">
        <v>158</v>
      </c>
      <c r="J458" t="s">
        <v>67</v>
      </c>
      <c r="K458" t="s">
        <v>159</v>
      </c>
      <c r="M458" t="s">
        <v>165</v>
      </c>
      <c r="P458" t="s">
        <v>165</v>
      </c>
      <c r="Q458" t="s">
        <v>61</v>
      </c>
      <c r="U458" t="s">
        <v>18</v>
      </c>
      <c r="V458">
        <v>1</v>
      </c>
    </row>
    <row r="459" spans="4:22" x14ac:dyDescent="0.45">
      <c r="D459" t="s">
        <v>739</v>
      </c>
      <c r="E459" t="s">
        <v>2022</v>
      </c>
      <c r="F459" t="s">
        <v>290</v>
      </c>
      <c r="G459" t="s">
        <v>2072</v>
      </c>
      <c r="H459" t="s">
        <v>19</v>
      </c>
      <c r="I459" t="s">
        <v>158</v>
      </c>
      <c r="J459" t="s">
        <v>163</v>
      </c>
      <c r="K459" t="s">
        <v>159</v>
      </c>
      <c r="M459" t="s">
        <v>37</v>
      </c>
      <c r="P459" t="s">
        <v>37</v>
      </c>
      <c r="Q459" t="s">
        <v>63</v>
      </c>
      <c r="U459" t="s">
        <v>18</v>
      </c>
      <c r="V459">
        <v>1</v>
      </c>
    </row>
    <row r="460" spans="4:22" x14ac:dyDescent="0.45">
      <c r="D460" t="s">
        <v>740</v>
      </c>
      <c r="E460" t="s">
        <v>2073</v>
      </c>
      <c r="F460" t="s">
        <v>290</v>
      </c>
      <c r="G460" t="s">
        <v>2074</v>
      </c>
      <c r="H460" t="s">
        <v>19</v>
      </c>
      <c r="I460" t="s">
        <v>158</v>
      </c>
      <c r="J460" t="s">
        <v>67</v>
      </c>
      <c r="K460" t="s">
        <v>159</v>
      </c>
      <c r="M460" t="s">
        <v>26</v>
      </c>
      <c r="P460" t="s">
        <v>26</v>
      </c>
      <c r="Q460" t="s">
        <v>63</v>
      </c>
      <c r="U460" t="s">
        <v>18</v>
      </c>
      <c r="V460">
        <v>1</v>
      </c>
    </row>
    <row r="461" spans="4:22" x14ac:dyDescent="0.45">
      <c r="D461" t="s">
        <v>741</v>
      </c>
      <c r="E461" t="s">
        <v>2075</v>
      </c>
      <c r="F461" t="s">
        <v>290</v>
      </c>
      <c r="G461" t="s">
        <v>2074</v>
      </c>
      <c r="H461" t="s">
        <v>19</v>
      </c>
      <c r="I461" t="s">
        <v>158</v>
      </c>
      <c r="J461" t="s">
        <v>67</v>
      </c>
      <c r="K461" t="s">
        <v>159</v>
      </c>
      <c r="M461" t="s">
        <v>27</v>
      </c>
      <c r="P461" t="s">
        <v>27</v>
      </c>
      <c r="Q461" t="s">
        <v>63</v>
      </c>
      <c r="U461" t="s">
        <v>18</v>
      </c>
      <c r="V461">
        <v>1</v>
      </c>
    </row>
    <row r="462" spans="4:22" x14ac:dyDescent="0.45">
      <c r="D462" t="s">
        <v>742</v>
      </c>
      <c r="E462" t="s">
        <v>2076</v>
      </c>
      <c r="F462" t="s">
        <v>290</v>
      </c>
      <c r="G462" t="s">
        <v>2074</v>
      </c>
      <c r="H462" t="s">
        <v>19</v>
      </c>
      <c r="I462" t="s">
        <v>158</v>
      </c>
      <c r="J462" t="s">
        <v>67</v>
      </c>
      <c r="K462" t="s">
        <v>159</v>
      </c>
      <c r="M462" t="s">
        <v>164</v>
      </c>
      <c r="P462" t="s">
        <v>164</v>
      </c>
      <c r="Q462" t="s">
        <v>63</v>
      </c>
      <c r="U462" t="s">
        <v>18</v>
      </c>
      <c r="V462">
        <v>1</v>
      </c>
    </row>
    <row r="463" spans="4:22" x14ac:dyDescent="0.45">
      <c r="D463" t="s">
        <v>743</v>
      </c>
      <c r="E463" t="s">
        <v>2077</v>
      </c>
      <c r="F463" t="s">
        <v>290</v>
      </c>
      <c r="G463" t="s">
        <v>2074</v>
      </c>
      <c r="H463" t="s">
        <v>19</v>
      </c>
      <c r="I463" t="s">
        <v>158</v>
      </c>
      <c r="J463" t="s">
        <v>67</v>
      </c>
      <c r="K463" t="s">
        <v>159</v>
      </c>
      <c r="M463" t="s">
        <v>29</v>
      </c>
      <c r="P463" t="s">
        <v>29</v>
      </c>
      <c r="Q463" t="s">
        <v>63</v>
      </c>
      <c r="U463" t="s">
        <v>18</v>
      </c>
      <c r="V463">
        <v>1</v>
      </c>
    </row>
    <row r="464" spans="4:22" x14ac:dyDescent="0.45">
      <c r="D464" t="s">
        <v>744</v>
      </c>
      <c r="E464" t="s">
        <v>2078</v>
      </c>
      <c r="F464" t="s">
        <v>290</v>
      </c>
      <c r="G464" t="s">
        <v>2074</v>
      </c>
      <c r="H464" t="s">
        <v>19</v>
      </c>
      <c r="I464" t="s">
        <v>158</v>
      </c>
      <c r="J464" t="s">
        <v>67</v>
      </c>
      <c r="K464" t="s">
        <v>159</v>
      </c>
      <c r="M464" t="s">
        <v>165</v>
      </c>
      <c r="P464" t="s">
        <v>165</v>
      </c>
      <c r="Q464" t="s">
        <v>63</v>
      </c>
      <c r="U464" t="s">
        <v>18</v>
      </c>
      <c r="V464">
        <v>1</v>
      </c>
    </row>
    <row r="465" spans="4:22" x14ac:dyDescent="0.45">
      <c r="D465" t="s">
        <v>745</v>
      </c>
      <c r="E465" t="s">
        <v>2024</v>
      </c>
      <c r="F465" t="s">
        <v>290</v>
      </c>
      <c r="G465" t="s">
        <v>2079</v>
      </c>
      <c r="H465" t="s">
        <v>19</v>
      </c>
      <c r="I465" t="s">
        <v>158</v>
      </c>
      <c r="J465" t="s">
        <v>163</v>
      </c>
      <c r="K465" t="s">
        <v>159</v>
      </c>
      <c r="M465" t="s">
        <v>37</v>
      </c>
      <c r="P465" t="s">
        <v>37</v>
      </c>
      <c r="Q465" t="s">
        <v>64</v>
      </c>
      <c r="U465" t="s">
        <v>18</v>
      </c>
      <c r="V465">
        <v>1</v>
      </c>
    </row>
    <row r="466" spans="4:22" x14ac:dyDescent="0.45">
      <c r="D466" t="s">
        <v>746</v>
      </c>
      <c r="E466" t="s">
        <v>2080</v>
      </c>
      <c r="F466" t="s">
        <v>290</v>
      </c>
      <c r="G466" t="s">
        <v>2081</v>
      </c>
      <c r="H466" t="s">
        <v>19</v>
      </c>
      <c r="I466" t="s">
        <v>158</v>
      </c>
      <c r="J466" t="s">
        <v>67</v>
      </c>
      <c r="K466" t="s">
        <v>159</v>
      </c>
      <c r="M466" t="s">
        <v>26</v>
      </c>
      <c r="P466" t="s">
        <v>26</v>
      </c>
      <c r="Q466" t="s">
        <v>64</v>
      </c>
      <c r="U466" t="s">
        <v>18</v>
      </c>
      <c r="V466">
        <v>1</v>
      </c>
    </row>
    <row r="467" spans="4:22" x14ac:dyDescent="0.45">
      <c r="D467" t="s">
        <v>747</v>
      </c>
      <c r="E467" t="s">
        <v>2082</v>
      </c>
      <c r="F467" t="s">
        <v>290</v>
      </c>
      <c r="G467" t="s">
        <v>2081</v>
      </c>
      <c r="H467" t="s">
        <v>19</v>
      </c>
      <c r="I467" t="s">
        <v>158</v>
      </c>
      <c r="J467" t="s">
        <v>67</v>
      </c>
      <c r="K467" t="s">
        <v>159</v>
      </c>
      <c r="M467" t="s">
        <v>27</v>
      </c>
      <c r="P467" t="s">
        <v>27</v>
      </c>
      <c r="Q467" t="s">
        <v>64</v>
      </c>
      <c r="U467" t="s">
        <v>18</v>
      </c>
      <c r="V467">
        <v>1</v>
      </c>
    </row>
    <row r="468" spans="4:22" x14ac:dyDescent="0.45">
      <c r="D468" t="s">
        <v>748</v>
      </c>
      <c r="E468" t="s">
        <v>2083</v>
      </c>
      <c r="F468" t="s">
        <v>290</v>
      </c>
      <c r="G468" t="s">
        <v>2081</v>
      </c>
      <c r="H468" t="s">
        <v>19</v>
      </c>
      <c r="I468" t="s">
        <v>158</v>
      </c>
      <c r="J468" t="s">
        <v>67</v>
      </c>
      <c r="K468" t="s">
        <v>159</v>
      </c>
      <c r="M468" t="s">
        <v>164</v>
      </c>
      <c r="P468" t="s">
        <v>164</v>
      </c>
      <c r="Q468" t="s">
        <v>64</v>
      </c>
      <c r="U468" t="s">
        <v>18</v>
      </c>
      <c r="V468">
        <v>1</v>
      </c>
    </row>
    <row r="469" spans="4:22" x14ac:dyDescent="0.45">
      <c r="D469" t="s">
        <v>749</v>
      </c>
      <c r="E469" t="s">
        <v>2084</v>
      </c>
      <c r="F469" t="s">
        <v>290</v>
      </c>
      <c r="G469" t="s">
        <v>2081</v>
      </c>
      <c r="H469" t="s">
        <v>19</v>
      </c>
      <c r="I469" t="s">
        <v>158</v>
      </c>
      <c r="J469" t="s">
        <v>67</v>
      </c>
      <c r="K469" t="s">
        <v>159</v>
      </c>
      <c r="M469" t="s">
        <v>29</v>
      </c>
      <c r="P469" t="s">
        <v>29</v>
      </c>
      <c r="Q469" t="s">
        <v>64</v>
      </c>
      <c r="U469" t="s">
        <v>18</v>
      </c>
      <c r="V469">
        <v>1</v>
      </c>
    </row>
    <row r="470" spans="4:22" x14ac:dyDescent="0.45">
      <c r="D470" t="s">
        <v>750</v>
      </c>
      <c r="E470" t="s">
        <v>2085</v>
      </c>
      <c r="F470" t="s">
        <v>290</v>
      </c>
      <c r="G470" t="s">
        <v>2081</v>
      </c>
      <c r="H470" t="s">
        <v>19</v>
      </c>
      <c r="I470" t="s">
        <v>158</v>
      </c>
      <c r="J470" t="s">
        <v>67</v>
      </c>
      <c r="K470" t="s">
        <v>159</v>
      </c>
      <c r="M470" t="s">
        <v>165</v>
      </c>
      <c r="P470" t="s">
        <v>165</v>
      </c>
      <c r="Q470" t="s">
        <v>64</v>
      </c>
      <c r="U470" t="s">
        <v>18</v>
      </c>
      <c r="V470">
        <v>1</v>
      </c>
    </row>
    <row r="471" spans="4:22" x14ac:dyDescent="0.45">
      <c r="D471" t="s">
        <v>751</v>
      </c>
      <c r="E471" t="s">
        <v>2026</v>
      </c>
      <c r="F471" t="s">
        <v>290</v>
      </c>
      <c r="G471" t="s">
        <v>2086</v>
      </c>
      <c r="H471" t="s">
        <v>19</v>
      </c>
      <c r="I471" t="s">
        <v>158</v>
      </c>
      <c r="J471" t="s">
        <v>163</v>
      </c>
      <c r="K471" t="s">
        <v>159</v>
      </c>
      <c r="M471" t="s">
        <v>37</v>
      </c>
      <c r="P471" t="s">
        <v>37</v>
      </c>
      <c r="Q471" t="s">
        <v>65</v>
      </c>
      <c r="U471" t="s">
        <v>18</v>
      </c>
      <c r="V471">
        <v>1</v>
      </c>
    </row>
    <row r="472" spans="4:22" x14ac:dyDescent="0.45">
      <c r="D472" t="s">
        <v>752</v>
      </c>
      <c r="E472" t="s">
        <v>2087</v>
      </c>
      <c r="F472" t="s">
        <v>290</v>
      </c>
      <c r="G472" t="s">
        <v>2088</v>
      </c>
      <c r="H472" t="s">
        <v>19</v>
      </c>
      <c r="I472" t="s">
        <v>158</v>
      </c>
      <c r="J472" t="s">
        <v>67</v>
      </c>
      <c r="K472" t="s">
        <v>159</v>
      </c>
      <c r="M472" t="s">
        <v>26</v>
      </c>
      <c r="P472" t="s">
        <v>26</v>
      </c>
      <c r="Q472" t="s">
        <v>65</v>
      </c>
      <c r="U472" t="s">
        <v>18</v>
      </c>
      <c r="V472">
        <v>1</v>
      </c>
    </row>
    <row r="473" spans="4:22" x14ac:dyDescent="0.45">
      <c r="D473" t="s">
        <v>753</v>
      </c>
      <c r="E473" t="s">
        <v>2089</v>
      </c>
      <c r="F473" t="s">
        <v>290</v>
      </c>
      <c r="G473" t="s">
        <v>2088</v>
      </c>
      <c r="H473" t="s">
        <v>19</v>
      </c>
      <c r="I473" t="s">
        <v>158</v>
      </c>
      <c r="J473" t="s">
        <v>67</v>
      </c>
      <c r="K473" t="s">
        <v>159</v>
      </c>
      <c r="M473" t="s">
        <v>27</v>
      </c>
      <c r="P473" t="s">
        <v>27</v>
      </c>
      <c r="Q473" t="s">
        <v>65</v>
      </c>
      <c r="U473" t="s">
        <v>18</v>
      </c>
      <c r="V473">
        <v>1</v>
      </c>
    </row>
    <row r="474" spans="4:22" x14ac:dyDescent="0.45">
      <c r="D474" t="s">
        <v>754</v>
      </c>
      <c r="E474" t="s">
        <v>2090</v>
      </c>
      <c r="F474" t="s">
        <v>290</v>
      </c>
      <c r="G474" t="s">
        <v>2088</v>
      </c>
      <c r="H474" t="s">
        <v>19</v>
      </c>
      <c r="I474" t="s">
        <v>158</v>
      </c>
      <c r="J474" t="s">
        <v>67</v>
      </c>
      <c r="K474" t="s">
        <v>159</v>
      </c>
      <c r="M474" t="s">
        <v>164</v>
      </c>
      <c r="P474" t="s">
        <v>164</v>
      </c>
      <c r="Q474" t="s">
        <v>65</v>
      </c>
      <c r="U474" t="s">
        <v>18</v>
      </c>
      <c r="V474">
        <v>1</v>
      </c>
    </row>
    <row r="475" spans="4:22" x14ac:dyDescent="0.45">
      <c r="D475" t="s">
        <v>755</v>
      </c>
      <c r="E475" t="s">
        <v>2091</v>
      </c>
      <c r="F475" t="s">
        <v>290</v>
      </c>
      <c r="G475" t="s">
        <v>2088</v>
      </c>
      <c r="H475" t="s">
        <v>19</v>
      </c>
      <c r="I475" t="s">
        <v>158</v>
      </c>
      <c r="J475" t="s">
        <v>67</v>
      </c>
      <c r="K475" t="s">
        <v>159</v>
      </c>
      <c r="M475" t="s">
        <v>29</v>
      </c>
      <c r="P475" t="s">
        <v>29</v>
      </c>
      <c r="Q475" t="s">
        <v>65</v>
      </c>
      <c r="U475" t="s">
        <v>18</v>
      </c>
      <c r="V475">
        <v>1</v>
      </c>
    </row>
    <row r="476" spans="4:22" x14ac:dyDescent="0.45">
      <c r="D476" t="s">
        <v>756</v>
      </c>
      <c r="E476" t="s">
        <v>2092</v>
      </c>
      <c r="F476" t="s">
        <v>290</v>
      </c>
      <c r="G476" t="s">
        <v>2088</v>
      </c>
      <c r="H476" t="s">
        <v>19</v>
      </c>
      <c r="I476" t="s">
        <v>158</v>
      </c>
      <c r="J476" t="s">
        <v>67</v>
      </c>
      <c r="K476" t="s">
        <v>159</v>
      </c>
      <c r="M476" t="s">
        <v>165</v>
      </c>
      <c r="P476" t="s">
        <v>165</v>
      </c>
      <c r="Q476" t="s">
        <v>65</v>
      </c>
      <c r="U476" t="s">
        <v>18</v>
      </c>
      <c r="V476">
        <v>1</v>
      </c>
    </row>
    <row r="477" spans="4:22" x14ac:dyDescent="0.45">
      <c r="D477" t="s">
        <v>757</v>
      </c>
      <c r="E477" t="s">
        <v>2028</v>
      </c>
      <c r="F477" t="s">
        <v>290</v>
      </c>
      <c r="G477" t="s">
        <v>2093</v>
      </c>
      <c r="H477" t="s">
        <v>19</v>
      </c>
      <c r="I477" t="s">
        <v>158</v>
      </c>
      <c r="J477" t="s">
        <v>163</v>
      </c>
      <c r="K477" t="s">
        <v>159</v>
      </c>
      <c r="M477" t="s">
        <v>37</v>
      </c>
      <c r="P477" t="s">
        <v>37</v>
      </c>
      <c r="Q477" t="s">
        <v>66</v>
      </c>
      <c r="U477" t="s">
        <v>18</v>
      </c>
      <c r="V477">
        <v>1</v>
      </c>
    </row>
    <row r="478" spans="4:22" x14ac:dyDescent="0.45">
      <c r="D478" t="s">
        <v>758</v>
      </c>
      <c r="E478" t="s">
        <v>2094</v>
      </c>
      <c r="F478" t="s">
        <v>290</v>
      </c>
      <c r="G478" t="s">
        <v>2095</v>
      </c>
      <c r="H478" t="s">
        <v>19</v>
      </c>
      <c r="I478" t="s">
        <v>158</v>
      </c>
      <c r="J478" t="s">
        <v>67</v>
      </c>
      <c r="K478" t="s">
        <v>159</v>
      </c>
      <c r="M478" t="s">
        <v>26</v>
      </c>
      <c r="P478" t="s">
        <v>26</v>
      </c>
      <c r="Q478" t="s">
        <v>66</v>
      </c>
      <c r="U478" t="s">
        <v>18</v>
      </c>
      <c r="V478">
        <v>1</v>
      </c>
    </row>
    <row r="479" spans="4:22" x14ac:dyDescent="0.45">
      <c r="D479" t="s">
        <v>759</v>
      </c>
      <c r="E479" t="s">
        <v>2096</v>
      </c>
      <c r="F479" t="s">
        <v>290</v>
      </c>
      <c r="G479" t="s">
        <v>2095</v>
      </c>
      <c r="H479" t="s">
        <v>19</v>
      </c>
      <c r="I479" t="s">
        <v>158</v>
      </c>
      <c r="J479" t="s">
        <v>67</v>
      </c>
      <c r="K479" t="s">
        <v>159</v>
      </c>
      <c r="M479" t="s">
        <v>27</v>
      </c>
      <c r="P479" t="s">
        <v>27</v>
      </c>
      <c r="Q479" t="s">
        <v>66</v>
      </c>
      <c r="U479" t="s">
        <v>18</v>
      </c>
      <c r="V479">
        <v>1</v>
      </c>
    </row>
    <row r="480" spans="4:22" x14ac:dyDescent="0.45">
      <c r="D480" t="s">
        <v>760</v>
      </c>
      <c r="E480" t="s">
        <v>2097</v>
      </c>
      <c r="F480" t="s">
        <v>290</v>
      </c>
      <c r="G480" t="s">
        <v>2095</v>
      </c>
      <c r="H480" t="s">
        <v>19</v>
      </c>
      <c r="I480" t="s">
        <v>158</v>
      </c>
      <c r="J480" t="s">
        <v>67</v>
      </c>
      <c r="K480" t="s">
        <v>159</v>
      </c>
      <c r="M480" t="s">
        <v>164</v>
      </c>
      <c r="P480" t="s">
        <v>164</v>
      </c>
      <c r="Q480" t="s">
        <v>66</v>
      </c>
      <c r="U480" t="s">
        <v>18</v>
      </c>
      <c r="V480">
        <v>1</v>
      </c>
    </row>
    <row r="481" spans="4:22" x14ac:dyDescent="0.45">
      <c r="D481" t="s">
        <v>761</v>
      </c>
      <c r="E481" t="s">
        <v>2098</v>
      </c>
      <c r="F481" t="s">
        <v>290</v>
      </c>
      <c r="G481" t="s">
        <v>2095</v>
      </c>
      <c r="H481" t="s">
        <v>19</v>
      </c>
      <c r="I481" t="s">
        <v>158</v>
      </c>
      <c r="J481" t="s">
        <v>67</v>
      </c>
      <c r="K481" t="s">
        <v>159</v>
      </c>
      <c r="M481" t="s">
        <v>29</v>
      </c>
      <c r="P481" t="s">
        <v>29</v>
      </c>
      <c r="Q481" t="s">
        <v>66</v>
      </c>
      <c r="U481" t="s">
        <v>18</v>
      </c>
      <c r="V481">
        <v>1</v>
      </c>
    </row>
    <row r="482" spans="4:22" x14ac:dyDescent="0.45">
      <c r="D482" t="s">
        <v>762</v>
      </c>
      <c r="E482" t="s">
        <v>2099</v>
      </c>
      <c r="F482" t="s">
        <v>290</v>
      </c>
      <c r="G482" t="s">
        <v>2095</v>
      </c>
      <c r="H482" t="s">
        <v>19</v>
      </c>
      <c r="I482" t="s">
        <v>158</v>
      </c>
      <c r="J482" t="s">
        <v>67</v>
      </c>
      <c r="K482" t="s">
        <v>159</v>
      </c>
      <c r="M482" t="s">
        <v>165</v>
      </c>
      <c r="P482" t="s">
        <v>165</v>
      </c>
      <c r="Q482" t="s">
        <v>66</v>
      </c>
      <c r="U482" t="s">
        <v>18</v>
      </c>
      <c r="V482">
        <v>1</v>
      </c>
    </row>
    <row r="483" spans="4:22" x14ac:dyDescent="0.45">
      <c r="D483" t="s">
        <v>763</v>
      </c>
      <c r="E483" t="s">
        <v>2020</v>
      </c>
      <c r="F483" t="s">
        <v>290</v>
      </c>
      <c r="G483" t="s">
        <v>2100</v>
      </c>
      <c r="H483" t="s">
        <v>19</v>
      </c>
      <c r="I483" t="s">
        <v>158</v>
      </c>
      <c r="J483" t="s">
        <v>163</v>
      </c>
      <c r="K483" t="s">
        <v>159</v>
      </c>
      <c r="M483" t="s">
        <v>37</v>
      </c>
      <c r="P483" t="s">
        <v>37</v>
      </c>
      <c r="Q483" t="s">
        <v>113</v>
      </c>
      <c r="U483" t="s">
        <v>18</v>
      </c>
      <c r="V483">
        <v>1</v>
      </c>
    </row>
    <row r="484" spans="4:22" x14ac:dyDescent="0.45">
      <c r="D484" t="s">
        <v>764</v>
      </c>
      <c r="E484" t="s">
        <v>2101</v>
      </c>
      <c r="F484" t="s">
        <v>290</v>
      </c>
      <c r="G484" t="s">
        <v>2102</v>
      </c>
      <c r="H484" t="s">
        <v>19</v>
      </c>
      <c r="I484" t="s">
        <v>158</v>
      </c>
      <c r="J484" t="s">
        <v>67</v>
      </c>
      <c r="K484" t="s">
        <v>159</v>
      </c>
      <c r="M484" t="s">
        <v>26</v>
      </c>
      <c r="P484" t="s">
        <v>26</v>
      </c>
      <c r="Q484" t="s">
        <v>113</v>
      </c>
      <c r="U484" t="s">
        <v>18</v>
      </c>
      <c r="V484">
        <v>1</v>
      </c>
    </row>
    <row r="485" spans="4:22" x14ac:dyDescent="0.45">
      <c r="D485" t="s">
        <v>765</v>
      </c>
      <c r="E485" t="s">
        <v>2103</v>
      </c>
      <c r="F485" t="s">
        <v>290</v>
      </c>
      <c r="G485" t="s">
        <v>2102</v>
      </c>
      <c r="H485" t="s">
        <v>19</v>
      </c>
      <c r="I485" t="s">
        <v>158</v>
      </c>
      <c r="J485" t="s">
        <v>67</v>
      </c>
      <c r="K485" t="s">
        <v>159</v>
      </c>
      <c r="M485" t="s">
        <v>27</v>
      </c>
      <c r="P485" t="s">
        <v>27</v>
      </c>
      <c r="Q485" t="s">
        <v>113</v>
      </c>
      <c r="U485" t="s">
        <v>18</v>
      </c>
      <c r="V485">
        <v>1</v>
      </c>
    </row>
    <row r="486" spans="4:22" x14ac:dyDescent="0.45">
      <c r="D486" t="s">
        <v>766</v>
      </c>
      <c r="E486" t="s">
        <v>2104</v>
      </c>
      <c r="F486" t="s">
        <v>290</v>
      </c>
      <c r="G486" t="s">
        <v>2102</v>
      </c>
      <c r="H486" t="s">
        <v>19</v>
      </c>
      <c r="I486" t="s">
        <v>158</v>
      </c>
      <c r="J486" t="s">
        <v>67</v>
      </c>
      <c r="K486" t="s">
        <v>159</v>
      </c>
      <c r="M486" t="s">
        <v>164</v>
      </c>
      <c r="P486" t="s">
        <v>164</v>
      </c>
      <c r="Q486" t="s">
        <v>113</v>
      </c>
      <c r="U486" t="s">
        <v>18</v>
      </c>
      <c r="V486">
        <v>1</v>
      </c>
    </row>
    <row r="487" spans="4:22" x14ac:dyDescent="0.45">
      <c r="D487" t="s">
        <v>767</v>
      </c>
      <c r="E487" t="s">
        <v>2105</v>
      </c>
      <c r="F487" t="s">
        <v>290</v>
      </c>
      <c r="G487" t="s">
        <v>2102</v>
      </c>
      <c r="H487" t="s">
        <v>19</v>
      </c>
      <c r="I487" t="s">
        <v>158</v>
      </c>
      <c r="J487" t="s">
        <v>67</v>
      </c>
      <c r="K487" t="s">
        <v>159</v>
      </c>
      <c r="M487" t="s">
        <v>29</v>
      </c>
      <c r="P487" t="s">
        <v>29</v>
      </c>
      <c r="Q487" t="s">
        <v>113</v>
      </c>
      <c r="U487" t="s">
        <v>18</v>
      </c>
      <c r="V487">
        <v>1</v>
      </c>
    </row>
    <row r="488" spans="4:22" x14ac:dyDescent="0.45">
      <c r="D488" t="s">
        <v>768</v>
      </c>
      <c r="E488" t="s">
        <v>2106</v>
      </c>
      <c r="F488" t="s">
        <v>290</v>
      </c>
      <c r="G488" t="s">
        <v>2102</v>
      </c>
      <c r="H488" t="s">
        <v>19</v>
      </c>
      <c r="I488" t="s">
        <v>158</v>
      </c>
      <c r="J488" t="s">
        <v>67</v>
      </c>
      <c r="K488" t="s">
        <v>159</v>
      </c>
      <c r="M488" t="s">
        <v>165</v>
      </c>
      <c r="P488" t="s">
        <v>165</v>
      </c>
      <c r="Q488" t="s">
        <v>113</v>
      </c>
      <c r="U488" t="s">
        <v>18</v>
      </c>
      <c r="V488">
        <v>1</v>
      </c>
    </row>
    <row r="489" spans="4:22" x14ac:dyDescent="0.45">
      <c r="D489" t="s">
        <v>769</v>
      </c>
      <c r="E489" t="s">
        <v>2107</v>
      </c>
      <c r="F489" t="s">
        <v>290</v>
      </c>
      <c r="G489" t="s">
        <v>2108</v>
      </c>
      <c r="H489" t="s">
        <v>19</v>
      </c>
      <c r="I489" t="s">
        <v>158</v>
      </c>
      <c r="J489" t="s">
        <v>46</v>
      </c>
      <c r="K489" t="s">
        <v>159</v>
      </c>
      <c r="M489" t="s">
        <v>37</v>
      </c>
      <c r="P489" t="s">
        <v>37</v>
      </c>
      <c r="Q489" t="s">
        <v>37</v>
      </c>
      <c r="U489" t="s">
        <v>18</v>
      </c>
      <c r="V489">
        <v>1</v>
      </c>
    </row>
    <row r="490" spans="4:22" x14ac:dyDescent="0.45">
      <c r="D490" t="s">
        <v>770</v>
      </c>
      <c r="E490" t="s">
        <v>2034</v>
      </c>
      <c r="F490" t="s">
        <v>290</v>
      </c>
      <c r="G490" t="s">
        <v>2109</v>
      </c>
      <c r="H490" t="s">
        <v>19</v>
      </c>
      <c r="I490" t="s">
        <v>158</v>
      </c>
      <c r="J490" t="s">
        <v>163</v>
      </c>
      <c r="K490" t="s">
        <v>159</v>
      </c>
      <c r="M490" t="s">
        <v>37</v>
      </c>
      <c r="P490" t="s">
        <v>37</v>
      </c>
      <c r="Q490" t="s">
        <v>162</v>
      </c>
      <c r="U490" t="s">
        <v>18</v>
      </c>
      <c r="V490">
        <v>1</v>
      </c>
    </row>
    <row r="491" spans="4:22" x14ac:dyDescent="0.45">
      <c r="D491" t="s">
        <v>771</v>
      </c>
      <c r="E491" t="s">
        <v>2110</v>
      </c>
      <c r="F491" t="s">
        <v>290</v>
      </c>
      <c r="G491" t="s">
        <v>2111</v>
      </c>
      <c r="H491" t="s">
        <v>19</v>
      </c>
      <c r="I491" t="s">
        <v>158</v>
      </c>
      <c r="J491" t="s">
        <v>67</v>
      </c>
      <c r="K491" t="s">
        <v>159</v>
      </c>
      <c r="M491" t="s">
        <v>26</v>
      </c>
      <c r="P491" t="s">
        <v>26</v>
      </c>
      <c r="Q491" t="s">
        <v>162</v>
      </c>
      <c r="U491" t="s">
        <v>18</v>
      </c>
      <c r="V491">
        <v>1</v>
      </c>
    </row>
    <row r="492" spans="4:22" x14ac:dyDescent="0.45">
      <c r="D492" t="s">
        <v>772</v>
      </c>
      <c r="E492" t="s">
        <v>2112</v>
      </c>
      <c r="F492" t="s">
        <v>290</v>
      </c>
      <c r="G492" t="s">
        <v>2111</v>
      </c>
      <c r="H492" t="s">
        <v>19</v>
      </c>
      <c r="I492" t="s">
        <v>158</v>
      </c>
      <c r="J492" t="s">
        <v>67</v>
      </c>
      <c r="K492" t="s">
        <v>159</v>
      </c>
      <c r="M492" t="s">
        <v>27</v>
      </c>
      <c r="P492" t="s">
        <v>27</v>
      </c>
      <c r="Q492" t="s">
        <v>162</v>
      </c>
      <c r="U492" t="s">
        <v>18</v>
      </c>
      <c r="V492">
        <v>1</v>
      </c>
    </row>
    <row r="493" spans="4:22" x14ac:dyDescent="0.45">
      <c r="D493" t="s">
        <v>773</v>
      </c>
      <c r="E493" t="s">
        <v>2113</v>
      </c>
      <c r="F493" t="s">
        <v>290</v>
      </c>
      <c r="G493" t="s">
        <v>2111</v>
      </c>
      <c r="H493" t="s">
        <v>19</v>
      </c>
      <c r="I493" t="s">
        <v>158</v>
      </c>
      <c r="J493" t="s">
        <v>67</v>
      </c>
      <c r="K493" t="s">
        <v>159</v>
      </c>
      <c r="M493" t="s">
        <v>164</v>
      </c>
      <c r="P493" t="s">
        <v>164</v>
      </c>
      <c r="Q493" t="s">
        <v>162</v>
      </c>
      <c r="U493" t="s">
        <v>18</v>
      </c>
      <c r="V493">
        <v>1</v>
      </c>
    </row>
    <row r="494" spans="4:22" x14ac:dyDescent="0.45">
      <c r="D494" t="s">
        <v>774</v>
      </c>
      <c r="E494" t="s">
        <v>2114</v>
      </c>
      <c r="F494" t="s">
        <v>290</v>
      </c>
      <c r="G494" t="s">
        <v>2111</v>
      </c>
      <c r="H494" t="s">
        <v>19</v>
      </c>
      <c r="I494" t="s">
        <v>158</v>
      </c>
      <c r="J494" t="s">
        <v>67</v>
      </c>
      <c r="K494" t="s">
        <v>159</v>
      </c>
      <c r="M494" t="s">
        <v>29</v>
      </c>
      <c r="P494" t="s">
        <v>29</v>
      </c>
      <c r="Q494" t="s">
        <v>162</v>
      </c>
      <c r="U494" t="s">
        <v>18</v>
      </c>
      <c r="V494">
        <v>1</v>
      </c>
    </row>
    <row r="495" spans="4:22" x14ac:dyDescent="0.45">
      <c r="D495" t="s">
        <v>775</v>
      </c>
      <c r="E495" t="s">
        <v>2115</v>
      </c>
      <c r="F495" t="s">
        <v>290</v>
      </c>
      <c r="G495" t="s">
        <v>2111</v>
      </c>
      <c r="H495" t="s">
        <v>19</v>
      </c>
      <c r="I495" t="s">
        <v>158</v>
      </c>
      <c r="J495" t="s">
        <v>67</v>
      </c>
      <c r="K495" t="s">
        <v>159</v>
      </c>
      <c r="M495" t="s">
        <v>165</v>
      </c>
      <c r="P495" t="s">
        <v>165</v>
      </c>
      <c r="Q495" t="s">
        <v>162</v>
      </c>
      <c r="U495" t="s">
        <v>18</v>
      </c>
      <c r="V495">
        <v>1</v>
      </c>
    </row>
    <row r="496" spans="4:22" x14ac:dyDescent="0.45">
      <c r="D496" t="s">
        <v>776</v>
      </c>
      <c r="E496" t="s">
        <v>2014</v>
      </c>
      <c r="F496" t="s">
        <v>290</v>
      </c>
      <c r="G496" t="s">
        <v>2116</v>
      </c>
      <c r="H496" t="s">
        <v>19</v>
      </c>
      <c r="I496" t="s">
        <v>158</v>
      </c>
      <c r="J496" t="s">
        <v>166</v>
      </c>
      <c r="K496" t="s">
        <v>159</v>
      </c>
      <c r="M496" t="s">
        <v>37</v>
      </c>
      <c r="P496" t="s">
        <v>37</v>
      </c>
      <c r="Q496" t="s">
        <v>46</v>
      </c>
      <c r="U496" t="s">
        <v>18</v>
      </c>
      <c r="V496">
        <v>1</v>
      </c>
    </row>
    <row r="497" spans="4:22" x14ac:dyDescent="0.45">
      <c r="D497" t="s">
        <v>777</v>
      </c>
      <c r="E497" t="s">
        <v>2016</v>
      </c>
      <c r="F497" t="s">
        <v>290</v>
      </c>
      <c r="G497" t="s">
        <v>2017</v>
      </c>
      <c r="H497" t="s">
        <v>19</v>
      </c>
      <c r="I497" t="s">
        <v>158</v>
      </c>
      <c r="J497" t="s">
        <v>59</v>
      </c>
      <c r="K497" t="s">
        <v>159</v>
      </c>
      <c r="M497" t="s">
        <v>37</v>
      </c>
      <c r="P497" t="s">
        <v>37</v>
      </c>
      <c r="Q497" t="s">
        <v>60</v>
      </c>
      <c r="U497" t="s">
        <v>18</v>
      </c>
      <c r="V497">
        <v>1</v>
      </c>
    </row>
    <row r="498" spans="4:22" x14ac:dyDescent="0.45">
      <c r="D498" t="s">
        <v>778</v>
      </c>
      <c r="E498" t="s">
        <v>2018</v>
      </c>
      <c r="F498" t="s">
        <v>290</v>
      </c>
      <c r="G498" t="s">
        <v>2019</v>
      </c>
      <c r="H498" t="s">
        <v>19</v>
      </c>
      <c r="I498" t="s">
        <v>158</v>
      </c>
      <c r="J498" t="s">
        <v>59</v>
      </c>
      <c r="K498" t="s">
        <v>159</v>
      </c>
      <c r="M498" t="s">
        <v>37</v>
      </c>
      <c r="P498" t="s">
        <v>37</v>
      </c>
      <c r="Q498" t="s">
        <v>61</v>
      </c>
      <c r="U498" t="s">
        <v>18</v>
      </c>
      <c r="V498">
        <v>1</v>
      </c>
    </row>
    <row r="499" spans="4:22" x14ac:dyDescent="0.45">
      <c r="D499" t="s">
        <v>779</v>
      </c>
      <c r="E499" t="s">
        <v>2020</v>
      </c>
      <c r="F499" t="s">
        <v>290</v>
      </c>
      <c r="G499" t="s">
        <v>2021</v>
      </c>
      <c r="H499" t="s">
        <v>19</v>
      </c>
      <c r="I499" t="s">
        <v>158</v>
      </c>
      <c r="J499" t="s">
        <v>59</v>
      </c>
      <c r="K499" t="s">
        <v>159</v>
      </c>
      <c r="M499" t="s">
        <v>37</v>
      </c>
      <c r="P499" t="s">
        <v>37</v>
      </c>
      <c r="Q499" t="s">
        <v>113</v>
      </c>
      <c r="U499" t="s">
        <v>18</v>
      </c>
      <c r="V499">
        <v>1</v>
      </c>
    </row>
    <row r="500" spans="4:22" x14ac:dyDescent="0.45">
      <c r="D500" t="s">
        <v>780</v>
      </c>
      <c r="E500" t="s">
        <v>2022</v>
      </c>
      <c r="F500" t="s">
        <v>290</v>
      </c>
      <c r="G500" t="s">
        <v>2023</v>
      </c>
      <c r="H500" t="s">
        <v>19</v>
      </c>
      <c r="I500" t="s">
        <v>158</v>
      </c>
      <c r="J500" t="s">
        <v>59</v>
      </c>
      <c r="K500" t="s">
        <v>159</v>
      </c>
      <c r="M500" t="s">
        <v>37</v>
      </c>
      <c r="P500" t="s">
        <v>37</v>
      </c>
      <c r="Q500" t="s">
        <v>63</v>
      </c>
      <c r="U500" t="s">
        <v>18</v>
      </c>
      <c r="V500">
        <v>1</v>
      </c>
    </row>
    <row r="501" spans="4:22" x14ac:dyDescent="0.45">
      <c r="D501" t="s">
        <v>781</v>
      </c>
      <c r="E501" t="s">
        <v>2024</v>
      </c>
      <c r="F501" t="s">
        <v>290</v>
      </c>
      <c r="G501" t="s">
        <v>2025</v>
      </c>
      <c r="H501" t="s">
        <v>19</v>
      </c>
      <c r="I501" t="s">
        <v>158</v>
      </c>
      <c r="J501" t="s">
        <v>59</v>
      </c>
      <c r="K501" t="s">
        <v>159</v>
      </c>
      <c r="M501" t="s">
        <v>37</v>
      </c>
      <c r="P501" t="s">
        <v>37</v>
      </c>
      <c r="Q501" t="s">
        <v>64</v>
      </c>
      <c r="U501" t="s">
        <v>18</v>
      </c>
      <c r="V501">
        <v>1</v>
      </c>
    </row>
    <row r="502" spans="4:22" x14ac:dyDescent="0.45">
      <c r="D502" t="s">
        <v>782</v>
      </c>
      <c r="E502" t="s">
        <v>2026</v>
      </c>
      <c r="F502" t="s">
        <v>290</v>
      </c>
      <c r="G502" t="s">
        <v>2027</v>
      </c>
      <c r="H502" t="s">
        <v>19</v>
      </c>
      <c r="I502" t="s">
        <v>158</v>
      </c>
      <c r="J502" t="s">
        <v>59</v>
      </c>
      <c r="K502" t="s">
        <v>159</v>
      </c>
      <c r="M502" t="s">
        <v>37</v>
      </c>
      <c r="P502" t="s">
        <v>37</v>
      </c>
      <c r="Q502" t="s">
        <v>65</v>
      </c>
      <c r="U502" t="s">
        <v>18</v>
      </c>
      <c r="V502">
        <v>1</v>
      </c>
    </row>
    <row r="503" spans="4:22" x14ac:dyDescent="0.45">
      <c r="D503" t="s">
        <v>783</v>
      </c>
      <c r="E503" t="s">
        <v>2028</v>
      </c>
      <c r="F503" t="s">
        <v>290</v>
      </c>
      <c r="G503" t="s">
        <v>2029</v>
      </c>
      <c r="H503" t="s">
        <v>19</v>
      </c>
      <c r="I503" t="s">
        <v>158</v>
      </c>
      <c r="J503" t="s">
        <v>59</v>
      </c>
      <c r="K503" t="s">
        <v>159</v>
      </c>
      <c r="M503" t="s">
        <v>37</v>
      </c>
      <c r="P503" t="s">
        <v>37</v>
      </c>
      <c r="Q503" t="s">
        <v>66</v>
      </c>
      <c r="U503" t="s">
        <v>18</v>
      </c>
      <c r="V503">
        <v>1</v>
      </c>
    </row>
    <row r="504" spans="4:22" x14ac:dyDescent="0.45">
      <c r="D504" t="s">
        <v>784</v>
      </c>
      <c r="E504" t="s">
        <v>2034</v>
      </c>
      <c r="F504" t="s">
        <v>290</v>
      </c>
      <c r="G504" t="s">
        <v>2035</v>
      </c>
      <c r="H504" t="s">
        <v>19</v>
      </c>
      <c r="I504" t="s">
        <v>158</v>
      </c>
      <c r="J504" t="s">
        <v>59</v>
      </c>
      <c r="K504" t="s">
        <v>159</v>
      </c>
      <c r="M504" t="s">
        <v>37</v>
      </c>
      <c r="P504" t="s">
        <v>37</v>
      </c>
      <c r="Q504" t="s">
        <v>162</v>
      </c>
      <c r="U504" t="s">
        <v>18</v>
      </c>
      <c r="V504">
        <v>1</v>
      </c>
    </row>
    <row r="505" spans="4:22" x14ac:dyDescent="0.45">
      <c r="D505" t="s">
        <v>785</v>
      </c>
      <c r="E505" t="s">
        <v>2117</v>
      </c>
      <c r="F505" t="s">
        <v>290</v>
      </c>
      <c r="G505" t="s">
        <v>2118</v>
      </c>
      <c r="H505" t="s">
        <v>19</v>
      </c>
      <c r="I505" t="s">
        <v>158</v>
      </c>
      <c r="J505" t="s">
        <v>59</v>
      </c>
      <c r="K505" t="s">
        <v>159</v>
      </c>
      <c r="M505" t="s">
        <v>37</v>
      </c>
      <c r="P505" t="s">
        <v>37</v>
      </c>
      <c r="Q505" t="s">
        <v>167</v>
      </c>
      <c r="U505" t="s">
        <v>18</v>
      </c>
      <c r="V505">
        <v>1</v>
      </c>
    </row>
    <row r="506" spans="4:22" x14ac:dyDescent="0.45">
      <c r="D506" t="s">
        <v>786</v>
      </c>
      <c r="E506" t="s">
        <v>2038</v>
      </c>
      <c r="F506" t="s">
        <v>290</v>
      </c>
      <c r="G506" t="s">
        <v>2058</v>
      </c>
      <c r="H506" t="s">
        <v>19</v>
      </c>
      <c r="I506" t="s">
        <v>158</v>
      </c>
      <c r="J506" t="s">
        <v>163</v>
      </c>
      <c r="K506" t="s">
        <v>159</v>
      </c>
      <c r="M506" t="s">
        <v>46</v>
      </c>
      <c r="P506" t="s">
        <v>46</v>
      </c>
      <c r="Q506" t="s">
        <v>60</v>
      </c>
      <c r="U506" t="s">
        <v>18</v>
      </c>
      <c r="V506">
        <v>1</v>
      </c>
    </row>
    <row r="507" spans="4:22" x14ac:dyDescent="0.45">
      <c r="D507" t="s">
        <v>787</v>
      </c>
      <c r="E507" t="s">
        <v>2119</v>
      </c>
      <c r="F507" t="s">
        <v>290</v>
      </c>
      <c r="G507" t="s">
        <v>2060</v>
      </c>
      <c r="H507" t="s">
        <v>19</v>
      </c>
      <c r="I507" t="s">
        <v>158</v>
      </c>
      <c r="J507" t="s">
        <v>67</v>
      </c>
      <c r="K507" t="s">
        <v>159</v>
      </c>
      <c r="M507" t="s">
        <v>26</v>
      </c>
      <c r="P507" t="s">
        <v>26</v>
      </c>
      <c r="Q507" t="s">
        <v>60</v>
      </c>
      <c r="U507" t="s">
        <v>18</v>
      </c>
      <c r="V507">
        <v>1</v>
      </c>
    </row>
    <row r="508" spans="4:22" x14ac:dyDescent="0.45">
      <c r="D508" t="s">
        <v>788</v>
      </c>
      <c r="E508" t="s">
        <v>2120</v>
      </c>
      <c r="F508" t="s">
        <v>290</v>
      </c>
      <c r="G508" t="s">
        <v>2060</v>
      </c>
      <c r="H508" t="s">
        <v>19</v>
      </c>
      <c r="I508" t="s">
        <v>158</v>
      </c>
      <c r="J508" t="s">
        <v>67</v>
      </c>
      <c r="K508" t="s">
        <v>159</v>
      </c>
      <c r="M508" t="s">
        <v>27</v>
      </c>
      <c r="P508" t="s">
        <v>27</v>
      </c>
      <c r="Q508" t="s">
        <v>60</v>
      </c>
      <c r="U508" t="s">
        <v>18</v>
      </c>
      <c r="V508">
        <v>1</v>
      </c>
    </row>
    <row r="509" spans="4:22" x14ac:dyDescent="0.45">
      <c r="D509" t="s">
        <v>789</v>
      </c>
      <c r="E509" t="s">
        <v>2121</v>
      </c>
      <c r="F509" t="s">
        <v>290</v>
      </c>
      <c r="G509" t="s">
        <v>2060</v>
      </c>
      <c r="H509" t="s">
        <v>19</v>
      </c>
      <c r="I509" t="s">
        <v>158</v>
      </c>
      <c r="J509" t="s">
        <v>67</v>
      </c>
      <c r="K509" t="s">
        <v>159</v>
      </c>
      <c r="M509" t="s">
        <v>164</v>
      </c>
      <c r="P509" t="s">
        <v>164</v>
      </c>
      <c r="Q509" t="s">
        <v>60</v>
      </c>
      <c r="U509" t="s">
        <v>18</v>
      </c>
      <c r="V509">
        <v>1</v>
      </c>
    </row>
    <row r="510" spans="4:22" x14ac:dyDescent="0.45">
      <c r="D510" t="s">
        <v>790</v>
      </c>
      <c r="E510" t="s">
        <v>2122</v>
      </c>
      <c r="F510" t="s">
        <v>290</v>
      </c>
      <c r="G510" t="s">
        <v>2123</v>
      </c>
      <c r="H510" t="s">
        <v>19</v>
      </c>
      <c r="I510" t="s">
        <v>158</v>
      </c>
      <c r="J510" t="s">
        <v>67</v>
      </c>
      <c r="K510" t="s">
        <v>159</v>
      </c>
      <c r="M510" t="s">
        <v>29</v>
      </c>
      <c r="P510" t="s">
        <v>29</v>
      </c>
      <c r="Q510" t="s">
        <v>60</v>
      </c>
      <c r="U510" t="s">
        <v>18</v>
      </c>
      <c r="V510">
        <v>2</v>
      </c>
    </row>
    <row r="511" spans="4:22" x14ac:dyDescent="0.45">
      <c r="D511" t="s">
        <v>791</v>
      </c>
      <c r="E511" t="s">
        <v>2124</v>
      </c>
      <c r="F511" t="s">
        <v>290</v>
      </c>
      <c r="G511" t="s">
        <v>2123</v>
      </c>
      <c r="H511" t="s">
        <v>19</v>
      </c>
      <c r="I511" t="s">
        <v>158</v>
      </c>
      <c r="J511" t="s">
        <v>67</v>
      </c>
      <c r="K511" t="s">
        <v>159</v>
      </c>
      <c r="M511" t="s">
        <v>165</v>
      </c>
      <c r="P511" t="s">
        <v>165</v>
      </c>
      <c r="Q511" t="s">
        <v>60</v>
      </c>
      <c r="U511" t="s">
        <v>18</v>
      </c>
      <c r="V511">
        <v>2</v>
      </c>
    </row>
    <row r="512" spans="4:22" x14ac:dyDescent="0.45">
      <c r="D512" t="s">
        <v>792</v>
      </c>
      <c r="E512" t="s">
        <v>2040</v>
      </c>
      <c r="F512" t="s">
        <v>290</v>
      </c>
      <c r="G512" t="s">
        <v>2125</v>
      </c>
      <c r="H512" t="s">
        <v>19</v>
      </c>
      <c r="I512" t="s">
        <v>158</v>
      </c>
      <c r="J512" t="s">
        <v>163</v>
      </c>
      <c r="K512" t="s">
        <v>159</v>
      </c>
      <c r="N512" t="s">
        <v>46</v>
      </c>
      <c r="P512" t="s">
        <v>46</v>
      </c>
      <c r="Q512" t="s">
        <v>61</v>
      </c>
      <c r="U512" t="s">
        <v>18</v>
      </c>
      <c r="V512">
        <v>2</v>
      </c>
    </row>
    <row r="513" spans="4:22" x14ac:dyDescent="0.45">
      <c r="D513" t="s">
        <v>793</v>
      </c>
      <c r="E513" t="s">
        <v>2126</v>
      </c>
      <c r="F513" t="s">
        <v>290</v>
      </c>
      <c r="G513" t="s">
        <v>2127</v>
      </c>
      <c r="H513" t="s">
        <v>19</v>
      </c>
      <c r="I513" t="s">
        <v>158</v>
      </c>
      <c r="J513" t="s">
        <v>67</v>
      </c>
      <c r="K513" t="s">
        <v>159</v>
      </c>
      <c r="M513" t="s">
        <v>26</v>
      </c>
      <c r="P513" t="s">
        <v>26</v>
      </c>
      <c r="Q513" t="s">
        <v>61</v>
      </c>
      <c r="U513" t="s">
        <v>18</v>
      </c>
      <c r="V513">
        <v>2</v>
      </c>
    </row>
    <row r="514" spans="4:22" x14ac:dyDescent="0.45">
      <c r="D514" t="s">
        <v>794</v>
      </c>
      <c r="E514" t="s">
        <v>2128</v>
      </c>
      <c r="F514" t="s">
        <v>290</v>
      </c>
      <c r="G514" t="s">
        <v>2127</v>
      </c>
      <c r="H514" t="s">
        <v>19</v>
      </c>
      <c r="I514" t="s">
        <v>158</v>
      </c>
      <c r="J514" t="s">
        <v>67</v>
      </c>
      <c r="K514" t="s">
        <v>159</v>
      </c>
      <c r="M514" t="s">
        <v>27</v>
      </c>
      <c r="P514" t="s">
        <v>27</v>
      </c>
      <c r="Q514" t="s">
        <v>61</v>
      </c>
      <c r="U514" t="s">
        <v>18</v>
      </c>
      <c r="V514">
        <v>2</v>
      </c>
    </row>
    <row r="515" spans="4:22" x14ac:dyDescent="0.45">
      <c r="D515" t="s">
        <v>795</v>
      </c>
      <c r="E515" t="s">
        <v>2129</v>
      </c>
      <c r="F515" t="s">
        <v>290</v>
      </c>
      <c r="G515" t="s">
        <v>2127</v>
      </c>
      <c r="H515" t="s">
        <v>19</v>
      </c>
      <c r="I515" t="s">
        <v>158</v>
      </c>
      <c r="J515" t="s">
        <v>67</v>
      </c>
      <c r="K515" t="s">
        <v>159</v>
      </c>
      <c r="M515" t="s">
        <v>164</v>
      </c>
      <c r="P515" t="s">
        <v>164</v>
      </c>
      <c r="Q515" t="s">
        <v>61</v>
      </c>
      <c r="U515" t="s">
        <v>18</v>
      </c>
      <c r="V515">
        <v>2</v>
      </c>
    </row>
    <row r="516" spans="4:22" x14ac:dyDescent="0.45">
      <c r="D516" t="s">
        <v>796</v>
      </c>
      <c r="E516" t="s">
        <v>2130</v>
      </c>
      <c r="F516" t="s">
        <v>290</v>
      </c>
      <c r="G516" t="s">
        <v>2127</v>
      </c>
      <c r="H516" t="s">
        <v>19</v>
      </c>
      <c r="I516" t="s">
        <v>158</v>
      </c>
      <c r="J516" t="s">
        <v>67</v>
      </c>
      <c r="K516" t="s">
        <v>159</v>
      </c>
      <c r="M516" t="s">
        <v>29</v>
      </c>
      <c r="P516" t="s">
        <v>29</v>
      </c>
      <c r="Q516" t="s">
        <v>61</v>
      </c>
      <c r="U516" t="s">
        <v>18</v>
      </c>
      <c r="V516">
        <v>2</v>
      </c>
    </row>
    <row r="517" spans="4:22" x14ac:dyDescent="0.45">
      <c r="D517" t="s">
        <v>797</v>
      </c>
      <c r="E517" t="s">
        <v>2131</v>
      </c>
      <c r="F517" t="s">
        <v>290</v>
      </c>
      <c r="G517" t="s">
        <v>2127</v>
      </c>
      <c r="H517" t="s">
        <v>19</v>
      </c>
      <c r="I517" t="s">
        <v>158</v>
      </c>
      <c r="J517" t="s">
        <v>67</v>
      </c>
      <c r="K517" t="s">
        <v>159</v>
      </c>
      <c r="M517" t="s">
        <v>165</v>
      </c>
      <c r="P517" t="s">
        <v>165</v>
      </c>
      <c r="Q517" t="s">
        <v>61</v>
      </c>
      <c r="U517" t="s">
        <v>18</v>
      </c>
      <c r="V517">
        <v>2</v>
      </c>
    </row>
    <row r="518" spans="4:22" x14ac:dyDescent="0.45">
      <c r="D518" t="s">
        <v>798</v>
      </c>
      <c r="E518" t="s">
        <v>2044</v>
      </c>
      <c r="F518" t="s">
        <v>290</v>
      </c>
      <c r="G518" t="s">
        <v>2132</v>
      </c>
      <c r="H518" t="s">
        <v>19</v>
      </c>
      <c r="I518" t="s">
        <v>158</v>
      </c>
      <c r="J518" t="s">
        <v>163</v>
      </c>
      <c r="K518" t="s">
        <v>159</v>
      </c>
      <c r="N518" t="s">
        <v>46</v>
      </c>
      <c r="P518" t="s">
        <v>46</v>
      </c>
      <c r="Q518" t="s">
        <v>63</v>
      </c>
      <c r="U518" t="s">
        <v>18</v>
      </c>
      <c r="V518">
        <v>2</v>
      </c>
    </row>
    <row r="519" spans="4:22" x14ac:dyDescent="0.45">
      <c r="D519" t="s">
        <v>799</v>
      </c>
      <c r="E519" t="s">
        <v>2133</v>
      </c>
      <c r="F519" t="s">
        <v>290</v>
      </c>
      <c r="G519" t="s">
        <v>2134</v>
      </c>
      <c r="H519" t="s">
        <v>19</v>
      </c>
      <c r="I519" t="s">
        <v>158</v>
      </c>
      <c r="J519" t="s">
        <v>67</v>
      </c>
      <c r="K519" t="s">
        <v>159</v>
      </c>
      <c r="M519" t="s">
        <v>26</v>
      </c>
      <c r="P519" t="s">
        <v>26</v>
      </c>
      <c r="Q519" t="s">
        <v>63</v>
      </c>
      <c r="U519" t="s">
        <v>18</v>
      </c>
      <c r="V519">
        <v>2</v>
      </c>
    </row>
    <row r="520" spans="4:22" x14ac:dyDescent="0.45">
      <c r="D520" t="s">
        <v>800</v>
      </c>
      <c r="E520" t="s">
        <v>2135</v>
      </c>
      <c r="F520" t="s">
        <v>290</v>
      </c>
      <c r="G520" t="s">
        <v>2134</v>
      </c>
      <c r="H520" t="s">
        <v>19</v>
      </c>
      <c r="I520" t="s">
        <v>158</v>
      </c>
      <c r="J520" t="s">
        <v>67</v>
      </c>
      <c r="K520" t="s">
        <v>159</v>
      </c>
      <c r="M520" t="s">
        <v>27</v>
      </c>
      <c r="P520" t="s">
        <v>27</v>
      </c>
      <c r="Q520" t="s">
        <v>63</v>
      </c>
      <c r="U520" t="s">
        <v>18</v>
      </c>
      <c r="V520">
        <v>2</v>
      </c>
    </row>
    <row r="521" spans="4:22" x14ac:dyDescent="0.45">
      <c r="D521" t="s">
        <v>801</v>
      </c>
      <c r="E521" t="s">
        <v>2136</v>
      </c>
      <c r="F521" t="s">
        <v>290</v>
      </c>
      <c r="G521" t="s">
        <v>2134</v>
      </c>
      <c r="H521" t="s">
        <v>19</v>
      </c>
      <c r="I521" t="s">
        <v>158</v>
      </c>
      <c r="J521" t="s">
        <v>67</v>
      </c>
      <c r="K521" t="s">
        <v>159</v>
      </c>
      <c r="M521" t="s">
        <v>164</v>
      </c>
      <c r="P521" t="s">
        <v>164</v>
      </c>
      <c r="Q521" t="s">
        <v>63</v>
      </c>
      <c r="U521" t="s">
        <v>18</v>
      </c>
      <c r="V521">
        <v>2</v>
      </c>
    </row>
    <row r="522" spans="4:22" x14ac:dyDescent="0.45">
      <c r="D522" t="s">
        <v>802</v>
      </c>
      <c r="E522" t="s">
        <v>2137</v>
      </c>
      <c r="F522" t="s">
        <v>290</v>
      </c>
      <c r="G522" t="s">
        <v>2134</v>
      </c>
      <c r="H522" t="s">
        <v>19</v>
      </c>
      <c r="I522" t="s">
        <v>158</v>
      </c>
      <c r="J522" t="s">
        <v>67</v>
      </c>
      <c r="K522" t="s">
        <v>159</v>
      </c>
      <c r="M522" t="s">
        <v>29</v>
      </c>
      <c r="P522" t="s">
        <v>29</v>
      </c>
      <c r="Q522" t="s">
        <v>63</v>
      </c>
      <c r="U522" t="s">
        <v>18</v>
      </c>
      <c r="V522">
        <v>2</v>
      </c>
    </row>
    <row r="523" spans="4:22" x14ac:dyDescent="0.45">
      <c r="D523" t="s">
        <v>803</v>
      </c>
      <c r="E523" t="s">
        <v>2138</v>
      </c>
      <c r="F523" t="s">
        <v>290</v>
      </c>
      <c r="G523" t="s">
        <v>2134</v>
      </c>
      <c r="H523" t="s">
        <v>19</v>
      </c>
      <c r="I523" t="s">
        <v>158</v>
      </c>
      <c r="J523" t="s">
        <v>67</v>
      </c>
      <c r="K523" t="s">
        <v>159</v>
      </c>
      <c r="M523" t="s">
        <v>165</v>
      </c>
      <c r="P523" t="s">
        <v>165</v>
      </c>
      <c r="Q523" t="s">
        <v>63</v>
      </c>
      <c r="U523" t="s">
        <v>18</v>
      </c>
      <c r="V523">
        <v>2</v>
      </c>
    </row>
    <row r="524" spans="4:22" x14ac:dyDescent="0.45">
      <c r="D524" t="s">
        <v>804</v>
      </c>
      <c r="E524" t="s">
        <v>2046</v>
      </c>
      <c r="F524" t="s">
        <v>290</v>
      </c>
      <c r="G524" t="s">
        <v>2139</v>
      </c>
      <c r="H524" t="s">
        <v>19</v>
      </c>
      <c r="I524" t="s">
        <v>158</v>
      </c>
      <c r="J524" t="s">
        <v>163</v>
      </c>
      <c r="K524" t="s">
        <v>159</v>
      </c>
      <c r="N524" t="s">
        <v>46</v>
      </c>
      <c r="P524" t="s">
        <v>46</v>
      </c>
      <c r="Q524" t="s">
        <v>64</v>
      </c>
      <c r="U524" t="s">
        <v>18</v>
      </c>
      <c r="V524">
        <v>2</v>
      </c>
    </row>
    <row r="525" spans="4:22" x14ac:dyDescent="0.45">
      <c r="D525" t="s">
        <v>805</v>
      </c>
      <c r="E525" t="s">
        <v>2140</v>
      </c>
      <c r="F525" t="s">
        <v>290</v>
      </c>
      <c r="G525" t="s">
        <v>2141</v>
      </c>
      <c r="H525" t="s">
        <v>19</v>
      </c>
      <c r="I525" t="s">
        <v>158</v>
      </c>
      <c r="J525" t="s">
        <v>67</v>
      </c>
      <c r="K525" t="s">
        <v>159</v>
      </c>
      <c r="M525" t="s">
        <v>26</v>
      </c>
      <c r="P525" t="s">
        <v>26</v>
      </c>
      <c r="Q525" t="s">
        <v>64</v>
      </c>
      <c r="U525" t="s">
        <v>18</v>
      </c>
      <c r="V525">
        <v>2</v>
      </c>
    </row>
    <row r="526" spans="4:22" x14ac:dyDescent="0.45">
      <c r="D526" t="s">
        <v>806</v>
      </c>
      <c r="E526" t="s">
        <v>2142</v>
      </c>
      <c r="F526" t="s">
        <v>290</v>
      </c>
      <c r="G526" t="s">
        <v>2141</v>
      </c>
      <c r="H526" t="s">
        <v>19</v>
      </c>
      <c r="I526" t="s">
        <v>158</v>
      </c>
      <c r="J526" t="s">
        <v>67</v>
      </c>
      <c r="K526" t="s">
        <v>159</v>
      </c>
      <c r="M526" t="s">
        <v>27</v>
      </c>
      <c r="P526" t="s">
        <v>27</v>
      </c>
      <c r="Q526" t="s">
        <v>64</v>
      </c>
      <c r="U526" t="s">
        <v>18</v>
      </c>
      <c r="V526">
        <v>2</v>
      </c>
    </row>
    <row r="527" spans="4:22" x14ac:dyDescent="0.45">
      <c r="D527" t="s">
        <v>807</v>
      </c>
      <c r="E527" t="s">
        <v>2143</v>
      </c>
      <c r="F527" t="s">
        <v>290</v>
      </c>
      <c r="G527" t="s">
        <v>2141</v>
      </c>
      <c r="H527" t="s">
        <v>19</v>
      </c>
      <c r="I527" t="s">
        <v>158</v>
      </c>
      <c r="J527" t="s">
        <v>67</v>
      </c>
      <c r="K527" t="s">
        <v>159</v>
      </c>
      <c r="M527" t="s">
        <v>164</v>
      </c>
      <c r="P527" t="s">
        <v>164</v>
      </c>
      <c r="Q527" t="s">
        <v>64</v>
      </c>
      <c r="U527" t="s">
        <v>18</v>
      </c>
      <c r="V527">
        <v>2</v>
      </c>
    </row>
    <row r="528" spans="4:22" x14ac:dyDescent="0.45">
      <c r="D528" t="s">
        <v>808</v>
      </c>
      <c r="E528" t="s">
        <v>2144</v>
      </c>
      <c r="F528" t="s">
        <v>290</v>
      </c>
      <c r="G528" t="s">
        <v>2141</v>
      </c>
      <c r="H528" t="s">
        <v>19</v>
      </c>
      <c r="I528" t="s">
        <v>158</v>
      </c>
      <c r="J528" t="s">
        <v>67</v>
      </c>
      <c r="K528" t="s">
        <v>159</v>
      </c>
      <c r="M528" t="s">
        <v>29</v>
      </c>
      <c r="P528" t="s">
        <v>29</v>
      </c>
      <c r="Q528" t="s">
        <v>64</v>
      </c>
      <c r="U528" t="s">
        <v>18</v>
      </c>
      <c r="V528">
        <v>2</v>
      </c>
    </row>
    <row r="529" spans="4:22" x14ac:dyDescent="0.45">
      <c r="D529" t="s">
        <v>809</v>
      </c>
      <c r="E529" t="s">
        <v>2145</v>
      </c>
      <c r="F529" t="s">
        <v>290</v>
      </c>
      <c r="G529" t="s">
        <v>2141</v>
      </c>
      <c r="H529" t="s">
        <v>19</v>
      </c>
      <c r="I529" t="s">
        <v>158</v>
      </c>
      <c r="J529" t="s">
        <v>67</v>
      </c>
      <c r="K529" t="s">
        <v>159</v>
      </c>
      <c r="M529" t="s">
        <v>165</v>
      </c>
      <c r="P529" t="s">
        <v>165</v>
      </c>
      <c r="Q529" t="s">
        <v>64</v>
      </c>
      <c r="U529" t="s">
        <v>18</v>
      </c>
      <c r="V529">
        <v>2</v>
      </c>
    </row>
    <row r="530" spans="4:22" x14ac:dyDescent="0.45">
      <c r="D530" t="s">
        <v>810</v>
      </c>
      <c r="E530" t="s">
        <v>2048</v>
      </c>
      <c r="F530" t="s">
        <v>290</v>
      </c>
      <c r="G530" t="s">
        <v>2146</v>
      </c>
      <c r="H530" t="s">
        <v>19</v>
      </c>
      <c r="I530" t="s">
        <v>158</v>
      </c>
      <c r="J530" t="s">
        <v>163</v>
      </c>
      <c r="K530" t="s">
        <v>159</v>
      </c>
      <c r="N530" t="s">
        <v>46</v>
      </c>
      <c r="P530" t="s">
        <v>46</v>
      </c>
      <c r="Q530" t="s">
        <v>65</v>
      </c>
      <c r="U530" t="s">
        <v>18</v>
      </c>
      <c r="V530">
        <v>2</v>
      </c>
    </row>
    <row r="531" spans="4:22" x14ac:dyDescent="0.45">
      <c r="D531" t="s">
        <v>811</v>
      </c>
      <c r="E531" t="s">
        <v>2147</v>
      </c>
      <c r="F531" t="s">
        <v>290</v>
      </c>
      <c r="G531" t="s">
        <v>2148</v>
      </c>
      <c r="H531" t="s">
        <v>19</v>
      </c>
      <c r="I531" t="s">
        <v>158</v>
      </c>
      <c r="J531" t="s">
        <v>67</v>
      </c>
      <c r="K531" t="s">
        <v>159</v>
      </c>
      <c r="M531" t="s">
        <v>26</v>
      </c>
      <c r="P531" t="s">
        <v>26</v>
      </c>
      <c r="Q531" t="s">
        <v>65</v>
      </c>
      <c r="U531" t="s">
        <v>18</v>
      </c>
      <c r="V531">
        <v>2</v>
      </c>
    </row>
    <row r="532" spans="4:22" x14ac:dyDescent="0.45">
      <c r="D532" t="s">
        <v>812</v>
      </c>
      <c r="E532" t="s">
        <v>2149</v>
      </c>
      <c r="F532" t="s">
        <v>290</v>
      </c>
      <c r="G532" t="s">
        <v>2148</v>
      </c>
      <c r="H532" t="s">
        <v>19</v>
      </c>
      <c r="I532" t="s">
        <v>158</v>
      </c>
      <c r="J532" t="s">
        <v>67</v>
      </c>
      <c r="K532" t="s">
        <v>159</v>
      </c>
      <c r="M532" t="s">
        <v>27</v>
      </c>
      <c r="P532" t="s">
        <v>27</v>
      </c>
      <c r="Q532" t="s">
        <v>65</v>
      </c>
      <c r="U532" t="s">
        <v>18</v>
      </c>
      <c r="V532">
        <v>2</v>
      </c>
    </row>
    <row r="533" spans="4:22" x14ac:dyDescent="0.45">
      <c r="D533" t="s">
        <v>813</v>
      </c>
      <c r="E533" t="s">
        <v>2150</v>
      </c>
      <c r="F533" t="s">
        <v>290</v>
      </c>
      <c r="G533" t="s">
        <v>2148</v>
      </c>
      <c r="H533" t="s">
        <v>19</v>
      </c>
      <c r="I533" t="s">
        <v>158</v>
      </c>
      <c r="J533" t="s">
        <v>67</v>
      </c>
      <c r="K533" t="s">
        <v>159</v>
      </c>
      <c r="M533" t="s">
        <v>164</v>
      </c>
      <c r="P533" t="s">
        <v>164</v>
      </c>
      <c r="Q533" t="s">
        <v>65</v>
      </c>
      <c r="U533" t="s">
        <v>18</v>
      </c>
      <c r="V533">
        <v>2</v>
      </c>
    </row>
    <row r="534" spans="4:22" x14ac:dyDescent="0.45">
      <c r="D534" t="s">
        <v>814</v>
      </c>
      <c r="E534" t="s">
        <v>2151</v>
      </c>
      <c r="F534" t="s">
        <v>290</v>
      </c>
      <c r="G534" t="s">
        <v>2148</v>
      </c>
      <c r="H534" t="s">
        <v>19</v>
      </c>
      <c r="I534" t="s">
        <v>158</v>
      </c>
      <c r="J534" t="s">
        <v>67</v>
      </c>
      <c r="K534" t="s">
        <v>159</v>
      </c>
      <c r="M534" t="s">
        <v>29</v>
      </c>
      <c r="P534" t="s">
        <v>29</v>
      </c>
      <c r="Q534" t="s">
        <v>65</v>
      </c>
      <c r="U534" t="s">
        <v>18</v>
      </c>
      <c r="V534">
        <v>2</v>
      </c>
    </row>
    <row r="535" spans="4:22" x14ac:dyDescent="0.45">
      <c r="D535" t="s">
        <v>815</v>
      </c>
      <c r="E535" t="s">
        <v>2152</v>
      </c>
      <c r="F535" t="s">
        <v>290</v>
      </c>
      <c r="G535" t="s">
        <v>2148</v>
      </c>
      <c r="H535" t="s">
        <v>19</v>
      </c>
      <c r="I535" t="s">
        <v>158</v>
      </c>
      <c r="J535" t="s">
        <v>67</v>
      </c>
      <c r="K535" t="s">
        <v>159</v>
      </c>
      <c r="M535" t="s">
        <v>165</v>
      </c>
      <c r="P535" t="s">
        <v>165</v>
      </c>
      <c r="Q535" t="s">
        <v>65</v>
      </c>
      <c r="U535" t="s">
        <v>18</v>
      </c>
      <c r="V535">
        <v>2</v>
      </c>
    </row>
    <row r="536" spans="4:22" x14ac:dyDescent="0.45">
      <c r="D536" t="s">
        <v>816</v>
      </c>
      <c r="E536" t="s">
        <v>2050</v>
      </c>
      <c r="F536" t="s">
        <v>290</v>
      </c>
      <c r="G536" t="s">
        <v>2153</v>
      </c>
      <c r="H536" t="s">
        <v>19</v>
      </c>
      <c r="I536" t="s">
        <v>158</v>
      </c>
      <c r="J536" t="s">
        <v>163</v>
      </c>
      <c r="K536" t="s">
        <v>159</v>
      </c>
      <c r="N536" t="s">
        <v>46</v>
      </c>
      <c r="P536" t="s">
        <v>46</v>
      </c>
      <c r="Q536" t="s">
        <v>66</v>
      </c>
      <c r="U536" t="s">
        <v>18</v>
      </c>
      <c r="V536">
        <v>2</v>
      </c>
    </row>
    <row r="537" spans="4:22" x14ac:dyDescent="0.45">
      <c r="D537" t="s">
        <v>817</v>
      </c>
      <c r="E537" t="s">
        <v>2154</v>
      </c>
      <c r="F537" t="s">
        <v>290</v>
      </c>
      <c r="G537" t="s">
        <v>2155</v>
      </c>
      <c r="H537" t="s">
        <v>19</v>
      </c>
      <c r="I537" t="s">
        <v>158</v>
      </c>
      <c r="J537" t="s">
        <v>67</v>
      </c>
      <c r="K537" t="s">
        <v>159</v>
      </c>
      <c r="M537" t="s">
        <v>26</v>
      </c>
      <c r="P537" t="s">
        <v>26</v>
      </c>
      <c r="Q537" t="s">
        <v>66</v>
      </c>
      <c r="U537" t="s">
        <v>18</v>
      </c>
      <c r="V537">
        <v>2</v>
      </c>
    </row>
    <row r="538" spans="4:22" x14ac:dyDescent="0.45">
      <c r="D538" t="s">
        <v>818</v>
      </c>
      <c r="E538" t="s">
        <v>2156</v>
      </c>
      <c r="F538" t="s">
        <v>290</v>
      </c>
      <c r="G538" t="s">
        <v>2155</v>
      </c>
      <c r="H538" t="s">
        <v>19</v>
      </c>
      <c r="I538" t="s">
        <v>158</v>
      </c>
      <c r="J538" t="s">
        <v>67</v>
      </c>
      <c r="K538" t="s">
        <v>159</v>
      </c>
      <c r="M538" t="s">
        <v>27</v>
      </c>
      <c r="P538" t="s">
        <v>27</v>
      </c>
      <c r="Q538" t="s">
        <v>66</v>
      </c>
      <c r="U538" t="s">
        <v>18</v>
      </c>
      <c r="V538">
        <v>2</v>
      </c>
    </row>
    <row r="539" spans="4:22" x14ac:dyDescent="0.45">
      <c r="D539" t="s">
        <v>819</v>
      </c>
      <c r="E539" t="s">
        <v>2157</v>
      </c>
      <c r="F539" t="s">
        <v>290</v>
      </c>
      <c r="G539" t="s">
        <v>2155</v>
      </c>
      <c r="H539" t="s">
        <v>19</v>
      </c>
      <c r="I539" t="s">
        <v>158</v>
      </c>
      <c r="J539" t="s">
        <v>67</v>
      </c>
      <c r="K539" t="s">
        <v>159</v>
      </c>
      <c r="M539" t="s">
        <v>164</v>
      </c>
      <c r="P539" t="s">
        <v>164</v>
      </c>
      <c r="Q539" t="s">
        <v>66</v>
      </c>
      <c r="U539" t="s">
        <v>18</v>
      </c>
      <c r="V539">
        <v>2</v>
      </c>
    </row>
    <row r="540" spans="4:22" x14ac:dyDescent="0.45">
      <c r="D540" t="s">
        <v>820</v>
      </c>
      <c r="E540" t="s">
        <v>2158</v>
      </c>
      <c r="F540" t="s">
        <v>290</v>
      </c>
      <c r="G540" t="s">
        <v>2155</v>
      </c>
      <c r="H540" t="s">
        <v>19</v>
      </c>
      <c r="I540" t="s">
        <v>158</v>
      </c>
      <c r="J540" t="s">
        <v>67</v>
      </c>
      <c r="K540" t="s">
        <v>159</v>
      </c>
      <c r="M540" t="s">
        <v>29</v>
      </c>
      <c r="P540" t="s">
        <v>29</v>
      </c>
      <c r="Q540" t="s">
        <v>66</v>
      </c>
      <c r="U540" t="s">
        <v>18</v>
      </c>
      <c r="V540">
        <v>2</v>
      </c>
    </row>
    <row r="541" spans="4:22" x14ac:dyDescent="0.45">
      <c r="D541" t="s">
        <v>821</v>
      </c>
      <c r="E541" t="s">
        <v>2159</v>
      </c>
      <c r="F541" t="s">
        <v>290</v>
      </c>
      <c r="G541" t="s">
        <v>2155</v>
      </c>
      <c r="H541" t="s">
        <v>19</v>
      </c>
      <c r="I541" t="s">
        <v>158</v>
      </c>
      <c r="J541" t="s">
        <v>67</v>
      </c>
      <c r="K541" t="s">
        <v>159</v>
      </c>
      <c r="M541" t="s">
        <v>165</v>
      </c>
      <c r="P541" t="s">
        <v>165</v>
      </c>
      <c r="Q541" t="s">
        <v>66</v>
      </c>
      <c r="U541" t="s">
        <v>18</v>
      </c>
      <c r="V541">
        <v>2</v>
      </c>
    </row>
    <row r="542" spans="4:22" x14ac:dyDescent="0.45">
      <c r="D542" t="s">
        <v>822</v>
      </c>
      <c r="E542" t="s">
        <v>2042</v>
      </c>
      <c r="F542" t="s">
        <v>290</v>
      </c>
      <c r="G542" t="s">
        <v>2160</v>
      </c>
      <c r="H542" t="s">
        <v>19</v>
      </c>
      <c r="I542" t="s">
        <v>158</v>
      </c>
      <c r="J542" t="s">
        <v>163</v>
      </c>
      <c r="K542" t="s">
        <v>159</v>
      </c>
      <c r="N542" t="s">
        <v>46</v>
      </c>
      <c r="P542" t="s">
        <v>46</v>
      </c>
      <c r="Q542" t="s">
        <v>113</v>
      </c>
      <c r="U542" t="s">
        <v>18</v>
      </c>
      <c r="V542">
        <v>2</v>
      </c>
    </row>
    <row r="543" spans="4:22" x14ac:dyDescent="0.45">
      <c r="D543" t="s">
        <v>823</v>
      </c>
      <c r="E543" t="s">
        <v>2161</v>
      </c>
      <c r="F543" t="s">
        <v>290</v>
      </c>
      <c r="G543" t="s">
        <v>2162</v>
      </c>
      <c r="H543" t="s">
        <v>19</v>
      </c>
      <c r="I543" t="s">
        <v>158</v>
      </c>
      <c r="J543" t="s">
        <v>67</v>
      </c>
      <c r="K543" t="s">
        <v>159</v>
      </c>
      <c r="M543" t="s">
        <v>26</v>
      </c>
      <c r="P543" t="s">
        <v>26</v>
      </c>
      <c r="Q543" t="s">
        <v>113</v>
      </c>
      <c r="U543" t="s">
        <v>18</v>
      </c>
      <c r="V543">
        <v>2</v>
      </c>
    </row>
    <row r="544" spans="4:22" x14ac:dyDescent="0.45">
      <c r="D544" t="s">
        <v>824</v>
      </c>
      <c r="E544" t="s">
        <v>2163</v>
      </c>
      <c r="F544" t="s">
        <v>290</v>
      </c>
      <c r="G544" t="s">
        <v>2162</v>
      </c>
      <c r="H544" t="s">
        <v>19</v>
      </c>
      <c r="I544" t="s">
        <v>158</v>
      </c>
      <c r="J544" t="s">
        <v>67</v>
      </c>
      <c r="K544" t="s">
        <v>159</v>
      </c>
      <c r="M544" t="s">
        <v>27</v>
      </c>
      <c r="P544" t="s">
        <v>27</v>
      </c>
      <c r="Q544" t="s">
        <v>113</v>
      </c>
      <c r="U544" t="s">
        <v>18</v>
      </c>
      <c r="V544">
        <v>2</v>
      </c>
    </row>
    <row r="545" spans="4:22" x14ac:dyDescent="0.45">
      <c r="D545" t="s">
        <v>825</v>
      </c>
      <c r="E545" t="s">
        <v>2164</v>
      </c>
      <c r="F545" t="s">
        <v>290</v>
      </c>
      <c r="G545" t="s">
        <v>2162</v>
      </c>
      <c r="H545" t="s">
        <v>19</v>
      </c>
      <c r="I545" t="s">
        <v>158</v>
      </c>
      <c r="J545" t="s">
        <v>67</v>
      </c>
      <c r="K545" t="s">
        <v>159</v>
      </c>
      <c r="M545" t="s">
        <v>164</v>
      </c>
      <c r="P545" t="s">
        <v>164</v>
      </c>
      <c r="Q545" t="s">
        <v>113</v>
      </c>
      <c r="U545" t="s">
        <v>18</v>
      </c>
      <c r="V545">
        <v>2</v>
      </c>
    </row>
    <row r="546" spans="4:22" x14ac:dyDescent="0.45">
      <c r="D546" t="s">
        <v>826</v>
      </c>
      <c r="E546" t="s">
        <v>2165</v>
      </c>
      <c r="F546" t="s">
        <v>290</v>
      </c>
      <c r="G546" t="s">
        <v>2162</v>
      </c>
      <c r="H546" t="s">
        <v>19</v>
      </c>
      <c r="I546" t="s">
        <v>158</v>
      </c>
      <c r="J546" t="s">
        <v>67</v>
      </c>
      <c r="K546" t="s">
        <v>159</v>
      </c>
      <c r="M546" t="s">
        <v>29</v>
      </c>
      <c r="P546" t="s">
        <v>29</v>
      </c>
      <c r="Q546" t="s">
        <v>113</v>
      </c>
      <c r="U546" t="s">
        <v>18</v>
      </c>
      <c r="V546">
        <v>2</v>
      </c>
    </row>
    <row r="547" spans="4:22" x14ac:dyDescent="0.45">
      <c r="D547" t="s">
        <v>827</v>
      </c>
      <c r="E547" t="s">
        <v>2166</v>
      </c>
      <c r="F547" t="s">
        <v>290</v>
      </c>
      <c r="G547" t="s">
        <v>2162</v>
      </c>
      <c r="H547" t="s">
        <v>19</v>
      </c>
      <c r="I547" t="s">
        <v>158</v>
      </c>
      <c r="J547" t="s">
        <v>67</v>
      </c>
      <c r="K547" t="s">
        <v>159</v>
      </c>
      <c r="M547" t="s">
        <v>165</v>
      </c>
      <c r="P547" t="s">
        <v>165</v>
      </c>
      <c r="Q547" t="s">
        <v>113</v>
      </c>
      <c r="U547" t="s">
        <v>18</v>
      </c>
      <c r="V547">
        <v>2</v>
      </c>
    </row>
    <row r="548" spans="4:22" x14ac:dyDescent="0.45">
      <c r="D548" t="s">
        <v>828</v>
      </c>
      <c r="E548" t="s">
        <v>2167</v>
      </c>
      <c r="F548" t="s">
        <v>290</v>
      </c>
      <c r="G548" t="s">
        <v>2037</v>
      </c>
      <c r="H548" t="s">
        <v>19</v>
      </c>
      <c r="I548" t="s">
        <v>158</v>
      </c>
      <c r="J548" t="s">
        <v>46</v>
      </c>
      <c r="K548" t="s">
        <v>159</v>
      </c>
      <c r="N548" t="s">
        <v>46</v>
      </c>
      <c r="P548" t="s">
        <v>46</v>
      </c>
      <c r="Q548" t="s">
        <v>37</v>
      </c>
      <c r="U548" t="s">
        <v>18</v>
      </c>
      <c r="V548">
        <v>2</v>
      </c>
    </row>
    <row r="549" spans="4:22" x14ac:dyDescent="0.45">
      <c r="D549" t="s">
        <v>829</v>
      </c>
      <c r="E549" t="s">
        <v>2056</v>
      </c>
      <c r="F549" t="s">
        <v>290</v>
      </c>
      <c r="G549" t="s">
        <v>2168</v>
      </c>
      <c r="H549" t="s">
        <v>19</v>
      </c>
      <c r="I549" t="s">
        <v>158</v>
      </c>
      <c r="J549" t="s">
        <v>163</v>
      </c>
      <c r="K549" t="s">
        <v>159</v>
      </c>
      <c r="M549" t="s">
        <v>26</v>
      </c>
      <c r="P549" t="s">
        <v>26</v>
      </c>
      <c r="Q549" t="s">
        <v>162</v>
      </c>
      <c r="U549" t="s">
        <v>18</v>
      </c>
      <c r="V549">
        <v>2</v>
      </c>
    </row>
    <row r="550" spans="4:22" x14ac:dyDescent="0.45">
      <c r="D550" t="s">
        <v>830</v>
      </c>
      <c r="E550" t="s">
        <v>2169</v>
      </c>
      <c r="F550" t="s">
        <v>290</v>
      </c>
      <c r="G550" t="s">
        <v>2170</v>
      </c>
      <c r="H550" t="s">
        <v>19</v>
      </c>
      <c r="I550" t="s">
        <v>158</v>
      </c>
      <c r="J550" t="s">
        <v>67</v>
      </c>
      <c r="K550" t="s">
        <v>159</v>
      </c>
      <c r="M550" t="s">
        <v>27</v>
      </c>
      <c r="P550" t="s">
        <v>27</v>
      </c>
      <c r="Q550" t="s">
        <v>162</v>
      </c>
      <c r="U550" t="s">
        <v>18</v>
      </c>
      <c r="V550">
        <v>2</v>
      </c>
    </row>
    <row r="551" spans="4:22" x14ac:dyDescent="0.45">
      <c r="D551" t="s">
        <v>831</v>
      </c>
      <c r="E551" t="s">
        <v>2171</v>
      </c>
      <c r="F551" t="s">
        <v>290</v>
      </c>
      <c r="G551" t="s">
        <v>2170</v>
      </c>
      <c r="H551" t="s">
        <v>19</v>
      </c>
      <c r="I551" t="s">
        <v>158</v>
      </c>
      <c r="J551" t="s">
        <v>67</v>
      </c>
      <c r="K551" t="s">
        <v>159</v>
      </c>
      <c r="M551" t="s">
        <v>164</v>
      </c>
      <c r="P551" t="s">
        <v>164</v>
      </c>
      <c r="Q551" t="s">
        <v>162</v>
      </c>
      <c r="U551" t="s">
        <v>18</v>
      </c>
      <c r="V551">
        <v>2</v>
      </c>
    </row>
    <row r="552" spans="4:22" x14ac:dyDescent="0.45">
      <c r="D552" t="s">
        <v>832</v>
      </c>
      <c r="E552" t="s">
        <v>2172</v>
      </c>
      <c r="F552" t="s">
        <v>290</v>
      </c>
      <c r="G552" t="s">
        <v>2170</v>
      </c>
      <c r="H552" t="s">
        <v>19</v>
      </c>
      <c r="I552" t="s">
        <v>158</v>
      </c>
      <c r="J552" t="s">
        <v>67</v>
      </c>
      <c r="K552" t="s">
        <v>159</v>
      </c>
      <c r="M552" t="s">
        <v>29</v>
      </c>
      <c r="P552" t="s">
        <v>29</v>
      </c>
      <c r="Q552" t="s">
        <v>162</v>
      </c>
      <c r="U552" t="s">
        <v>18</v>
      </c>
      <c r="V552">
        <v>2</v>
      </c>
    </row>
    <row r="553" spans="4:22" x14ac:dyDescent="0.45">
      <c r="D553" t="s">
        <v>833</v>
      </c>
      <c r="E553" t="s">
        <v>2173</v>
      </c>
      <c r="F553" t="s">
        <v>290</v>
      </c>
      <c r="G553" t="s">
        <v>2170</v>
      </c>
      <c r="H553" t="s">
        <v>19</v>
      </c>
      <c r="I553" t="s">
        <v>158</v>
      </c>
      <c r="J553" t="s">
        <v>67</v>
      </c>
      <c r="K553" t="s">
        <v>159</v>
      </c>
      <c r="M553" t="s">
        <v>165</v>
      </c>
      <c r="P553" t="s">
        <v>165</v>
      </c>
      <c r="Q553" t="s">
        <v>162</v>
      </c>
      <c r="U553" t="s">
        <v>18</v>
      </c>
      <c r="V553">
        <v>2</v>
      </c>
    </row>
    <row r="554" spans="4:22" x14ac:dyDescent="0.45">
      <c r="D554" t="s">
        <v>834</v>
      </c>
      <c r="E554" t="s">
        <v>2174</v>
      </c>
      <c r="F554" t="s">
        <v>290</v>
      </c>
      <c r="G554" t="s">
        <v>2170</v>
      </c>
      <c r="H554" t="s">
        <v>19</v>
      </c>
      <c r="I554" t="s">
        <v>158</v>
      </c>
      <c r="J554" t="s">
        <v>67</v>
      </c>
      <c r="K554" t="s">
        <v>159</v>
      </c>
      <c r="N554" t="s">
        <v>46</v>
      </c>
      <c r="P554" t="s">
        <v>46</v>
      </c>
      <c r="Q554" t="s">
        <v>162</v>
      </c>
      <c r="U554" t="s">
        <v>18</v>
      </c>
      <c r="V554">
        <v>2</v>
      </c>
    </row>
    <row r="555" spans="4:22" x14ac:dyDescent="0.45">
      <c r="D555" t="s">
        <v>835</v>
      </c>
      <c r="E555" t="s">
        <v>2036</v>
      </c>
      <c r="F555" t="s">
        <v>290</v>
      </c>
      <c r="G555" t="s">
        <v>2175</v>
      </c>
      <c r="H555" t="s">
        <v>19</v>
      </c>
      <c r="I555" t="s">
        <v>158</v>
      </c>
      <c r="J555" t="s">
        <v>59</v>
      </c>
      <c r="K555" t="s">
        <v>159</v>
      </c>
      <c r="N555" t="s">
        <v>37</v>
      </c>
      <c r="P555" t="s">
        <v>37</v>
      </c>
      <c r="Q555" t="s">
        <v>46</v>
      </c>
      <c r="U555" t="s">
        <v>18</v>
      </c>
      <c r="V555">
        <v>2</v>
      </c>
    </row>
    <row r="556" spans="4:22" x14ac:dyDescent="0.45">
      <c r="D556" t="s">
        <v>836</v>
      </c>
      <c r="E556" t="s">
        <v>2038</v>
      </c>
      <c r="F556" t="s">
        <v>290</v>
      </c>
      <c r="G556" t="s">
        <v>2039</v>
      </c>
      <c r="H556" t="s">
        <v>19</v>
      </c>
      <c r="I556" t="s">
        <v>158</v>
      </c>
      <c r="J556" t="s">
        <v>59</v>
      </c>
      <c r="K556" t="s">
        <v>159</v>
      </c>
      <c r="N556" t="s">
        <v>37</v>
      </c>
      <c r="P556" t="s">
        <v>37</v>
      </c>
      <c r="Q556" t="s">
        <v>60</v>
      </c>
      <c r="U556" t="s">
        <v>18</v>
      </c>
      <c r="V556">
        <v>2</v>
      </c>
    </row>
    <row r="557" spans="4:22" x14ac:dyDescent="0.45">
      <c r="D557" t="s">
        <v>837</v>
      </c>
      <c r="E557" t="s">
        <v>2040</v>
      </c>
      <c r="F557" t="s">
        <v>290</v>
      </c>
      <c r="G557" t="s">
        <v>2041</v>
      </c>
      <c r="H557" t="s">
        <v>19</v>
      </c>
      <c r="I557" t="s">
        <v>158</v>
      </c>
      <c r="J557" t="s">
        <v>59</v>
      </c>
      <c r="K557" t="s">
        <v>159</v>
      </c>
      <c r="N557" t="s">
        <v>37</v>
      </c>
      <c r="P557" t="s">
        <v>37</v>
      </c>
      <c r="Q557" t="s">
        <v>61</v>
      </c>
      <c r="U557" t="s">
        <v>18</v>
      </c>
      <c r="V557">
        <v>2</v>
      </c>
    </row>
    <row r="558" spans="4:22" x14ac:dyDescent="0.45">
      <c r="D558" t="s">
        <v>838</v>
      </c>
      <c r="E558" t="s">
        <v>2042</v>
      </c>
      <c r="F558" t="s">
        <v>290</v>
      </c>
      <c r="G558" t="s">
        <v>2043</v>
      </c>
      <c r="H558" t="s">
        <v>19</v>
      </c>
      <c r="I558" t="s">
        <v>158</v>
      </c>
      <c r="J558" t="s">
        <v>59</v>
      </c>
      <c r="K558" t="s">
        <v>159</v>
      </c>
      <c r="N558" t="s">
        <v>37</v>
      </c>
      <c r="P558" t="s">
        <v>37</v>
      </c>
      <c r="Q558" t="s">
        <v>113</v>
      </c>
      <c r="U558" t="s">
        <v>18</v>
      </c>
      <c r="V558">
        <v>2</v>
      </c>
    </row>
    <row r="559" spans="4:22" x14ac:dyDescent="0.45">
      <c r="D559" t="s">
        <v>839</v>
      </c>
      <c r="E559" t="s">
        <v>2044</v>
      </c>
      <c r="F559" t="s">
        <v>290</v>
      </c>
      <c r="G559" t="s">
        <v>2045</v>
      </c>
      <c r="H559" t="s">
        <v>19</v>
      </c>
      <c r="I559" t="s">
        <v>158</v>
      </c>
      <c r="J559" t="s">
        <v>59</v>
      </c>
      <c r="K559" t="s">
        <v>159</v>
      </c>
      <c r="N559" t="s">
        <v>37</v>
      </c>
      <c r="P559" t="s">
        <v>37</v>
      </c>
      <c r="Q559" t="s">
        <v>63</v>
      </c>
      <c r="U559" t="s">
        <v>18</v>
      </c>
      <c r="V559">
        <v>2</v>
      </c>
    </row>
    <row r="560" spans="4:22" x14ac:dyDescent="0.45">
      <c r="D560" t="s">
        <v>840</v>
      </c>
      <c r="E560" t="s">
        <v>2046</v>
      </c>
      <c r="F560" t="s">
        <v>290</v>
      </c>
      <c r="G560" t="s">
        <v>2047</v>
      </c>
      <c r="H560" t="s">
        <v>19</v>
      </c>
      <c r="I560" t="s">
        <v>158</v>
      </c>
      <c r="J560" t="s">
        <v>59</v>
      </c>
      <c r="K560" t="s">
        <v>159</v>
      </c>
      <c r="N560" t="s">
        <v>37</v>
      </c>
      <c r="P560" t="s">
        <v>37</v>
      </c>
      <c r="Q560" t="s">
        <v>64</v>
      </c>
      <c r="U560" t="s">
        <v>18</v>
      </c>
      <c r="V560">
        <v>2</v>
      </c>
    </row>
    <row r="561" spans="4:22" x14ac:dyDescent="0.45">
      <c r="D561" t="s">
        <v>841</v>
      </c>
      <c r="E561" t="s">
        <v>2048</v>
      </c>
      <c r="F561" t="s">
        <v>290</v>
      </c>
      <c r="G561" t="s">
        <v>2049</v>
      </c>
      <c r="H561" t="s">
        <v>19</v>
      </c>
      <c r="I561" t="s">
        <v>158</v>
      </c>
      <c r="J561" t="s">
        <v>59</v>
      </c>
      <c r="K561" t="s">
        <v>159</v>
      </c>
      <c r="N561" t="s">
        <v>37</v>
      </c>
      <c r="P561" t="s">
        <v>37</v>
      </c>
      <c r="Q561" t="s">
        <v>65</v>
      </c>
      <c r="U561" t="s">
        <v>18</v>
      </c>
      <c r="V561">
        <v>2</v>
      </c>
    </row>
    <row r="562" spans="4:22" x14ac:dyDescent="0.45">
      <c r="D562" t="s">
        <v>842</v>
      </c>
      <c r="E562" t="s">
        <v>2050</v>
      </c>
      <c r="F562" t="s">
        <v>290</v>
      </c>
      <c r="G562" t="s">
        <v>2051</v>
      </c>
      <c r="H562" t="s">
        <v>19</v>
      </c>
      <c r="I562" t="s">
        <v>158</v>
      </c>
      <c r="J562" t="s">
        <v>59</v>
      </c>
      <c r="K562" t="s">
        <v>159</v>
      </c>
      <c r="N562" t="s">
        <v>37</v>
      </c>
      <c r="P562" t="s">
        <v>37</v>
      </c>
      <c r="Q562" t="s">
        <v>66</v>
      </c>
      <c r="U562" t="s">
        <v>18</v>
      </c>
      <c r="V562">
        <v>2</v>
      </c>
    </row>
    <row r="563" spans="4:22" x14ac:dyDescent="0.45">
      <c r="D563" t="s">
        <v>843</v>
      </c>
      <c r="E563" t="s">
        <v>2056</v>
      </c>
      <c r="F563" t="s">
        <v>290</v>
      </c>
      <c r="G563" t="s">
        <v>2057</v>
      </c>
      <c r="H563" t="s">
        <v>19</v>
      </c>
      <c r="I563" t="s">
        <v>158</v>
      </c>
      <c r="J563" t="s">
        <v>59</v>
      </c>
      <c r="K563" t="s">
        <v>159</v>
      </c>
      <c r="N563" t="s">
        <v>37</v>
      </c>
      <c r="P563" t="s">
        <v>37</v>
      </c>
      <c r="Q563" t="s">
        <v>162</v>
      </c>
      <c r="U563" t="s">
        <v>18</v>
      </c>
      <c r="V563">
        <v>2</v>
      </c>
    </row>
    <row r="564" spans="4:22" x14ac:dyDescent="0.45">
      <c r="D564" t="s">
        <v>844</v>
      </c>
      <c r="E564" t="s">
        <v>2176</v>
      </c>
      <c r="F564" t="s">
        <v>290</v>
      </c>
      <c r="G564" t="s">
        <v>2177</v>
      </c>
      <c r="H564" t="s">
        <v>19</v>
      </c>
      <c r="I564" t="s">
        <v>158</v>
      </c>
      <c r="J564" t="s">
        <v>59</v>
      </c>
      <c r="K564" t="s">
        <v>159</v>
      </c>
      <c r="N564" t="s">
        <v>37</v>
      </c>
      <c r="P564" t="s">
        <v>37</v>
      </c>
      <c r="Q564" t="s">
        <v>167</v>
      </c>
      <c r="U564" t="s">
        <v>18</v>
      </c>
      <c r="V564">
        <v>2</v>
      </c>
    </row>
    <row r="565" spans="4:22" x14ac:dyDescent="0.45">
      <c r="D565" t="s">
        <v>845</v>
      </c>
      <c r="E565" t="s">
        <v>2178</v>
      </c>
      <c r="F565" t="s">
        <v>290</v>
      </c>
      <c r="G565" t="s">
        <v>2179</v>
      </c>
      <c r="H565" t="s">
        <v>19</v>
      </c>
      <c r="I565" t="s">
        <v>168</v>
      </c>
      <c r="J565" t="s">
        <v>46</v>
      </c>
      <c r="K565" t="s">
        <v>169</v>
      </c>
      <c r="N565" t="s">
        <v>37</v>
      </c>
      <c r="P565" t="s">
        <v>37</v>
      </c>
      <c r="Q565" t="s">
        <v>46</v>
      </c>
      <c r="U565" t="s">
        <v>18</v>
      </c>
      <c r="V565">
        <v>1</v>
      </c>
    </row>
    <row r="566" spans="4:22" x14ac:dyDescent="0.45">
      <c r="D566" t="s">
        <v>846</v>
      </c>
      <c r="E566" t="s">
        <v>2180</v>
      </c>
      <c r="F566" t="s">
        <v>290</v>
      </c>
      <c r="G566" t="s">
        <v>2181</v>
      </c>
      <c r="H566" t="s">
        <v>19</v>
      </c>
      <c r="I566" t="s">
        <v>168</v>
      </c>
      <c r="J566" t="s">
        <v>59</v>
      </c>
      <c r="K566" t="s">
        <v>169</v>
      </c>
      <c r="N566" t="s">
        <v>46</v>
      </c>
      <c r="P566" t="s">
        <v>46</v>
      </c>
      <c r="Q566" t="s">
        <v>60</v>
      </c>
      <c r="U566" t="s">
        <v>18</v>
      </c>
      <c r="V566">
        <v>1</v>
      </c>
    </row>
    <row r="567" spans="4:22" x14ac:dyDescent="0.45">
      <c r="D567" t="s">
        <v>847</v>
      </c>
      <c r="E567" t="s">
        <v>2182</v>
      </c>
      <c r="F567" t="s">
        <v>290</v>
      </c>
      <c r="G567" t="s">
        <v>2183</v>
      </c>
      <c r="H567" t="s">
        <v>19</v>
      </c>
      <c r="I567" t="s">
        <v>168</v>
      </c>
      <c r="J567" t="s">
        <v>59</v>
      </c>
      <c r="K567" t="s">
        <v>169</v>
      </c>
      <c r="N567" t="s">
        <v>46</v>
      </c>
      <c r="P567" t="s">
        <v>46</v>
      </c>
      <c r="Q567" t="s">
        <v>61</v>
      </c>
      <c r="U567" t="s">
        <v>18</v>
      </c>
      <c r="V567">
        <v>1</v>
      </c>
    </row>
    <row r="568" spans="4:22" x14ac:dyDescent="0.45">
      <c r="D568" t="s">
        <v>848</v>
      </c>
      <c r="E568" t="s">
        <v>2184</v>
      </c>
      <c r="F568" t="s">
        <v>290</v>
      </c>
      <c r="G568" t="s">
        <v>2185</v>
      </c>
      <c r="H568" t="s">
        <v>19</v>
      </c>
      <c r="I568" t="s">
        <v>168</v>
      </c>
      <c r="J568" t="s">
        <v>59</v>
      </c>
      <c r="K568" t="s">
        <v>169</v>
      </c>
      <c r="N568" t="s">
        <v>46</v>
      </c>
      <c r="P568" t="s">
        <v>46</v>
      </c>
      <c r="Q568" t="s">
        <v>113</v>
      </c>
      <c r="U568" t="s">
        <v>18</v>
      </c>
      <c r="V568">
        <v>1</v>
      </c>
    </row>
    <row r="569" spans="4:22" x14ac:dyDescent="0.45">
      <c r="D569" t="s">
        <v>849</v>
      </c>
      <c r="E569" t="s">
        <v>2186</v>
      </c>
      <c r="F569" t="s">
        <v>290</v>
      </c>
      <c r="G569" t="s">
        <v>2187</v>
      </c>
      <c r="H569" t="s">
        <v>19</v>
      </c>
      <c r="I569" t="s">
        <v>168</v>
      </c>
      <c r="J569" t="s">
        <v>59</v>
      </c>
      <c r="K569" t="s">
        <v>169</v>
      </c>
      <c r="N569" t="s">
        <v>46</v>
      </c>
      <c r="P569" t="s">
        <v>46</v>
      </c>
      <c r="Q569" t="s">
        <v>160</v>
      </c>
      <c r="U569" t="s">
        <v>18</v>
      </c>
      <c r="V569">
        <v>1</v>
      </c>
    </row>
    <row r="570" spans="4:22" x14ac:dyDescent="0.45">
      <c r="D570" t="s">
        <v>850</v>
      </c>
      <c r="E570" t="s">
        <v>2188</v>
      </c>
      <c r="F570" t="s">
        <v>290</v>
      </c>
      <c r="G570" t="s">
        <v>2189</v>
      </c>
      <c r="H570" t="s">
        <v>19</v>
      </c>
      <c r="I570" t="s">
        <v>168</v>
      </c>
      <c r="J570" t="s">
        <v>59</v>
      </c>
      <c r="K570" t="s">
        <v>169</v>
      </c>
      <c r="N570" t="s">
        <v>46</v>
      </c>
      <c r="P570" t="s">
        <v>46</v>
      </c>
      <c r="Q570" t="s">
        <v>170</v>
      </c>
      <c r="U570" t="s">
        <v>18</v>
      </c>
      <c r="V570">
        <v>1</v>
      </c>
    </row>
    <row r="571" spans="4:22" x14ac:dyDescent="0.45">
      <c r="D571" t="s">
        <v>851</v>
      </c>
      <c r="E571" t="s">
        <v>2190</v>
      </c>
      <c r="F571" t="s">
        <v>290</v>
      </c>
      <c r="G571" t="s">
        <v>2191</v>
      </c>
      <c r="H571" t="s">
        <v>19</v>
      </c>
      <c r="I571" t="s">
        <v>168</v>
      </c>
      <c r="J571" t="s">
        <v>59</v>
      </c>
      <c r="K571" t="s">
        <v>169</v>
      </c>
      <c r="N571" t="s">
        <v>46</v>
      </c>
      <c r="P571" t="s">
        <v>46</v>
      </c>
      <c r="Q571" t="s">
        <v>171</v>
      </c>
      <c r="U571" t="s">
        <v>18</v>
      </c>
      <c r="V571">
        <v>1</v>
      </c>
    </row>
    <row r="572" spans="4:22" x14ac:dyDescent="0.45">
      <c r="D572" t="s">
        <v>852</v>
      </c>
      <c r="E572" t="s">
        <v>2192</v>
      </c>
      <c r="F572" t="s">
        <v>290</v>
      </c>
      <c r="G572" t="s">
        <v>2193</v>
      </c>
      <c r="H572" t="s">
        <v>19</v>
      </c>
      <c r="I572" t="s">
        <v>168</v>
      </c>
      <c r="J572" t="s">
        <v>59</v>
      </c>
      <c r="K572" t="s">
        <v>169</v>
      </c>
      <c r="N572" t="s">
        <v>46</v>
      </c>
      <c r="P572" t="s">
        <v>46</v>
      </c>
      <c r="Q572" t="s">
        <v>172</v>
      </c>
      <c r="U572" t="s">
        <v>18</v>
      </c>
      <c r="V572">
        <v>1</v>
      </c>
    </row>
    <row r="573" spans="4:22" x14ac:dyDescent="0.45">
      <c r="D573" t="s">
        <v>853</v>
      </c>
      <c r="E573" t="s">
        <v>2194</v>
      </c>
      <c r="F573" t="s">
        <v>290</v>
      </c>
      <c r="G573" t="s">
        <v>2195</v>
      </c>
      <c r="H573" t="s">
        <v>19</v>
      </c>
      <c r="I573" t="s">
        <v>168</v>
      </c>
      <c r="J573" t="s">
        <v>59</v>
      </c>
      <c r="K573" t="s">
        <v>169</v>
      </c>
      <c r="N573" t="s">
        <v>46</v>
      </c>
      <c r="P573" t="s">
        <v>46</v>
      </c>
      <c r="Q573" t="s">
        <v>173</v>
      </c>
      <c r="U573" t="s">
        <v>18</v>
      </c>
      <c r="V573">
        <v>1</v>
      </c>
    </row>
    <row r="574" spans="4:22" x14ac:dyDescent="0.45">
      <c r="D574" t="s">
        <v>854</v>
      </c>
      <c r="E574" t="s">
        <v>2196</v>
      </c>
      <c r="F574" t="s">
        <v>290</v>
      </c>
      <c r="G574" t="s">
        <v>2197</v>
      </c>
      <c r="H574" t="s">
        <v>19</v>
      </c>
      <c r="I574" t="s">
        <v>168</v>
      </c>
      <c r="J574" t="s">
        <v>59</v>
      </c>
      <c r="K574" t="s">
        <v>169</v>
      </c>
      <c r="N574" t="s">
        <v>46</v>
      </c>
      <c r="P574" t="s">
        <v>46</v>
      </c>
      <c r="Q574" t="s">
        <v>162</v>
      </c>
      <c r="U574" t="s">
        <v>18</v>
      </c>
      <c r="V574">
        <v>1</v>
      </c>
    </row>
    <row r="575" spans="4:22" x14ac:dyDescent="0.45">
      <c r="D575" t="s">
        <v>855</v>
      </c>
      <c r="E575" t="s">
        <v>2198</v>
      </c>
      <c r="F575" t="s">
        <v>290</v>
      </c>
      <c r="G575" t="s">
        <v>2199</v>
      </c>
      <c r="H575" t="s">
        <v>19</v>
      </c>
      <c r="I575" t="s">
        <v>168</v>
      </c>
      <c r="J575" t="s">
        <v>59</v>
      </c>
      <c r="K575" t="s">
        <v>169</v>
      </c>
      <c r="N575" t="s">
        <v>46</v>
      </c>
      <c r="P575" t="s">
        <v>46</v>
      </c>
      <c r="Q575" t="s">
        <v>174</v>
      </c>
      <c r="U575" t="s">
        <v>18</v>
      </c>
      <c r="V575">
        <v>1</v>
      </c>
    </row>
    <row r="576" spans="4:22" x14ac:dyDescent="0.45">
      <c r="D576" t="s">
        <v>856</v>
      </c>
      <c r="E576" t="s">
        <v>2200</v>
      </c>
      <c r="F576" t="s">
        <v>290</v>
      </c>
      <c r="G576" t="s">
        <v>2201</v>
      </c>
      <c r="H576" t="s">
        <v>19</v>
      </c>
      <c r="I576" t="s">
        <v>168</v>
      </c>
      <c r="J576" t="s">
        <v>46</v>
      </c>
      <c r="K576" t="s">
        <v>169</v>
      </c>
      <c r="N576" t="s">
        <v>37</v>
      </c>
      <c r="P576" t="s">
        <v>37</v>
      </c>
      <c r="Q576" t="s">
        <v>46</v>
      </c>
      <c r="U576" t="s">
        <v>18</v>
      </c>
      <c r="V576">
        <v>2</v>
      </c>
    </row>
    <row r="577" spans="4:22" x14ac:dyDescent="0.45">
      <c r="D577" t="s">
        <v>857</v>
      </c>
      <c r="E577" t="s">
        <v>2202</v>
      </c>
      <c r="F577" t="s">
        <v>290</v>
      </c>
      <c r="G577" t="s">
        <v>2203</v>
      </c>
      <c r="H577" t="s">
        <v>19</v>
      </c>
      <c r="I577" t="s">
        <v>168</v>
      </c>
      <c r="J577" t="s">
        <v>59</v>
      </c>
      <c r="K577" t="s">
        <v>169</v>
      </c>
      <c r="N577" t="s">
        <v>46</v>
      </c>
      <c r="P577" t="s">
        <v>46</v>
      </c>
      <c r="Q577" t="s">
        <v>60</v>
      </c>
      <c r="U577" t="s">
        <v>18</v>
      </c>
      <c r="V577">
        <v>2</v>
      </c>
    </row>
    <row r="578" spans="4:22" x14ac:dyDescent="0.45">
      <c r="D578" t="s">
        <v>858</v>
      </c>
      <c r="E578" t="s">
        <v>2204</v>
      </c>
      <c r="F578" t="s">
        <v>290</v>
      </c>
      <c r="G578" t="s">
        <v>2205</v>
      </c>
      <c r="H578" t="s">
        <v>19</v>
      </c>
      <c r="I578" t="s">
        <v>168</v>
      </c>
      <c r="J578" t="s">
        <v>59</v>
      </c>
      <c r="K578" t="s">
        <v>169</v>
      </c>
      <c r="N578" t="s">
        <v>46</v>
      </c>
      <c r="P578" t="s">
        <v>46</v>
      </c>
      <c r="Q578" t="s">
        <v>61</v>
      </c>
      <c r="U578" t="s">
        <v>18</v>
      </c>
      <c r="V578">
        <v>2</v>
      </c>
    </row>
    <row r="579" spans="4:22" x14ac:dyDescent="0.45">
      <c r="D579" t="s">
        <v>859</v>
      </c>
      <c r="E579" t="s">
        <v>2206</v>
      </c>
      <c r="F579" t="s">
        <v>290</v>
      </c>
      <c r="G579" t="s">
        <v>2207</v>
      </c>
      <c r="H579" t="s">
        <v>19</v>
      </c>
      <c r="I579" t="s">
        <v>168</v>
      </c>
      <c r="J579" t="s">
        <v>59</v>
      </c>
      <c r="K579" t="s">
        <v>169</v>
      </c>
      <c r="N579" t="s">
        <v>46</v>
      </c>
      <c r="P579" t="s">
        <v>46</v>
      </c>
      <c r="Q579" t="s">
        <v>113</v>
      </c>
      <c r="U579" t="s">
        <v>18</v>
      </c>
      <c r="V579">
        <v>2</v>
      </c>
    </row>
    <row r="580" spans="4:22" x14ac:dyDescent="0.45">
      <c r="D580" t="s">
        <v>860</v>
      </c>
      <c r="E580" t="s">
        <v>2208</v>
      </c>
      <c r="F580" t="s">
        <v>290</v>
      </c>
      <c r="G580" t="s">
        <v>2209</v>
      </c>
      <c r="H580" t="s">
        <v>19</v>
      </c>
      <c r="I580" t="s">
        <v>168</v>
      </c>
      <c r="J580" t="s">
        <v>59</v>
      </c>
      <c r="K580" t="s">
        <v>169</v>
      </c>
      <c r="N580" t="s">
        <v>46</v>
      </c>
      <c r="P580" t="s">
        <v>46</v>
      </c>
      <c r="Q580" t="s">
        <v>160</v>
      </c>
      <c r="U580" t="s">
        <v>18</v>
      </c>
      <c r="V580">
        <v>2</v>
      </c>
    </row>
    <row r="581" spans="4:22" x14ac:dyDescent="0.45">
      <c r="D581" t="s">
        <v>861</v>
      </c>
      <c r="E581" t="s">
        <v>2210</v>
      </c>
      <c r="F581" t="s">
        <v>290</v>
      </c>
      <c r="G581" t="s">
        <v>2211</v>
      </c>
      <c r="H581" t="s">
        <v>19</v>
      </c>
      <c r="I581" t="s">
        <v>168</v>
      </c>
      <c r="J581" t="s">
        <v>59</v>
      </c>
      <c r="K581" t="s">
        <v>169</v>
      </c>
      <c r="N581" t="s">
        <v>46</v>
      </c>
      <c r="P581" t="s">
        <v>46</v>
      </c>
      <c r="Q581" t="s">
        <v>170</v>
      </c>
      <c r="U581" t="s">
        <v>18</v>
      </c>
      <c r="V581">
        <v>2</v>
      </c>
    </row>
    <row r="582" spans="4:22" x14ac:dyDescent="0.45">
      <c r="D582" t="s">
        <v>862</v>
      </c>
      <c r="E582" t="s">
        <v>2212</v>
      </c>
      <c r="F582" t="s">
        <v>290</v>
      </c>
      <c r="G582" t="s">
        <v>2213</v>
      </c>
      <c r="H582" t="s">
        <v>19</v>
      </c>
      <c r="I582" t="s">
        <v>168</v>
      </c>
      <c r="J582" t="s">
        <v>59</v>
      </c>
      <c r="K582" t="s">
        <v>169</v>
      </c>
      <c r="N582" t="s">
        <v>46</v>
      </c>
      <c r="P582" t="s">
        <v>46</v>
      </c>
      <c r="Q582" t="s">
        <v>171</v>
      </c>
      <c r="U582" t="s">
        <v>18</v>
      </c>
      <c r="V582">
        <v>2</v>
      </c>
    </row>
    <row r="583" spans="4:22" x14ac:dyDescent="0.45">
      <c r="D583" t="s">
        <v>863</v>
      </c>
      <c r="E583" t="s">
        <v>2214</v>
      </c>
      <c r="F583" t="s">
        <v>290</v>
      </c>
      <c r="G583" t="s">
        <v>2215</v>
      </c>
      <c r="H583" t="s">
        <v>19</v>
      </c>
      <c r="I583" t="s">
        <v>168</v>
      </c>
      <c r="J583" t="s">
        <v>59</v>
      </c>
      <c r="K583" t="s">
        <v>169</v>
      </c>
      <c r="N583" t="s">
        <v>46</v>
      </c>
      <c r="P583" t="s">
        <v>46</v>
      </c>
      <c r="Q583" t="s">
        <v>172</v>
      </c>
      <c r="U583" t="s">
        <v>18</v>
      </c>
      <c r="V583">
        <v>2</v>
      </c>
    </row>
    <row r="584" spans="4:22" x14ac:dyDescent="0.45">
      <c r="D584" t="s">
        <v>864</v>
      </c>
      <c r="E584" t="s">
        <v>2216</v>
      </c>
      <c r="F584" t="s">
        <v>290</v>
      </c>
      <c r="G584" t="s">
        <v>2217</v>
      </c>
      <c r="H584" t="s">
        <v>19</v>
      </c>
      <c r="I584" t="s">
        <v>168</v>
      </c>
      <c r="J584" t="s">
        <v>59</v>
      </c>
      <c r="K584" t="s">
        <v>169</v>
      </c>
      <c r="N584" t="s">
        <v>46</v>
      </c>
      <c r="P584" t="s">
        <v>46</v>
      </c>
      <c r="Q584" t="s">
        <v>173</v>
      </c>
      <c r="U584" t="s">
        <v>18</v>
      </c>
      <c r="V584">
        <v>2</v>
      </c>
    </row>
    <row r="585" spans="4:22" x14ac:dyDescent="0.45">
      <c r="D585" t="s">
        <v>865</v>
      </c>
      <c r="E585" t="s">
        <v>2218</v>
      </c>
      <c r="F585" t="s">
        <v>290</v>
      </c>
      <c r="G585" t="s">
        <v>2219</v>
      </c>
      <c r="H585" t="s">
        <v>19</v>
      </c>
      <c r="I585" t="s">
        <v>168</v>
      </c>
      <c r="J585" t="s">
        <v>59</v>
      </c>
      <c r="K585" t="s">
        <v>169</v>
      </c>
      <c r="N585" t="s">
        <v>46</v>
      </c>
      <c r="P585" t="s">
        <v>46</v>
      </c>
      <c r="Q585" t="s">
        <v>162</v>
      </c>
      <c r="U585" t="s">
        <v>18</v>
      </c>
      <c r="V585">
        <v>2</v>
      </c>
    </row>
    <row r="586" spans="4:22" x14ac:dyDescent="0.45">
      <c r="D586" t="s">
        <v>866</v>
      </c>
      <c r="E586" t="s">
        <v>2220</v>
      </c>
      <c r="F586" t="s">
        <v>290</v>
      </c>
      <c r="G586" t="s">
        <v>2221</v>
      </c>
      <c r="H586" t="s">
        <v>19</v>
      </c>
      <c r="I586" t="s">
        <v>168</v>
      </c>
      <c r="J586" t="s">
        <v>59</v>
      </c>
      <c r="K586" t="s">
        <v>169</v>
      </c>
      <c r="N586" t="s">
        <v>46</v>
      </c>
      <c r="P586" t="s">
        <v>46</v>
      </c>
      <c r="Q586" t="s">
        <v>174</v>
      </c>
      <c r="U586" t="s">
        <v>18</v>
      </c>
      <c r="V586">
        <v>2</v>
      </c>
    </row>
    <row r="587" spans="4:22" x14ac:dyDescent="0.45">
      <c r="G587" t="s">
        <v>18</v>
      </c>
      <c r="H587" t="s">
        <v>18</v>
      </c>
      <c r="J587" t="s">
        <v>18</v>
      </c>
      <c r="P587" t="s">
        <v>18</v>
      </c>
      <c r="U587" t="s">
        <v>18</v>
      </c>
    </row>
    <row r="588" spans="4:22" x14ac:dyDescent="0.45">
      <c r="D588" t="s">
        <v>867</v>
      </c>
      <c r="E588" t="s">
        <v>2222</v>
      </c>
      <c r="F588" t="s">
        <v>290</v>
      </c>
      <c r="G588" t="s">
        <v>2223</v>
      </c>
      <c r="H588" t="s">
        <v>19</v>
      </c>
      <c r="I588" t="s">
        <v>158</v>
      </c>
      <c r="J588" t="s">
        <v>67</v>
      </c>
      <c r="K588" t="s">
        <v>159</v>
      </c>
      <c r="N588" t="s">
        <v>27</v>
      </c>
      <c r="P588" t="s">
        <v>27</v>
      </c>
      <c r="Q588" t="s">
        <v>37</v>
      </c>
      <c r="R588" t="s">
        <v>175</v>
      </c>
      <c r="V588">
        <v>2</v>
      </c>
    </row>
    <row r="589" spans="4:22" x14ac:dyDescent="0.45">
      <c r="D589" t="s">
        <v>868</v>
      </c>
      <c r="E589" t="s">
        <v>2224</v>
      </c>
      <c r="F589" t="s">
        <v>290</v>
      </c>
      <c r="G589" t="s">
        <v>2225</v>
      </c>
      <c r="H589" t="s">
        <v>19</v>
      </c>
      <c r="I589" t="s">
        <v>158</v>
      </c>
      <c r="J589" t="s">
        <v>176</v>
      </c>
      <c r="K589" t="s">
        <v>159</v>
      </c>
      <c r="M589" t="s">
        <v>27</v>
      </c>
      <c r="N589" t="s">
        <v>177</v>
      </c>
      <c r="P589" t="s">
        <v>177</v>
      </c>
      <c r="Q589" t="s">
        <v>60</v>
      </c>
      <c r="R589" t="s">
        <v>175</v>
      </c>
      <c r="U589" t="s">
        <v>175</v>
      </c>
      <c r="V589">
        <v>2</v>
      </c>
    </row>
    <row r="590" spans="4:22" x14ac:dyDescent="0.45">
      <c r="D590" t="s">
        <v>869</v>
      </c>
      <c r="E590" t="s">
        <v>2226</v>
      </c>
      <c r="F590" t="s">
        <v>290</v>
      </c>
      <c r="G590" t="s">
        <v>2227</v>
      </c>
      <c r="H590" t="s">
        <v>19</v>
      </c>
      <c r="I590" t="s">
        <v>158</v>
      </c>
      <c r="J590" t="s">
        <v>176</v>
      </c>
      <c r="K590" t="s">
        <v>159</v>
      </c>
      <c r="M590" t="s">
        <v>27</v>
      </c>
      <c r="N590" t="s">
        <v>177</v>
      </c>
      <c r="P590" t="s">
        <v>177</v>
      </c>
      <c r="Q590" t="s">
        <v>61</v>
      </c>
      <c r="R590" t="s">
        <v>175</v>
      </c>
      <c r="V590">
        <v>2</v>
      </c>
    </row>
    <row r="591" spans="4:22" x14ac:dyDescent="0.45">
      <c r="D591" t="s">
        <v>870</v>
      </c>
      <c r="E591" t="s">
        <v>2228</v>
      </c>
      <c r="F591" t="s">
        <v>290</v>
      </c>
      <c r="G591" t="s">
        <v>2229</v>
      </c>
      <c r="H591" t="s">
        <v>19</v>
      </c>
      <c r="I591" t="s">
        <v>158</v>
      </c>
      <c r="J591" t="s">
        <v>176</v>
      </c>
      <c r="K591" t="s">
        <v>159</v>
      </c>
      <c r="M591" t="s">
        <v>27</v>
      </c>
      <c r="N591" t="s">
        <v>177</v>
      </c>
      <c r="P591" t="s">
        <v>177</v>
      </c>
      <c r="Q591" t="s">
        <v>63</v>
      </c>
      <c r="R591" t="s">
        <v>175</v>
      </c>
      <c r="V591">
        <v>2</v>
      </c>
    </row>
    <row r="592" spans="4:22" x14ac:dyDescent="0.45">
      <c r="D592" t="s">
        <v>871</v>
      </c>
      <c r="E592" t="s">
        <v>2230</v>
      </c>
      <c r="F592" t="s">
        <v>290</v>
      </c>
      <c r="G592" t="s">
        <v>2231</v>
      </c>
      <c r="H592" t="s">
        <v>19</v>
      </c>
      <c r="I592" t="s">
        <v>158</v>
      </c>
      <c r="J592" t="s">
        <v>176</v>
      </c>
      <c r="K592" t="s">
        <v>159</v>
      </c>
      <c r="M592" t="s">
        <v>27</v>
      </c>
      <c r="N592" t="s">
        <v>177</v>
      </c>
      <c r="P592" t="s">
        <v>177</v>
      </c>
      <c r="Q592" t="s">
        <v>64</v>
      </c>
      <c r="R592" t="s">
        <v>175</v>
      </c>
      <c r="V592">
        <v>2</v>
      </c>
    </row>
    <row r="593" spans="4:22" x14ac:dyDescent="0.45">
      <c r="D593" t="s">
        <v>872</v>
      </c>
      <c r="E593" t="s">
        <v>2232</v>
      </c>
      <c r="F593" t="s">
        <v>290</v>
      </c>
      <c r="G593" t="s">
        <v>2233</v>
      </c>
      <c r="H593" t="s">
        <v>19</v>
      </c>
      <c r="I593" t="s">
        <v>158</v>
      </c>
      <c r="J593" t="s">
        <v>176</v>
      </c>
      <c r="K593" t="s">
        <v>159</v>
      </c>
      <c r="M593" t="s">
        <v>27</v>
      </c>
      <c r="N593" t="s">
        <v>177</v>
      </c>
      <c r="P593" t="s">
        <v>177</v>
      </c>
      <c r="Q593" t="s">
        <v>65</v>
      </c>
      <c r="R593" t="s">
        <v>175</v>
      </c>
      <c r="V593">
        <v>2</v>
      </c>
    </row>
    <row r="594" spans="4:22" x14ac:dyDescent="0.45">
      <c r="D594" t="s">
        <v>873</v>
      </c>
      <c r="E594" t="s">
        <v>2234</v>
      </c>
      <c r="F594" t="s">
        <v>290</v>
      </c>
      <c r="G594" t="s">
        <v>2235</v>
      </c>
      <c r="H594" t="s">
        <v>19</v>
      </c>
      <c r="I594" t="s">
        <v>158</v>
      </c>
      <c r="J594" t="s">
        <v>176</v>
      </c>
      <c r="K594" t="s">
        <v>159</v>
      </c>
      <c r="M594" t="s">
        <v>27</v>
      </c>
      <c r="N594" t="s">
        <v>177</v>
      </c>
      <c r="P594" t="s">
        <v>177</v>
      </c>
      <c r="Q594" t="s">
        <v>66</v>
      </c>
      <c r="R594" t="s">
        <v>175</v>
      </c>
      <c r="V594">
        <v>2</v>
      </c>
    </row>
    <row r="595" spans="4:22" x14ac:dyDescent="0.45">
      <c r="D595" t="s">
        <v>874</v>
      </c>
      <c r="E595" t="s">
        <v>2236</v>
      </c>
      <c r="F595" t="s">
        <v>290</v>
      </c>
      <c r="G595" t="s">
        <v>2237</v>
      </c>
      <c r="H595" t="s">
        <v>19</v>
      </c>
      <c r="I595" t="s">
        <v>158</v>
      </c>
      <c r="J595" t="s">
        <v>176</v>
      </c>
      <c r="K595" t="s">
        <v>159</v>
      </c>
      <c r="M595" t="s">
        <v>27</v>
      </c>
      <c r="N595" t="s">
        <v>177</v>
      </c>
      <c r="P595" t="s">
        <v>177</v>
      </c>
      <c r="Q595" t="s">
        <v>113</v>
      </c>
      <c r="R595" t="s">
        <v>175</v>
      </c>
      <c r="V595">
        <v>2</v>
      </c>
    </row>
    <row r="596" spans="4:22" x14ac:dyDescent="0.45">
      <c r="D596" t="s">
        <v>875</v>
      </c>
      <c r="E596" t="s">
        <v>2238</v>
      </c>
      <c r="F596" t="s">
        <v>290</v>
      </c>
      <c r="G596" t="s">
        <v>2239</v>
      </c>
      <c r="H596" t="s">
        <v>19</v>
      </c>
      <c r="I596" t="s">
        <v>158</v>
      </c>
      <c r="J596" t="s">
        <v>176</v>
      </c>
      <c r="K596" t="s">
        <v>159</v>
      </c>
      <c r="M596" t="s">
        <v>27</v>
      </c>
      <c r="N596" t="s">
        <v>177</v>
      </c>
      <c r="P596" t="s">
        <v>177</v>
      </c>
      <c r="Q596" t="s">
        <v>162</v>
      </c>
      <c r="R596" t="s">
        <v>175</v>
      </c>
      <c r="V596">
        <v>2</v>
      </c>
    </row>
    <row r="597" spans="4:22" x14ac:dyDescent="0.45">
      <c r="D597" t="s">
        <v>876</v>
      </c>
      <c r="E597" t="s">
        <v>2240</v>
      </c>
      <c r="F597" t="s">
        <v>290</v>
      </c>
      <c r="G597" t="s">
        <v>2241</v>
      </c>
      <c r="H597" t="s">
        <v>19</v>
      </c>
      <c r="I597" t="s">
        <v>158</v>
      </c>
      <c r="J597" t="s">
        <v>176</v>
      </c>
      <c r="K597" t="s">
        <v>159</v>
      </c>
      <c r="M597" t="s">
        <v>27</v>
      </c>
      <c r="N597" t="s">
        <v>177</v>
      </c>
      <c r="P597" t="s">
        <v>177</v>
      </c>
      <c r="Q597" t="s">
        <v>174</v>
      </c>
      <c r="R597" t="s">
        <v>175</v>
      </c>
      <c r="V597">
        <v>2</v>
      </c>
    </row>
    <row r="598" spans="4:22" x14ac:dyDescent="0.45">
      <c r="D598" t="s">
        <v>877</v>
      </c>
      <c r="E598" t="s">
        <v>2242</v>
      </c>
      <c r="F598" t="s">
        <v>290</v>
      </c>
      <c r="G598" t="s">
        <v>2243</v>
      </c>
      <c r="H598" t="s">
        <v>19</v>
      </c>
      <c r="I598" t="s">
        <v>158</v>
      </c>
      <c r="J598" t="s">
        <v>176</v>
      </c>
      <c r="K598" t="s">
        <v>159</v>
      </c>
      <c r="M598" t="s">
        <v>27</v>
      </c>
      <c r="N598" t="s">
        <v>178</v>
      </c>
      <c r="P598" t="s">
        <v>178</v>
      </c>
      <c r="Q598" t="s">
        <v>60</v>
      </c>
      <c r="R598" t="s">
        <v>175</v>
      </c>
      <c r="V598">
        <v>2</v>
      </c>
    </row>
    <row r="599" spans="4:22" x14ac:dyDescent="0.45">
      <c r="D599" t="s">
        <v>878</v>
      </c>
      <c r="E599" t="s">
        <v>2244</v>
      </c>
      <c r="F599" t="s">
        <v>290</v>
      </c>
      <c r="G599" t="s">
        <v>2227</v>
      </c>
      <c r="H599" t="s">
        <v>19</v>
      </c>
      <c r="I599" t="s">
        <v>158</v>
      </c>
      <c r="J599" t="s">
        <v>176</v>
      </c>
      <c r="K599" t="s">
        <v>159</v>
      </c>
      <c r="M599" t="s">
        <v>27</v>
      </c>
      <c r="N599" t="s">
        <v>178</v>
      </c>
      <c r="P599" t="s">
        <v>178</v>
      </c>
      <c r="Q599" t="s">
        <v>61</v>
      </c>
      <c r="R599" t="s">
        <v>175</v>
      </c>
      <c r="V599">
        <v>2</v>
      </c>
    </row>
    <row r="600" spans="4:22" x14ac:dyDescent="0.45">
      <c r="D600" t="s">
        <v>879</v>
      </c>
      <c r="E600" t="s">
        <v>2245</v>
      </c>
      <c r="F600" t="s">
        <v>290</v>
      </c>
      <c r="G600" t="s">
        <v>2229</v>
      </c>
      <c r="H600" t="s">
        <v>19</v>
      </c>
      <c r="I600" t="s">
        <v>158</v>
      </c>
      <c r="J600" t="s">
        <v>176</v>
      </c>
      <c r="K600" t="s">
        <v>159</v>
      </c>
      <c r="M600" t="s">
        <v>27</v>
      </c>
      <c r="N600" t="s">
        <v>178</v>
      </c>
      <c r="P600" t="s">
        <v>178</v>
      </c>
      <c r="Q600" t="s">
        <v>63</v>
      </c>
      <c r="R600" t="s">
        <v>175</v>
      </c>
      <c r="V600">
        <v>2</v>
      </c>
    </row>
    <row r="601" spans="4:22" x14ac:dyDescent="0.45">
      <c r="D601" t="s">
        <v>880</v>
      </c>
      <c r="E601" t="s">
        <v>2246</v>
      </c>
      <c r="F601" t="s">
        <v>290</v>
      </c>
      <c r="G601" t="s">
        <v>2231</v>
      </c>
      <c r="H601" t="s">
        <v>19</v>
      </c>
      <c r="I601" t="s">
        <v>158</v>
      </c>
      <c r="J601" t="s">
        <v>176</v>
      </c>
      <c r="K601" t="s">
        <v>159</v>
      </c>
      <c r="M601" t="s">
        <v>27</v>
      </c>
      <c r="N601" t="s">
        <v>178</v>
      </c>
      <c r="P601" t="s">
        <v>178</v>
      </c>
      <c r="Q601" t="s">
        <v>64</v>
      </c>
      <c r="R601" t="s">
        <v>175</v>
      </c>
      <c r="V601">
        <v>2</v>
      </c>
    </row>
    <row r="602" spans="4:22" x14ac:dyDescent="0.45">
      <c r="D602" t="s">
        <v>881</v>
      </c>
      <c r="E602" t="s">
        <v>2247</v>
      </c>
      <c r="F602" t="s">
        <v>290</v>
      </c>
      <c r="G602" t="s">
        <v>2233</v>
      </c>
      <c r="H602" t="s">
        <v>19</v>
      </c>
      <c r="I602" t="s">
        <v>158</v>
      </c>
      <c r="J602" t="s">
        <v>176</v>
      </c>
      <c r="K602" t="s">
        <v>159</v>
      </c>
      <c r="M602" t="s">
        <v>27</v>
      </c>
      <c r="N602" t="s">
        <v>178</v>
      </c>
      <c r="P602" t="s">
        <v>178</v>
      </c>
      <c r="Q602" t="s">
        <v>65</v>
      </c>
      <c r="R602" t="s">
        <v>175</v>
      </c>
      <c r="V602">
        <v>2</v>
      </c>
    </row>
    <row r="603" spans="4:22" x14ac:dyDescent="0.45">
      <c r="D603" t="s">
        <v>882</v>
      </c>
      <c r="E603" t="s">
        <v>2248</v>
      </c>
      <c r="F603" t="s">
        <v>290</v>
      </c>
      <c r="G603" t="s">
        <v>2235</v>
      </c>
      <c r="H603" t="s">
        <v>19</v>
      </c>
      <c r="I603" t="s">
        <v>158</v>
      </c>
      <c r="J603" t="s">
        <v>176</v>
      </c>
      <c r="K603" t="s">
        <v>159</v>
      </c>
      <c r="M603" t="s">
        <v>27</v>
      </c>
      <c r="N603" t="s">
        <v>178</v>
      </c>
      <c r="P603" t="s">
        <v>178</v>
      </c>
      <c r="Q603" t="s">
        <v>66</v>
      </c>
      <c r="R603" t="s">
        <v>175</v>
      </c>
      <c r="V603">
        <v>2</v>
      </c>
    </row>
    <row r="604" spans="4:22" x14ac:dyDescent="0.45">
      <c r="D604" t="s">
        <v>883</v>
      </c>
      <c r="E604" t="s">
        <v>2249</v>
      </c>
      <c r="F604" t="s">
        <v>290</v>
      </c>
      <c r="G604" t="s">
        <v>2237</v>
      </c>
      <c r="H604" t="s">
        <v>19</v>
      </c>
      <c r="I604" t="s">
        <v>158</v>
      </c>
      <c r="J604" t="s">
        <v>176</v>
      </c>
      <c r="K604" t="s">
        <v>159</v>
      </c>
      <c r="M604" t="s">
        <v>27</v>
      </c>
      <c r="N604" t="s">
        <v>178</v>
      </c>
      <c r="P604" t="s">
        <v>178</v>
      </c>
      <c r="Q604" t="s">
        <v>113</v>
      </c>
      <c r="R604" t="s">
        <v>175</v>
      </c>
      <c r="V604">
        <v>2</v>
      </c>
    </row>
    <row r="605" spans="4:22" x14ac:dyDescent="0.45">
      <c r="D605" t="s">
        <v>884</v>
      </c>
      <c r="E605" t="s">
        <v>2250</v>
      </c>
      <c r="F605" t="s">
        <v>290</v>
      </c>
      <c r="G605" t="s">
        <v>2239</v>
      </c>
      <c r="H605" t="s">
        <v>19</v>
      </c>
      <c r="I605" t="s">
        <v>158</v>
      </c>
      <c r="J605" t="s">
        <v>176</v>
      </c>
      <c r="K605" t="s">
        <v>159</v>
      </c>
      <c r="M605" t="s">
        <v>27</v>
      </c>
      <c r="N605" t="s">
        <v>178</v>
      </c>
      <c r="P605" t="s">
        <v>178</v>
      </c>
      <c r="Q605" t="s">
        <v>162</v>
      </c>
      <c r="R605" t="s">
        <v>175</v>
      </c>
      <c r="V605">
        <v>2</v>
      </c>
    </row>
    <row r="606" spans="4:22" x14ac:dyDescent="0.45">
      <c r="D606" t="s">
        <v>885</v>
      </c>
      <c r="E606" t="s">
        <v>2251</v>
      </c>
      <c r="F606" t="s">
        <v>290</v>
      </c>
      <c r="G606" t="s">
        <v>2241</v>
      </c>
      <c r="H606" t="s">
        <v>19</v>
      </c>
      <c r="I606" t="s">
        <v>158</v>
      </c>
      <c r="J606" t="s">
        <v>176</v>
      </c>
      <c r="K606" t="s">
        <v>159</v>
      </c>
      <c r="M606" t="s">
        <v>27</v>
      </c>
      <c r="N606" t="s">
        <v>178</v>
      </c>
      <c r="P606" t="s">
        <v>178</v>
      </c>
      <c r="Q606" t="s">
        <v>174</v>
      </c>
      <c r="R606" t="s">
        <v>175</v>
      </c>
      <c r="V606">
        <v>2</v>
      </c>
    </row>
    <row r="607" spans="4:22" x14ac:dyDescent="0.45">
      <c r="D607" t="s">
        <v>886</v>
      </c>
      <c r="E607" t="s">
        <v>2252</v>
      </c>
      <c r="F607" t="s">
        <v>290</v>
      </c>
      <c r="G607" t="s">
        <v>2243</v>
      </c>
      <c r="H607" t="s">
        <v>19</v>
      </c>
      <c r="I607" t="s">
        <v>158</v>
      </c>
      <c r="J607" t="s">
        <v>176</v>
      </c>
      <c r="K607" t="s">
        <v>159</v>
      </c>
      <c r="M607" t="s">
        <v>27</v>
      </c>
      <c r="N607" t="s">
        <v>179</v>
      </c>
      <c r="P607" t="s">
        <v>179</v>
      </c>
      <c r="Q607" t="s">
        <v>60</v>
      </c>
      <c r="R607" t="s">
        <v>175</v>
      </c>
      <c r="V607">
        <v>2</v>
      </c>
    </row>
    <row r="608" spans="4:22" x14ac:dyDescent="0.45">
      <c r="D608" t="s">
        <v>887</v>
      </c>
      <c r="E608" t="s">
        <v>2253</v>
      </c>
      <c r="F608" t="s">
        <v>290</v>
      </c>
      <c r="G608" t="s">
        <v>2227</v>
      </c>
      <c r="H608" t="s">
        <v>19</v>
      </c>
      <c r="I608" t="s">
        <v>158</v>
      </c>
      <c r="J608" t="s">
        <v>176</v>
      </c>
      <c r="K608" t="s">
        <v>159</v>
      </c>
      <c r="M608" t="s">
        <v>27</v>
      </c>
      <c r="N608" t="s">
        <v>179</v>
      </c>
      <c r="P608" t="s">
        <v>179</v>
      </c>
      <c r="Q608" t="s">
        <v>61</v>
      </c>
      <c r="R608" t="s">
        <v>175</v>
      </c>
      <c r="V608">
        <v>2</v>
      </c>
    </row>
    <row r="609" spans="4:22" x14ac:dyDescent="0.45">
      <c r="D609" t="s">
        <v>888</v>
      </c>
      <c r="E609" t="s">
        <v>2254</v>
      </c>
      <c r="F609" t="s">
        <v>290</v>
      </c>
      <c r="G609" t="s">
        <v>2229</v>
      </c>
      <c r="H609" t="s">
        <v>19</v>
      </c>
      <c r="I609" t="s">
        <v>158</v>
      </c>
      <c r="J609" t="s">
        <v>176</v>
      </c>
      <c r="K609" t="s">
        <v>159</v>
      </c>
      <c r="M609" t="s">
        <v>27</v>
      </c>
      <c r="N609" t="s">
        <v>179</v>
      </c>
      <c r="P609" t="s">
        <v>179</v>
      </c>
      <c r="Q609" t="s">
        <v>63</v>
      </c>
      <c r="R609" t="s">
        <v>175</v>
      </c>
      <c r="V609">
        <v>2</v>
      </c>
    </row>
    <row r="610" spans="4:22" x14ac:dyDescent="0.45">
      <c r="D610" t="s">
        <v>889</v>
      </c>
      <c r="E610" t="s">
        <v>2255</v>
      </c>
      <c r="F610" t="s">
        <v>290</v>
      </c>
      <c r="G610" t="s">
        <v>2231</v>
      </c>
      <c r="H610" t="s">
        <v>19</v>
      </c>
      <c r="I610" t="s">
        <v>158</v>
      </c>
      <c r="J610" t="s">
        <v>176</v>
      </c>
      <c r="K610" t="s">
        <v>159</v>
      </c>
      <c r="M610" t="s">
        <v>27</v>
      </c>
      <c r="N610" t="s">
        <v>179</v>
      </c>
      <c r="P610" t="s">
        <v>179</v>
      </c>
      <c r="Q610" t="s">
        <v>64</v>
      </c>
      <c r="R610" t="s">
        <v>175</v>
      </c>
      <c r="V610">
        <v>2</v>
      </c>
    </row>
    <row r="611" spans="4:22" x14ac:dyDescent="0.45">
      <c r="D611" t="s">
        <v>890</v>
      </c>
      <c r="E611" t="s">
        <v>2256</v>
      </c>
      <c r="F611" t="s">
        <v>290</v>
      </c>
      <c r="G611" t="s">
        <v>2233</v>
      </c>
      <c r="H611" t="s">
        <v>19</v>
      </c>
      <c r="I611" t="s">
        <v>158</v>
      </c>
      <c r="J611" t="s">
        <v>176</v>
      </c>
      <c r="K611" t="s">
        <v>159</v>
      </c>
      <c r="M611" t="s">
        <v>27</v>
      </c>
      <c r="N611" t="s">
        <v>179</v>
      </c>
      <c r="P611" t="s">
        <v>179</v>
      </c>
      <c r="Q611" t="s">
        <v>65</v>
      </c>
      <c r="R611" t="s">
        <v>175</v>
      </c>
      <c r="V611">
        <v>2</v>
      </c>
    </row>
    <row r="612" spans="4:22" x14ac:dyDescent="0.45">
      <c r="D612" t="s">
        <v>891</v>
      </c>
      <c r="E612" t="s">
        <v>2257</v>
      </c>
      <c r="F612" t="s">
        <v>290</v>
      </c>
      <c r="G612" t="s">
        <v>2235</v>
      </c>
      <c r="H612" t="s">
        <v>19</v>
      </c>
      <c r="I612" t="s">
        <v>158</v>
      </c>
      <c r="J612" t="s">
        <v>176</v>
      </c>
      <c r="K612" t="s">
        <v>159</v>
      </c>
      <c r="M612" t="s">
        <v>27</v>
      </c>
      <c r="N612" t="s">
        <v>179</v>
      </c>
      <c r="P612" t="s">
        <v>179</v>
      </c>
      <c r="Q612" t="s">
        <v>66</v>
      </c>
      <c r="R612" t="s">
        <v>175</v>
      </c>
      <c r="V612">
        <v>2</v>
      </c>
    </row>
    <row r="613" spans="4:22" x14ac:dyDescent="0.45">
      <c r="D613" t="s">
        <v>892</v>
      </c>
      <c r="E613" t="s">
        <v>2258</v>
      </c>
      <c r="F613" t="s">
        <v>290</v>
      </c>
      <c r="G613" t="s">
        <v>2237</v>
      </c>
      <c r="H613" t="s">
        <v>19</v>
      </c>
      <c r="I613" t="s">
        <v>158</v>
      </c>
      <c r="J613" t="s">
        <v>176</v>
      </c>
      <c r="K613" t="s">
        <v>159</v>
      </c>
      <c r="M613" t="s">
        <v>27</v>
      </c>
      <c r="N613" t="s">
        <v>179</v>
      </c>
      <c r="P613" t="s">
        <v>179</v>
      </c>
      <c r="Q613" t="s">
        <v>113</v>
      </c>
      <c r="R613" t="s">
        <v>175</v>
      </c>
      <c r="V613">
        <v>2</v>
      </c>
    </row>
    <row r="614" spans="4:22" x14ac:dyDescent="0.45">
      <c r="D614" t="s">
        <v>893</v>
      </c>
      <c r="E614" t="s">
        <v>2259</v>
      </c>
      <c r="F614" t="s">
        <v>290</v>
      </c>
      <c r="G614" t="s">
        <v>2239</v>
      </c>
      <c r="H614" t="s">
        <v>19</v>
      </c>
      <c r="I614" t="s">
        <v>158</v>
      </c>
      <c r="J614" t="s">
        <v>176</v>
      </c>
      <c r="K614" t="s">
        <v>159</v>
      </c>
      <c r="M614" t="s">
        <v>27</v>
      </c>
      <c r="N614" t="s">
        <v>179</v>
      </c>
      <c r="P614" t="s">
        <v>179</v>
      </c>
      <c r="Q614" t="s">
        <v>162</v>
      </c>
      <c r="R614" t="s">
        <v>175</v>
      </c>
      <c r="V614">
        <v>2</v>
      </c>
    </row>
    <row r="615" spans="4:22" x14ac:dyDescent="0.45">
      <c r="D615" t="s">
        <v>894</v>
      </c>
      <c r="E615" t="s">
        <v>2260</v>
      </c>
      <c r="F615" t="s">
        <v>290</v>
      </c>
      <c r="G615" t="s">
        <v>2241</v>
      </c>
      <c r="H615" t="s">
        <v>19</v>
      </c>
      <c r="I615" t="s">
        <v>158</v>
      </c>
      <c r="J615" t="s">
        <v>176</v>
      </c>
      <c r="K615" t="s">
        <v>159</v>
      </c>
      <c r="M615" t="s">
        <v>27</v>
      </c>
      <c r="N615" t="s">
        <v>179</v>
      </c>
      <c r="P615" t="s">
        <v>179</v>
      </c>
      <c r="Q615" t="s">
        <v>174</v>
      </c>
      <c r="R615" t="s">
        <v>175</v>
      </c>
      <c r="V615">
        <v>2</v>
      </c>
    </row>
    <row r="616" spans="4:22" x14ac:dyDescent="0.45">
      <c r="D616" t="s">
        <v>895</v>
      </c>
      <c r="E616" t="s">
        <v>2261</v>
      </c>
      <c r="F616" t="s">
        <v>290</v>
      </c>
      <c r="G616" t="s">
        <v>2243</v>
      </c>
      <c r="H616" t="s">
        <v>19</v>
      </c>
      <c r="I616" t="s">
        <v>158</v>
      </c>
      <c r="J616" t="s">
        <v>176</v>
      </c>
      <c r="K616" t="s">
        <v>159</v>
      </c>
      <c r="M616" t="s">
        <v>27</v>
      </c>
      <c r="N616" t="s">
        <v>182</v>
      </c>
      <c r="P616" t="s">
        <v>182</v>
      </c>
      <c r="Q616" t="s">
        <v>60</v>
      </c>
      <c r="R616" t="s">
        <v>175</v>
      </c>
      <c r="V616">
        <v>2</v>
      </c>
    </row>
    <row r="617" spans="4:22" x14ac:dyDescent="0.45">
      <c r="D617" t="s">
        <v>896</v>
      </c>
      <c r="E617" t="s">
        <v>2262</v>
      </c>
      <c r="F617" t="s">
        <v>290</v>
      </c>
      <c r="G617" t="s">
        <v>2227</v>
      </c>
      <c r="H617" t="s">
        <v>19</v>
      </c>
      <c r="I617" t="s">
        <v>158</v>
      </c>
      <c r="J617" t="s">
        <v>176</v>
      </c>
      <c r="K617" t="s">
        <v>159</v>
      </c>
      <c r="M617" t="s">
        <v>27</v>
      </c>
      <c r="N617" t="s">
        <v>182</v>
      </c>
      <c r="P617" t="s">
        <v>182</v>
      </c>
      <c r="Q617" t="s">
        <v>61</v>
      </c>
      <c r="R617" t="s">
        <v>175</v>
      </c>
      <c r="V617">
        <v>2</v>
      </c>
    </row>
    <row r="618" spans="4:22" x14ac:dyDescent="0.45">
      <c r="D618" t="s">
        <v>897</v>
      </c>
      <c r="E618" t="s">
        <v>2263</v>
      </c>
      <c r="F618" t="s">
        <v>290</v>
      </c>
      <c r="G618" t="s">
        <v>2229</v>
      </c>
      <c r="H618" t="s">
        <v>19</v>
      </c>
      <c r="I618" t="s">
        <v>158</v>
      </c>
      <c r="J618" t="s">
        <v>176</v>
      </c>
      <c r="K618" t="s">
        <v>159</v>
      </c>
      <c r="M618" t="s">
        <v>27</v>
      </c>
      <c r="N618" t="s">
        <v>182</v>
      </c>
      <c r="P618" t="s">
        <v>182</v>
      </c>
      <c r="Q618" t="s">
        <v>63</v>
      </c>
      <c r="R618" t="s">
        <v>175</v>
      </c>
      <c r="V618">
        <v>2</v>
      </c>
    </row>
    <row r="619" spans="4:22" x14ac:dyDescent="0.45">
      <c r="D619" t="s">
        <v>898</v>
      </c>
      <c r="E619" t="s">
        <v>2264</v>
      </c>
      <c r="F619" t="s">
        <v>290</v>
      </c>
      <c r="G619" t="s">
        <v>2231</v>
      </c>
      <c r="H619" t="s">
        <v>19</v>
      </c>
      <c r="I619" t="s">
        <v>158</v>
      </c>
      <c r="J619" t="s">
        <v>176</v>
      </c>
      <c r="K619" t="s">
        <v>159</v>
      </c>
      <c r="M619" t="s">
        <v>27</v>
      </c>
      <c r="N619" t="s">
        <v>182</v>
      </c>
      <c r="P619" t="s">
        <v>182</v>
      </c>
      <c r="Q619" t="s">
        <v>64</v>
      </c>
      <c r="R619" t="s">
        <v>175</v>
      </c>
      <c r="V619">
        <v>2</v>
      </c>
    </row>
    <row r="620" spans="4:22" x14ac:dyDescent="0.45">
      <c r="D620" t="s">
        <v>899</v>
      </c>
      <c r="E620" t="s">
        <v>2265</v>
      </c>
      <c r="F620" t="s">
        <v>290</v>
      </c>
      <c r="G620" t="s">
        <v>2233</v>
      </c>
      <c r="H620" t="s">
        <v>19</v>
      </c>
      <c r="I620" t="s">
        <v>158</v>
      </c>
      <c r="J620" t="s">
        <v>176</v>
      </c>
      <c r="K620" t="s">
        <v>159</v>
      </c>
      <c r="M620" t="s">
        <v>27</v>
      </c>
      <c r="N620" t="s">
        <v>182</v>
      </c>
      <c r="P620" t="s">
        <v>182</v>
      </c>
      <c r="Q620" t="s">
        <v>65</v>
      </c>
      <c r="R620" t="s">
        <v>175</v>
      </c>
      <c r="V620">
        <v>2</v>
      </c>
    </row>
    <row r="621" spans="4:22" x14ac:dyDescent="0.45">
      <c r="D621" t="s">
        <v>900</v>
      </c>
      <c r="E621" t="s">
        <v>2266</v>
      </c>
      <c r="F621" t="s">
        <v>290</v>
      </c>
      <c r="G621" t="s">
        <v>2235</v>
      </c>
      <c r="H621" t="s">
        <v>19</v>
      </c>
      <c r="I621" t="s">
        <v>158</v>
      </c>
      <c r="J621" t="s">
        <v>176</v>
      </c>
      <c r="K621" t="s">
        <v>159</v>
      </c>
      <c r="M621" t="s">
        <v>27</v>
      </c>
      <c r="N621" t="s">
        <v>182</v>
      </c>
      <c r="P621" t="s">
        <v>182</v>
      </c>
      <c r="Q621" t="s">
        <v>66</v>
      </c>
      <c r="R621" t="s">
        <v>175</v>
      </c>
      <c r="V621">
        <v>2</v>
      </c>
    </row>
    <row r="622" spans="4:22" x14ac:dyDescent="0.45">
      <c r="D622" t="s">
        <v>901</v>
      </c>
      <c r="E622" t="s">
        <v>2267</v>
      </c>
      <c r="F622" t="s">
        <v>290</v>
      </c>
      <c r="G622" t="s">
        <v>2237</v>
      </c>
      <c r="H622" t="s">
        <v>19</v>
      </c>
      <c r="I622" t="s">
        <v>158</v>
      </c>
      <c r="J622" t="s">
        <v>176</v>
      </c>
      <c r="K622" t="s">
        <v>159</v>
      </c>
      <c r="M622" t="s">
        <v>27</v>
      </c>
      <c r="N622" t="s">
        <v>182</v>
      </c>
      <c r="P622" t="s">
        <v>182</v>
      </c>
      <c r="Q622" t="s">
        <v>113</v>
      </c>
      <c r="R622" t="s">
        <v>175</v>
      </c>
      <c r="V622">
        <v>2</v>
      </c>
    </row>
    <row r="623" spans="4:22" x14ac:dyDescent="0.45">
      <c r="D623" t="s">
        <v>902</v>
      </c>
      <c r="E623" t="s">
        <v>2268</v>
      </c>
      <c r="F623" t="s">
        <v>290</v>
      </c>
      <c r="G623" t="s">
        <v>2239</v>
      </c>
      <c r="H623" t="s">
        <v>19</v>
      </c>
      <c r="I623" t="s">
        <v>158</v>
      </c>
      <c r="J623" t="s">
        <v>176</v>
      </c>
      <c r="K623" t="s">
        <v>159</v>
      </c>
      <c r="M623" t="s">
        <v>27</v>
      </c>
      <c r="N623" t="s">
        <v>182</v>
      </c>
      <c r="P623" t="s">
        <v>182</v>
      </c>
      <c r="Q623" t="s">
        <v>162</v>
      </c>
      <c r="R623" t="s">
        <v>175</v>
      </c>
      <c r="V623">
        <v>2</v>
      </c>
    </row>
    <row r="624" spans="4:22" x14ac:dyDescent="0.45">
      <c r="D624" t="s">
        <v>903</v>
      </c>
      <c r="E624" t="s">
        <v>2269</v>
      </c>
      <c r="F624" t="s">
        <v>290</v>
      </c>
      <c r="G624" t="s">
        <v>2241</v>
      </c>
      <c r="H624" t="s">
        <v>19</v>
      </c>
      <c r="I624" t="s">
        <v>158</v>
      </c>
      <c r="J624" t="s">
        <v>176</v>
      </c>
      <c r="K624" t="s">
        <v>159</v>
      </c>
      <c r="M624" t="s">
        <v>27</v>
      </c>
      <c r="N624" t="s">
        <v>182</v>
      </c>
      <c r="P624" t="s">
        <v>182</v>
      </c>
      <c r="Q624" t="s">
        <v>174</v>
      </c>
      <c r="R624" t="s">
        <v>175</v>
      </c>
      <c r="V624">
        <v>2</v>
      </c>
    </row>
    <row r="625" spans="4:22" x14ac:dyDescent="0.45">
      <c r="D625" t="s">
        <v>904</v>
      </c>
      <c r="E625" t="s">
        <v>2270</v>
      </c>
      <c r="F625" t="s">
        <v>290</v>
      </c>
      <c r="G625" t="s">
        <v>2271</v>
      </c>
      <c r="H625" t="s">
        <v>19</v>
      </c>
      <c r="I625" t="s">
        <v>158</v>
      </c>
      <c r="J625" t="s">
        <v>176</v>
      </c>
      <c r="K625" t="s">
        <v>159</v>
      </c>
      <c r="M625" t="s">
        <v>27</v>
      </c>
      <c r="N625" t="s">
        <v>182</v>
      </c>
      <c r="P625" t="s">
        <v>182</v>
      </c>
      <c r="Q625" t="s">
        <v>180</v>
      </c>
      <c r="R625" t="s">
        <v>175</v>
      </c>
      <c r="V625">
        <v>2</v>
      </c>
    </row>
    <row r="626" spans="4:22" x14ac:dyDescent="0.45">
      <c r="D626" t="s">
        <v>905</v>
      </c>
      <c r="E626" t="s">
        <v>2272</v>
      </c>
      <c r="F626" t="s">
        <v>290</v>
      </c>
      <c r="G626" t="s">
        <v>2223</v>
      </c>
      <c r="H626" t="s">
        <v>19</v>
      </c>
      <c r="I626" t="s">
        <v>158</v>
      </c>
      <c r="J626" t="s">
        <v>67</v>
      </c>
      <c r="K626" t="s">
        <v>159</v>
      </c>
      <c r="N626" t="s">
        <v>164</v>
      </c>
      <c r="P626" t="s">
        <v>164</v>
      </c>
      <c r="Q626" t="s">
        <v>37</v>
      </c>
      <c r="R626" t="s">
        <v>175</v>
      </c>
      <c r="V626">
        <v>2</v>
      </c>
    </row>
    <row r="627" spans="4:22" x14ac:dyDescent="0.45">
      <c r="D627" t="s">
        <v>906</v>
      </c>
      <c r="E627" t="s">
        <v>2273</v>
      </c>
      <c r="F627" t="s">
        <v>290</v>
      </c>
      <c r="G627" t="s">
        <v>2243</v>
      </c>
      <c r="H627" t="s">
        <v>19</v>
      </c>
      <c r="I627" t="s">
        <v>158</v>
      </c>
      <c r="J627" t="s">
        <v>176</v>
      </c>
      <c r="K627" t="s">
        <v>159</v>
      </c>
      <c r="M627" t="s">
        <v>164</v>
      </c>
      <c r="N627" t="s">
        <v>28</v>
      </c>
      <c r="P627" t="s">
        <v>28</v>
      </c>
      <c r="Q627" t="s">
        <v>60</v>
      </c>
      <c r="R627" t="s">
        <v>175</v>
      </c>
      <c r="V627">
        <v>2</v>
      </c>
    </row>
    <row r="628" spans="4:22" x14ac:dyDescent="0.45">
      <c r="D628" t="s">
        <v>907</v>
      </c>
      <c r="E628" t="s">
        <v>2274</v>
      </c>
      <c r="F628" t="s">
        <v>290</v>
      </c>
      <c r="G628" t="s">
        <v>2227</v>
      </c>
      <c r="H628" t="s">
        <v>19</v>
      </c>
      <c r="I628" t="s">
        <v>158</v>
      </c>
      <c r="J628" t="s">
        <v>176</v>
      </c>
      <c r="K628" t="s">
        <v>159</v>
      </c>
      <c r="M628" t="s">
        <v>164</v>
      </c>
      <c r="N628" t="s">
        <v>28</v>
      </c>
      <c r="P628" t="s">
        <v>28</v>
      </c>
      <c r="Q628" t="s">
        <v>61</v>
      </c>
      <c r="R628" t="s">
        <v>175</v>
      </c>
      <c r="V628">
        <v>2</v>
      </c>
    </row>
    <row r="629" spans="4:22" x14ac:dyDescent="0.45">
      <c r="D629" t="s">
        <v>908</v>
      </c>
      <c r="E629" t="s">
        <v>2275</v>
      </c>
      <c r="F629" t="s">
        <v>290</v>
      </c>
      <c r="G629" t="s">
        <v>2229</v>
      </c>
      <c r="H629" t="s">
        <v>19</v>
      </c>
      <c r="I629" t="s">
        <v>158</v>
      </c>
      <c r="J629" t="s">
        <v>176</v>
      </c>
      <c r="K629" t="s">
        <v>159</v>
      </c>
      <c r="M629" t="s">
        <v>164</v>
      </c>
      <c r="N629" t="s">
        <v>28</v>
      </c>
      <c r="P629" t="s">
        <v>28</v>
      </c>
      <c r="Q629" t="s">
        <v>63</v>
      </c>
      <c r="R629" t="s">
        <v>175</v>
      </c>
      <c r="V629">
        <v>2</v>
      </c>
    </row>
    <row r="630" spans="4:22" x14ac:dyDescent="0.45">
      <c r="D630" t="s">
        <v>909</v>
      </c>
      <c r="E630" t="s">
        <v>2276</v>
      </c>
      <c r="F630" t="s">
        <v>290</v>
      </c>
      <c r="G630" t="s">
        <v>2231</v>
      </c>
      <c r="H630" t="s">
        <v>19</v>
      </c>
      <c r="I630" t="s">
        <v>158</v>
      </c>
      <c r="J630" t="s">
        <v>176</v>
      </c>
      <c r="K630" t="s">
        <v>159</v>
      </c>
      <c r="M630" t="s">
        <v>164</v>
      </c>
      <c r="N630" t="s">
        <v>28</v>
      </c>
      <c r="P630" t="s">
        <v>28</v>
      </c>
      <c r="Q630" t="s">
        <v>64</v>
      </c>
      <c r="R630" t="s">
        <v>175</v>
      </c>
      <c r="V630">
        <v>2</v>
      </c>
    </row>
    <row r="631" spans="4:22" x14ac:dyDescent="0.45">
      <c r="D631" t="s">
        <v>910</v>
      </c>
      <c r="E631" t="s">
        <v>2277</v>
      </c>
      <c r="F631" t="s">
        <v>290</v>
      </c>
      <c r="G631" t="s">
        <v>2233</v>
      </c>
      <c r="H631" t="s">
        <v>19</v>
      </c>
      <c r="I631" t="s">
        <v>158</v>
      </c>
      <c r="J631" t="s">
        <v>176</v>
      </c>
      <c r="K631" t="s">
        <v>159</v>
      </c>
      <c r="M631" t="s">
        <v>164</v>
      </c>
      <c r="N631" t="s">
        <v>28</v>
      </c>
      <c r="P631" t="s">
        <v>28</v>
      </c>
      <c r="Q631" t="s">
        <v>65</v>
      </c>
      <c r="R631" t="s">
        <v>175</v>
      </c>
      <c r="V631">
        <v>2</v>
      </c>
    </row>
    <row r="632" spans="4:22" x14ac:dyDescent="0.45">
      <c r="D632" t="s">
        <v>911</v>
      </c>
      <c r="E632" t="s">
        <v>2278</v>
      </c>
      <c r="F632" t="s">
        <v>290</v>
      </c>
      <c r="G632" t="s">
        <v>2235</v>
      </c>
      <c r="H632" t="s">
        <v>19</v>
      </c>
      <c r="I632" t="s">
        <v>158</v>
      </c>
      <c r="J632" t="s">
        <v>176</v>
      </c>
      <c r="K632" t="s">
        <v>159</v>
      </c>
      <c r="M632" t="s">
        <v>164</v>
      </c>
      <c r="N632" t="s">
        <v>28</v>
      </c>
      <c r="P632" t="s">
        <v>28</v>
      </c>
      <c r="Q632" t="s">
        <v>66</v>
      </c>
      <c r="R632" t="s">
        <v>175</v>
      </c>
      <c r="V632">
        <v>2</v>
      </c>
    </row>
    <row r="633" spans="4:22" x14ac:dyDescent="0.45">
      <c r="D633" t="s">
        <v>912</v>
      </c>
      <c r="E633" t="s">
        <v>2279</v>
      </c>
      <c r="F633" t="s">
        <v>290</v>
      </c>
      <c r="G633" t="s">
        <v>2237</v>
      </c>
      <c r="H633" t="s">
        <v>19</v>
      </c>
      <c r="I633" t="s">
        <v>158</v>
      </c>
      <c r="J633" t="s">
        <v>176</v>
      </c>
      <c r="K633" t="s">
        <v>159</v>
      </c>
      <c r="M633" t="s">
        <v>164</v>
      </c>
      <c r="N633" t="s">
        <v>28</v>
      </c>
      <c r="P633" t="s">
        <v>28</v>
      </c>
      <c r="Q633" t="s">
        <v>113</v>
      </c>
      <c r="R633" t="s">
        <v>175</v>
      </c>
      <c r="V633">
        <v>2</v>
      </c>
    </row>
    <row r="634" spans="4:22" x14ac:dyDescent="0.45">
      <c r="D634" t="s">
        <v>913</v>
      </c>
      <c r="E634" t="s">
        <v>2280</v>
      </c>
      <c r="F634" t="s">
        <v>290</v>
      </c>
      <c r="G634" t="s">
        <v>2239</v>
      </c>
      <c r="H634" t="s">
        <v>19</v>
      </c>
      <c r="I634" t="s">
        <v>158</v>
      </c>
      <c r="J634" t="s">
        <v>176</v>
      </c>
      <c r="K634" t="s">
        <v>159</v>
      </c>
      <c r="M634" t="s">
        <v>164</v>
      </c>
      <c r="N634" t="s">
        <v>28</v>
      </c>
      <c r="P634" t="s">
        <v>28</v>
      </c>
      <c r="Q634" t="s">
        <v>162</v>
      </c>
      <c r="R634" t="s">
        <v>175</v>
      </c>
      <c r="V634">
        <v>2</v>
      </c>
    </row>
    <row r="635" spans="4:22" x14ac:dyDescent="0.45">
      <c r="D635" t="s">
        <v>914</v>
      </c>
      <c r="E635" t="s">
        <v>2281</v>
      </c>
      <c r="F635" t="s">
        <v>290</v>
      </c>
      <c r="G635" t="s">
        <v>2241</v>
      </c>
      <c r="H635" t="s">
        <v>19</v>
      </c>
      <c r="I635" t="s">
        <v>158</v>
      </c>
      <c r="J635" t="s">
        <v>176</v>
      </c>
      <c r="K635" t="s">
        <v>159</v>
      </c>
      <c r="M635" t="s">
        <v>164</v>
      </c>
      <c r="N635" t="s">
        <v>28</v>
      </c>
      <c r="P635" t="s">
        <v>28</v>
      </c>
      <c r="Q635" t="s">
        <v>174</v>
      </c>
      <c r="R635" t="s">
        <v>175</v>
      </c>
      <c r="V635">
        <v>2</v>
      </c>
    </row>
    <row r="636" spans="4:22" x14ac:dyDescent="0.45">
      <c r="D636" t="s">
        <v>915</v>
      </c>
      <c r="E636" t="s">
        <v>2282</v>
      </c>
      <c r="F636" t="s">
        <v>290</v>
      </c>
      <c r="G636" t="s">
        <v>2243</v>
      </c>
      <c r="H636" t="s">
        <v>19</v>
      </c>
      <c r="I636" t="s">
        <v>158</v>
      </c>
      <c r="J636" t="s">
        <v>176</v>
      </c>
      <c r="K636" t="s">
        <v>159</v>
      </c>
      <c r="M636" t="s">
        <v>164</v>
      </c>
      <c r="N636" t="s">
        <v>183</v>
      </c>
      <c r="P636" t="s">
        <v>183</v>
      </c>
      <c r="Q636" t="s">
        <v>60</v>
      </c>
      <c r="R636" t="s">
        <v>175</v>
      </c>
      <c r="V636">
        <v>2</v>
      </c>
    </row>
    <row r="637" spans="4:22" x14ac:dyDescent="0.45">
      <c r="D637" t="s">
        <v>916</v>
      </c>
      <c r="E637" t="s">
        <v>2283</v>
      </c>
      <c r="F637" t="s">
        <v>290</v>
      </c>
      <c r="G637" t="s">
        <v>2227</v>
      </c>
      <c r="H637" t="s">
        <v>19</v>
      </c>
      <c r="I637" t="s">
        <v>158</v>
      </c>
      <c r="J637" t="s">
        <v>176</v>
      </c>
      <c r="K637" t="s">
        <v>159</v>
      </c>
      <c r="M637" t="s">
        <v>164</v>
      </c>
      <c r="N637" t="s">
        <v>183</v>
      </c>
      <c r="P637" t="s">
        <v>183</v>
      </c>
      <c r="Q637" t="s">
        <v>61</v>
      </c>
      <c r="R637" t="s">
        <v>175</v>
      </c>
      <c r="V637">
        <v>2</v>
      </c>
    </row>
    <row r="638" spans="4:22" x14ac:dyDescent="0.45">
      <c r="D638" t="s">
        <v>917</v>
      </c>
      <c r="E638" t="s">
        <v>2284</v>
      </c>
      <c r="F638" t="s">
        <v>290</v>
      </c>
      <c r="G638" t="s">
        <v>2229</v>
      </c>
      <c r="H638" t="s">
        <v>19</v>
      </c>
      <c r="I638" t="s">
        <v>158</v>
      </c>
      <c r="J638" t="s">
        <v>176</v>
      </c>
      <c r="K638" t="s">
        <v>159</v>
      </c>
      <c r="M638" t="s">
        <v>164</v>
      </c>
      <c r="N638" t="s">
        <v>183</v>
      </c>
      <c r="P638" t="s">
        <v>183</v>
      </c>
      <c r="Q638" t="s">
        <v>63</v>
      </c>
      <c r="R638" t="s">
        <v>175</v>
      </c>
      <c r="V638">
        <v>2</v>
      </c>
    </row>
    <row r="639" spans="4:22" x14ac:dyDescent="0.45">
      <c r="D639" t="s">
        <v>918</v>
      </c>
      <c r="E639" t="s">
        <v>2285</v>
      </c>
      <c r="F639" t="s">
        <v>290</v>
      </c>
      <c r="G639" t="s">
        <v>2231</v>
      </c>
      <c r="H639" t="s">
        <v>19</v>
      </c>
      <c r="I639" t="s">
        <v>158</v>
      </c>
      <c r="J639" t="s">
        <v>176</v>
      </c>
      <c r="K639" t="s">
        <v>159</v>
      </c>
      <c r="M639" t="s">
        <v>164</v>
      </c>
      <c r="N639" t="s">
        <v>183</v>
      </c>
      <c r="P639" t="s">
        <v>183</v>
      </c>
      <c r="Q639" t="s">
        <v>64</v>
      </c>
      <c r="R639" t="s">
        <v>175</v>
      </c>
      <c r="V639">
        <v>2</v>
      </c>
    </row>
    <row r="640" spans="4:22" x14ac:dyDescent="0.45">
      <c r="D640" t="s">
        <v>919</v>
      </c>
      <c r="E640" t="s">
        <v>2286</v>
      </c>
      <c r="F640" t="s">
        <v>290</v>
      </c>
      <c r="G640" t="s">
        <v>2233</v>
      </c>
      <c r="H640" t="s">
        <v>19</v>
      </c>
      <c r="I640" t="s">
        <v>158</v>
      </c>
      <c r="J640" t="s">
        <v>176</v>
      </c>
      <c r="K640" t="s">
        <v>159</v>
      </c>
      <c r="M640" t="s">
        <v>164</v>
      </c>
      <c r="N640" t="s">
        <v>183</v>
      </c>
      <c r="P640" t="s">
        <v>183</v>
      </c>
      <c r="Q640" t="s">
        <v>65</v>
      </c>
      <c r="R640" t="s">
        <v>175</v>
      </c>
      <c r="V640">
        <v>2</v>
      </c>
    </row>
    <row r="641" spans="4:22" x14ac:dyDescent="0.45">
      <c r="D641" t="s">
        <v>920</v>
      </c>
      <c r="E641" t="s">
        <v>2287</v>
      </c>
      <c r="F641" t="s">
        <v>290</v>
      </c>
      <c r="G641" t="s">
        <v>2235</v>
      </c>
      <c r="H641" t="s">
        <v>19</v>
      </c>
      <c r="I641" t="s">
        <v>158</v>
      </c>
      <c r="J641" t="s">
        <v>176</v>
      </c>
      <c r="K641" t="s">
        <v>159</v>
      </c>
      <c r="M641" t="s">
        <v>164</v>
      </c>
      <c r="N641" t="s">
        <v>183</v>
      </c>
      <c r="P641" t="s">
        <v>183</v>
      </c>
      <c r="Q641" t="s">
        <v>66</v>
      </c>
      <c r="R641" t="s">
        <v>175</v>
      </c>
      <c r="V641">
        <v>2</v>
      </c>
    </row>
    <row r="642" spans="4:22" x14ac:dyDescent="0.45">
      <c r="D642" t="s">
        <v>921</v>
      </c>
      <c r="E642" t="s">
        <v>2288</v>
      </c>
      <c r="F642" t="s">
        <v>290</v>
      </c>
      <c r="G642" t="s">
        <v>2237</v>
      </c>
      <c r="H642" t="s">
        <v>19</v>
      </c>
      <c r="I642" t="s">
        <v>158</v>
      </c>
      <c r="J642" t="s">
        <v>176</v>
      </c>
      <c r="K642" t="s">
        <v>159</v>
      </c>
      <c r="M642" t="s">
        <v>164</v>
      </c>
      <c r="N642" t="s">
        <v>183</v>
      </c>
      <c r="P642" t="s">
        <v>183</v>
      </c>
      <c r="Q642" t="s">
        <v>113</v>
      </c>
      <c r="R642" t="s">
        <v>175</v>
      </c>
      <c r="V642">
        <v>2</v>
      </c>
    </row>
    <row r="643" spans="4:22" x14ac:dyDescent="0.45">
      <c r="D643" t="s">
        <v>922</v>
      </c>
      <c r="E643" t="s">
        <v>2289</v>
      </c>
      <c r="F643" t="s">
        <v>290</v>
      </c>
      <c r="G643" t="s">
        <v>2239</v>
      </c>
      <c r="H643" t="s">
        <v>19</v>
      </c>
      <c r="I643" t="s">
        <v>158</v>
      </c>
      <c r="J643" t="s">
        <v>176</v>
      </c>
      <c r="K643" t="s">
        <v>159</v>
      </c>
      <c r="M643" t="s">
        <v>164</v>
      </c>
      <c r="N643" t="s">
        <v>183</v>
      </c>
      <c r="P643" t="s">
        <v>183</v>
      </c>
      <c r="Q643" t="s">
        <v>162</v>
      </c>
      <c r="R643" t="s">
        <v>175</v>
      </c>
      <c r="V643">
        <v>2</v>
      </c>
    </row>
    <row r="644" spans="4:22" x14ac:dyDescent="0.45">
      <c r="D644" t="s">
        <v>923</v>
      </c>
      <c r="E644" t="s">
        <v>2290</v>
      </c>
      <c r="F644" t="s">
        <v>290</v>
      </c>
      <c r="G644" t="s">
        <v>2241</v>
      </c>
      <c r="H644" t="s">
        <v>19</v>
      </c>
      <c r="I644" t="s">
        <v>158</v>
      </c>
      <c r="J644" t="s">
        <v>176</v>
      </c>
      <c r="K644" t="s">
        <v>159</v>
      </c>
      <c r="M644" t="s">
        <v>164</v>
      </c>
      <c r="N644" t="s">
        <v>183</v>
      </c>
      <c r="P644" t="s">
        <v>183</v>
      </c>
      <c r="Q644" t="s">
        <v>174</v>
      </c>
      <c r="R644" t="s">
        <v>175</v>
      </c>
      <c r="V644">
        <v>2</v>
      </c>
    </row>
    <row r="645" spans="4:22" x14ac:dyDescent="0.45">
      <c r="D645" t="s">
        <v>924</v>
      </c>
      <c r="E645" t="s">
        <v>2291</v>
      </c>
      <c r="F645" t="s">
        <v>290</v>
      </c>
      <c r="G645" t="s">
        <v>2243</v>
      </c>
      <c r="H645" t="s">
        <v>19</v>
      </c>
      <c r="I645" t="s">
        <v>158</v>
      </c>
      <c r="J645" t="s">
        <v>176</v>
      </c>
      <c r="K645" t="s">
        <v>159</v>
      </c>
      <c r="M645" t="s">
        <v>164</v>
      </c>
      <c r="N645" t="s">
        <v>184</v>
      </c>
      <c r="P645" t="s">
        <v>184</v>
      </c>
      <c r="Q645" t="s">
        <v>60</v>
      </c>
      <c r="R645" t="s">
        <v>175</v>
      </c>
      <c r="V645">
        <v>2</v>
      </c>
    </row>
    <row r="646" spans="4:22" x14ac:dyDescent="0.45">
      <c r="D646" t="s">
        <v>925</v>
      </c>
      <c r="E646" t="s">
        <v>2292</v>
      </c>
      <c r="F646" t="s">
        <v>290</v>
      </c>
      <c r="G646" t="s">
        <v>2227</v>
      </c>
      <c r="H646" t="s">
        <v>19</v>
      </c>
      <c r="I646" t="s">
        <v>158</v>
      </c>
      <c r="J646" t="s">
        <v>176</v>
      </c>
      <c r="K646" t="s">
        <v>159</v>
      </c>
      <c r="M646" t="s">
        <v>164</v>
      </c>
      <c r="N646" t="s">
        <v>184</v>
      </c>
      <c r="P646" t="s">
        <v>184</v>
      </c>
      <c r="Q646" t="s">
        <v>61</v>
      </c>
      <c r="R646" t="s">
        <v>175</v>
      </c>
      <c r="V646">
        <v>2</v>
      </c>
    </row>
    <row r="647" spans="4:22" x14ac:dyDescent="0.45">
      <c r="D647" t="s">
        <v>926</v>
      </c>
      <c r="E647" t="s">
        <v>2293</v>
      </c>
      <c r="F647" t="s">
        <v>290</v>
      </c>
      <c r="G647" t="s">
        <v>2229</v>
      </c>
      <c r="H647" t="s">
        <v>19</v>
      </c>
      <c r="I647" t="s">
        <v>158</v>
      </c>
      <c r="J647" t="s">
        <v>176</v>
      </c>
      <c r="K647" t="s">
        <v>159</v>
      </c>
      <c r="M647" t="s">
        <v>164</v>
      </c>
      <c r="N647" t="s">
        <v>184</v>
      </c>
      <c r="P647" t="s">
        <v>184</v>
      </c>
      <c r="Q647" t="s">
        <v>63</v>
      </c>
      <c r="R647" t="s">
        <v>175</v>
      </c>
      <c r="V647">
        <v>2</v>
      </c>
    </row>
    <row r="648" spans="4:22" x14ac:dyDescent="0.45">
      <c r="D648" t="s">
        <v>927</v>
      </c>
      <c r="E648" t="s">
        <v>2294</v>
      </c>
      <c r="F648" t="s">
        <v>290</v>
      </c>
      <c r="G648" t="s">
        <v>2231</v>
      </c>
      <c r="H648" t="s">
        <v>19</v>
      </c>
      <c r="I648" t="s">
        <v>158</v>
      </c>
      <c r="J648" t="s">
        <v>176</v>
      </c>
      <c r="K648" t="s">
        <v>159</v>
      </c>
      <c r="M648" t="s">
        <v>164</v>
      </c>
      <c r="N648" t="s">
        <v>184</v>
      </c>
      <c r="P648" t="s">
        <v>184</v>
      </c>
      <c r="Q648" t="s">
        <v>64</v>
      </c>
      <c r="R648" t="s">
        <v>175</v>
      </c>
      <c r="V648">
        <v>2</v>
      </c>
    </row>
    <row r="649" spans="4:22" x14ac:dyDescent="0.45">
      <c r="D649" t="s">
        <v>928</v>
      </c>
      <c r="E649" t="s">
        <v>2295</v>
      </c>
      <c r="F649" t="s">
        <v>290</v>
      </c>
      <c r="G649" t="s">
        <v>2233</v>
      </c>
      <c r="H649" t="s">
        <v>19</v>
      </c>
      <c r="I649" t="s">
        <v>158</v>
      </c>
      <c r="J649" t="s">
        <v>176</v>
      </c>
      <c r="K649" t="s">
        <v>159</v>
      </c>
      <c r="M649" t="s">
        <v>164</v>
      </c>
      <c r="N649" t="s">
        <v>184</v>
      </c>
      <c r="P649" t="s">
        <v>184</v>
      </c>
      <c r="Q649" t="s">
        <v>65</v>
      </c>
      <c r="R649" t="s">
        <v>175</v>
      </c>
      <c r="V649">
        <v>2</v>
      </c>
    </row>
    <row r="650" spans="4:22" x14ac:dyDescent="0.45">
      <c r="D650" t="s">
        <v>929</v>
      </c>
      <c r="E650" t="s">
        <v>2296</v>
      </c>
      <c r="F650" t="s">
        <v>290</v>
      </c>
      <c r="G650" t="s">
        <v>2235</v>
      </c>
      <c r="H650" t="s">
        <v>19</v>
      </c>
      <c r="I650" t="s">
        <v>158</v>
      </c>
      <c r="J650" t="s">
        <v>176</v>
      </c>
      <c r="K650" t="s">
        <v>159</v>
      </c>
      <c r="M650" t="s">
        <v>164</v>
      </c>
      <c r="N650" t="s">
        <v>184</v>
      </c>
      <c r="P650" t="s">
        <v>184</v>
      </c>
      <c r="Q650" t="s">
        <v>66</v>
      </c>
      <c r="R650" t="s">
        <v>175</v>
      </c>
      <c r="V650">
        <v>2</v>
      </c>
    </row>
    <row r="651" spans="4:22" x14ac:dyDescent="0.45">
      <c r="D651" t="s">
        <v>930</v>
      </c>
      <c r="E651" t="s">
        <v>2297</v>
      </c>
      <c r="F651" t="s">
        <v>290</v>
      </c>
      <c r="G651" t="s">
        <v>2237</v>
      </c>
      <c r="H651" t="s">
        <v>19</v>
      </c>
      <c r="I651" t="s">
        <v>158</v>
      </c>
      <c r="J651" t="s">
        <v>176</v>
      </c>
      <c r="K651" t="s">
        <v>159</v>
      </c>
      <c r="M651" t="s">
        <v>164</v>
      </c>
      <c r="N651" t="s">
        <v>184</v>
      </c>
      <c r="P651" t="s">
        <v>184</v>
      </c>
      <c r="Q651" t="s">
        <v>113</v>
      </c>
      <c r="R651" t="s">
        <v>175</v>
      </c>
      <c r="V651">
        <v>2</v>
      </c>
    </row>
    <row r="652" spans="4:22" x14ac:dyDescent="0.45">
      <c r="D652" t="s">
        <v>931</v>
      </c>
      <c r="E652" t="s">
        <v>2298</v>
      </c>
      <c r="F652" t="s">
        <v>290</v>
      </c>
      <c r="G652" t="s">
        <v>2239</v>
      </c>
      <c r="H652" t="s">
        <v>19</v>
      </c>
      <c r="I652" t="s">
        <v>158</v>
      </c>
      <c r="J652" t="s">
        <v>176</v>
      </c>
      <c r="K652" t="s">
        <v>159</v>
      </c>
      <c r="M652" t="s">
        <v>164</v>
      </c>
      <c r="N652" t="s">
        <v>184</v>
      </c>
      <c r="P652" t="s">
        <v>184</v>
      </c>
      <c r="Q652" t="s">
        <v>162</v>
      </c>
      <c r="R652" t="s">
        <v>175</v>
      </c>
      <c r="V652">
        <v>2</v>
      </c>
    </row>
    <row r="653" spans="4:22" x14ac:dyDescent="0.45">
      <c r="D653" t="s">
        <v>932</v>
      </c>
      <c r="E653" t="s">
        <v>2299</v>
      </c>
      <c r="F653" t="s">
        <v>290</v>
      </c>
      <c r="G653" t="s">
        <v>2241</v>
      </c>
      <c r="H653" t="s">
        <v>19</v>
      </c>
      <c r="I653" t="s">
        <v>158</v>
      </c>
      <c r="J653" t="s">
        <v>176</v>
      </c>
      <c r="K653" t="s">
        <v>159</v>
      </c>
      <c r="M653" t="s">
        <v>164</v>
      </c>
      <c r="N653" t="s">
        <v>184</v>
      </c>
      <c r="P653" t="s">
        <v>184</v>
      </c>
      <c r="Q653" t="s">
        <v>174</v>
      </c>
      <c r="R653" t="s">
        <v>175</v>
      </c>
      <c r="V653">
        <v>2</v>
      </c>
    </row>
    <row r="654" spans="4:22" x14ac:dyDescent="0.45">
      <c r="D654" t="s">
        <v>933</v>
      </c>
      <c r="E654" t="s">
        <v>2300</v>
      </c>
      <c r="F654" t="s">
        <v>290</v>
      </c>
      <c r="G654" t="s">
        <v>2223</v>
      </c>
      <c r="H654" t="s">
        <v>19</v>
      </c>
      <c r="I654" t="s">
        <v>158</v>
      </c>
      <c r="J654" t="s">
        <v>67</v>
      </c>
      <c r="K654" t="s">
        <v>159</v>
      </c>
      <c r="N654" t="s">
        <v>29</v>
      </c>
      <c r="P654" t="s">
        <v>29</v>
      </c>
      <c r="Q654" t="s">
        <v>37</v>
      </c>
      <c r="R654" t="s">
        <v>175</v>
      </c>
      <c r="V654">
        <v>2</v>
      </c>
    </row>
    <row r="655" spans="4:22" x14ac:dyDescent="0.45">
      <c r="D655" t="s">
        <v>934</v>
      </c>
      <c r="E655" t="s">
        <v>2301</v>
      </c>
      <c r="F655" t="s">
        <v>290</v>
      </c>
      <c r="G655" t="s">
        <v>2243</v>
      </c>
      <c r="H655" t="s">
        <v>19</v>
      </c>
      <c r="I655" t="s">
        <v>158</v>
      </c>
      <c r="J655" t="s">
        <v>176</v>
      </c>
      <c r="K655" t="s">
        <v>159</v>
      </c>
      <c r="M655" t="s">
        <v>29</v>
      </c>
      <c r="N655" t="s">
        <v>185</v>
      </c>
      <c r="P655" t="s">
        <v>185</v>
      </c>
      <c r="Q655" t="s">
        <v>60</v>
      </c>
      <c r="R655" t="s">
        <v>175</v>
      </c>
      <c r="V655">
        <v>2</v>
      </c>
    </row>
    <row r="656" spans="4:22" x14ac:dyDescent="0.45">
      <c r="D656" t="s">
        <v>935</v>
      </c>
      <c r="E656" t="s">
        <v>2302</v>
      </c>
      <c r="F656" t="s">
        <v>290</v>
      </c>
      <c r="G656" t="s">
        <v>2227</v>
      </c>
      <c r="H656" t="s">
        <v>19</v>
      </c>
      <c r="I656" t="s">
        <v>158</v>
      </c>
      <c r="J656" t="s">
        <v>176</v>
      </c>
      <c r="K656" t="s">
        <v>159</v>
      </c>
      <c r="M656" t="s">
        <v>29</v>
      </c>
      <c r="N656" t="s">
        <v>185</v>
      </c>
      <c r="P656" t="s">
        <v>185</v>
      </c>
      <c r="Q656" t="s">
        <v>61</v>
      </c>
      <c r="R656" t="s">
        <v>175</v>
      </c>
      <c r="V656">
        <v>2</v>
      </c>
    </row>
    <row r="657" spans="4:22" x14ac:dyDescent="0.45">
      <c r="D657" t="s">
        <v>936</v>
      </c>
      <c r="E657" t="s">
        <v>2303</v>
      </c>
      <c r="F657" t="s">
        <v>290</v>
      </c>
      <c r="G657" t="s">
        <v>2229</v>
      </c>
      <c r="H657" t="s">
        <v>19</v>
      </c>
      <c r="I657" t="s">
        <v>158</v>
      </c>
      <c r="J657" t="s">
        <v>176</v>
      </c>
      <c r="K657" t="s">
        <v>159</v>
      </c>
      <c r="M657" t="s">
        <v>29</v>
      </c>
      <c r="N657" t="s">
        <v>185</v>
      </c>
      <c r="P657" t="s">
        <v>185</v>
      </c>
      <c r="Q657" t="s">
        <v>63</v>
      </c>
      <c r="R657" t="s">
        <v>175</v>
      </c>
      <c r="V657">
        <v>2</v>
      </c>
    </row>
    <row r="658" spans="4:22" x14ac:dyDescent="0.45">
      <c r="D658" t="s">
        <v>937</v>
      </c>
      <c r="E658" t="s">
        <v>2304</v>
      </c>
      <c r="F658" t="s">
        <v>290</v>
      </c>
      <c r="G658" t="s">
        <v>2231</v>
      </c>
      <c r="H658" t="s">
        <v>19</v>
      </c>
      <c r="I658" t="s">
        <v>158</v>
      </c>
      <c r="J658" t="s">
        <v>176</v>
      </c>
      <c r="K658" t="s">
        <v>159</v>
      </c>
      <c r="M658" t="s">
        <v>29</v>
      </c>
      <c r="N658" t="s">
        <v>185</v>
      </c>
      <c r="P658" t="s">
        <v>185</v>
      </c>
      <c r="Q658" t="s">
        <v>64</v>
      </c>
      <c r="R658" t="s">
        <v>175</v>
      </c>
      <c r="V658">
        <v>2</v>
      </c>
    </row>
    <row r="659" spans="4:22" x14ac:dyDescent="0.45">
      <c r="D659" t="s">
        <v>938</v>
      </c>
      <c r="E659" t="s">
        <v>2305</v>
      </c>
      <c r="F659" t="s">
        <v>290</v>
      </c>
      <c r="G659" t="s">
        <v>2233</v>
      </c>
      <c r="H659" t="s">
        <v>19</v>
      </c>
      <c r="I659" t="s">
        <v>158</v>
      </c>
      <c r="J659" t="s">
        <v>176</v>
      </c>
      <c r="K659" t="s">
        <v>159</v>
      </c>
      <c r="M659" t="s">
        <v>29</v>
      </c>
      <c r="N659" t="s">
        <v>185</v>
      </c>
      <c r="P659" t="s">
        <v>185</v>
      </c>
      <c r="Q659" t="s">
        <v>65</v>
      </c>
      <c r="R659" t="s">
        <v>175</v>
      </c>
      <c r="V659">
        <v>2</v>
      </c>
    </row>
    <row r="660" spans="4:22" x14ac:dyDescent="0.45">
      <c r="D660" t="s">
        <v>939</v>
      </c>
      <c r="E660" t="s">
        <v>2306</v>
      </c>
      <c r="F660" t="s">
        <v>290</v>
      </c>
      <c r="G660" t="s">
        <v>2235</v>
      </c>
      <c r="H660" t="s">
        <v>19</v>
      </c>
      <c r="I660" t="s">
        <v>158</v>
      </c>
      <c r="J660" t="s">
        <v>176</v>
      </c>
      <c r="K660" t="s">
        <v>159</v>
      </c>
      <c r="M660" t="s">
        <v>29</v>
      </c>
      <c r="N660" t="s">
        <v>185</v>
      </c>
      <c r="P660" t="s">
        <v>185</v>
      </c>
      <c r="Q660" t="s">
        <v>66</v>
      </c>
      <c r="R660" t="s">
        <v>175</v>
      </c>
      <c r="V660">
        <v>2</v>
      </c>
    </row>
    <row r="661" spans="4:22" x14ac:dyDescent="0.45">
      <c r="D661" t="s">
        <v>940</v>
      </c>
      <c r="E661" t="s">
        <v>2307</v>
      </c>
      <c r="F661" t="s">
        <v>290</v>
      </c>
      <c r="G661" t="s">
        <v>2237</v>
      </c>
      <c r="H661" t="s">
        <v>19</v>
      </c>
      <c r="I661" t="s">
        <v>158</v>
      </c>
      <c r="J661" t="s">
        <v>176</v>
      </c>
      <c r="K661" t="s">
        <v>159</v>
      </c>
      <c r="M661" t="s">
        <v>29</v>
      </c>
      <c r="N661" t="s">
        <v>185</v>
      </c>
      <c r="P661" t="s">
        <v>185</v>
      </c>
      <c r="Q661" t="s">
        <v>113</v>
      </c>
      <c r="R661" t="s">
        <v>175</v>
      </c>
      <c r="V661">
        <v>2</v>
      </c>
    </row>
    <row r="662" spans="4:22" x14ac:dyDescent="0.45">
      <c r="D662" t="s">
        <v>941</v>
      </c>
      <c r="E662" t="s">
        <v>2308</v>
      </c>
      <c r="F662" t="s">
        <v>290</v>
      </c>
      <c r="G662" t="s">
        <v>2239</v>
      </c>
      <c r="H662" t="s">
        <v>19</v>
      </c>
      <c r="I662" t="s">
        <v>158</v>
      </c>
      <c r="J662" t="s">
        <v>176</v>
      </c>
      <c r="K662" t="s">
        <v>159</v>
      </c>
      <c r="M662" t="s">
        <v>29</v>
      </c>
      <c r="N662" t="s">
        <v>185</v>
      </c>
      <c r="P662" t="s">
        <v>185</v>
      </c>
      <c r="Q662" t="s">
        <v>162</v>
      </c>
      <c r="R662" t="s">
        <v>175</v>
      </c>
      <c r="V662">
        <v>2</v>
      </c>
    </row>
    <row r="663" spans="4:22" x14ac:dyDescent="0.45">
      <c r="D663" t="s">
        <v>942</v>
      </c>
      <c r="E663" t="s">
        <v>2309</v>
      </c>
      <c r="F663" t="s">
        <v>290</v>
      </c>
      <c r="G663" t="s">
        <v>2241</v>
      </c>
      <c r="H663" t="s">
        <v>19</v>
      </c>
      <c r="I663" t="s">
        <v>158</v>
      </c>
      <c r="J663" t="s">
        <v>176</v>
      </c>
      <c r="K663" t="s">
        <v>159</v>
      </c>
      <c r="M663" t="s">
        <v>29</v>
      </c>
      <c r="N663" t="s">
        <v>185</v>
      </c>
      <c r="P663" t="s">
        <v>185</v>
      </c>
      <c r="Q663" t="s">
        <v>174</v>
      </c>
      <c r="R663" t="s">
        <v>175</v>
      </c>
      <c r="V663">
        <v>2</v>
      </c>
    </row>
    <row r="664" spans="4:22" x14ac:dyDescent="0.45">
      <c r="D664" t="s">
        <v>943</v>
      </c>
      <c r="E664" t="s">
        <v>2310</v>
      </c>
      <c r="F664" t="s">
        <v>290</v>
      </c>
      <c r="G664" t="s">
        <v>2243</v>
      </c>
      <c r="H664" t="s">
        <v>19</v>
      </c>
      <c r="I664" t="s">
        <v>158</v>
      </c>
      <c r="J664" t="s">
        <v>176</v>
      </c>
      <c r="K664" t="s">
        <v>159</v>
      </c>
      <c r="M664" t="s">
        <v>29</v>
      </c>
      <c r="N664" t="s">
        <v>186</v>
      </c>
      <c r="P664" t="s">
        <v>186</v>
      </c>
      <c r="Q664" t="s">
        <v>60</v>
      </c>
      <c r="R664" t="s">
        <v>175</v>
      </c>
      <c r="V664">
        <v>2</v>
      </c>
    </row>
    <row r="665" spans="4:22" x14ac:dyDescent="0.45">
      <c r="D665" t="s">
        <v>944</v>
      </c>
      <c r="E665" t="s">
        <v>2311</v>
      </c>
      <c r="F665" t="s">
        <v>290</v>
      </c>
      <c r="G665" t="s">
        <v>2227</v>
      </c>
      <c r="H665" t="s">
        <v>19</v>
      </c>
      <c r="I665" t="s">
        <v>158</v>
      </c>
      <c r="J665" t="s">
        <v>176</v>
      </c>
      <c r="K665" t="s">
        <v>159</v>
      </c>
      <c r="M665" t="s">
        <v>29</v>
      </c>
      <c r="N665" t="s">
        <v>186</v>
      </c>
      <c r="P665" t="s">
        <v>186</v>
      </c>
      <c r="Q665" t="s">
        <v>61</v>
      </c>
      <c r="R665" t="s">
        <v>175</v>
      </c>
      <c r="V665">
        <v>2</v>
      </c>
    </row>
    <row r="666" spans="4:22" x14ac:dyDescent="0.45">
      <c r="D666" t="s">
        <v>945</v>
      </c>
      <c r="E666" t="s">
        <v>2312</v>
      </c>
      <c r="F666" t="s">
        <v>290</v>
      </c>
      <c r="G666" t="s">
        <v>2229</v>
      </c>
      <c r="H666" t="s">
        <v>19</v>
      </c>
      <c r="I666" t="s">
        <v>158</v>
      </c>
      <c r="J666" t="s">
        <v>176</v>
      </c>
      <c r="K666" t="s">
        <v>159</v>
      </c>
      <c r="M666" t="s">
        <v>29</v>
      </c>
      <c r="N666" t="s">
        <v>186</v>
      </c>
      <c r="P666" t="s">
        <v>186</v>
      </c>
      <c r="Q666" t="s">
        <v>63</v>
      </c>
      <c r="R666" t="s">
        <v>175</v>
      </c>
      <c r="V666">
        <v>2</v>
      </c>
    </row>
    <row r="667" spans="4:22" x14ac:dyDescent="0.45">
      <c r="D667" t="s">
        <v>946</v>
      </c>
      <c r="E667" t="s">
        <v>2313</v>
      </c>
      <c r="F667" t="s">
        <v>290</v>
      </c>
      <c r="G667" t="s">
        <v>2231</v>
      </c>
      <c r="H667" t="s">
        <v>19</v>
      </c>
      <c r="I667" t="s">
        <v>158</v>
      </c>
      <c r="J667" t="s">
        <v>176</v>
      </c>
      <c r="K667" t="s">
        <v>159</v>
      </c>
      <c r="M667" t="s">
        <v>29</v>
      </c>
      <c r="N667" t="s">
        <v>186</v>
      </c>
      <c r="P667" t="s">
        <v>186</v>
      </c>
      <c r="Q667" t="s">
        <v>64</v>
      </c>
      <c r="R667" t="s">
        <v>175</v>
      </c>
      <c r="V667">
        <v>2</v>
      </c>
    </row>
    <row r="668" spans="4:22" x14ac:dyDescent="0.45">
      <c r="D668" t="s">
        <v>947</v>
      </c>
      <c r="E668" t="s">
        <v>2314</v>
      </c>
      <c r="F668" t="s">
        <v>290</v>
      </c>
      <c r="G668" t="s">
        <v>2233</v>
      </c>
      <c r="H668" t="s">
        <v>19</v>
      </c>
      <c r="I668" t="s">
        <v>158</v>
      </c>
      <c r="J668" t="s">
        <v>176</v>
      </c>
      <c r="K668" t="s">
        <v>159</v>
      </c>
      <c r="M668" t="s">
        <v>29</v>
      </c>
      <c r="N668" t="s">
        <v>186</v>
      </c>
      <c r="P668" t="s">
        <v>186</v>
      </c>
      <c r="Q668" t="s">
        <v>65</v>
      </c>
      <c r="R668" t="s">
        <v>175</v>
      </c>
      <c r="V668">
        <v>2</v>
      </c>
    </row>
    <row r="669" spans="4:22" x14ac:dyDescent="0.45">
      <c r="D669" t="s">
        <v>948</v>
      </c>
      <c r="E669" t="s">
        <v>2315</v>
      </c>
      <c r="F669" t="s">
        <v>290</v>
      </c>
      <c r="G669" t="s">
        <v>2235</v>
      </c>
      <c r="H669" t="s">
        <v>19</v>
      </c>
      <c r="I669" t="s">
        <v>158</v>
      </c>
      <c r="J669" t="s">
        <v>176</v>
      </c>
      <c r="K669" t="s">
        <v>159</v>
      </c>
      <c r="M669" t="s">
        <v>29</v>
      </c>
      <c r="N669" t="s">
        <v>186</v>
      </c>
      <c r="P669" t="s">
        <v>186</v>
      </c>
      <c r="Q669" t="s">
        <v>66</v>
      </c>
      <c r="R669" t="s">
        <v>175</v>
      </c>
      <c r="V669">
        <v>2</v>
      </c>
    </row>
    <row r="670" spans="4:22" x14ac:dyDescent="0.45">
      <c r="D670" t="s">
        <v>949</v>
      </c>
      <c r="E670" t="s">
        <v>2316</v>
      </c>
      <c r="F670" t="s">
        <v>290</v>
      </c>
      <c r="G670" t="s">
        <v>2237</v>
      </c>
      <c r="H670" t="s">
        <v>19</v>
      </c>
      <c r="I670" t="s">
        <v>158</v>
      </c>
      <c r="J670" t="s">
        <v>176</v>
      </c>
      <c r="K670" t="s">
        <v>159</v>
      </c>
      <c r="M670" t="s">
        <v>29</v>
      </c>
      <c r="N670" t="s">
        <v>186</v>
      </c>
      <c r="P670" t="s">
        <v>186</v>
      </c>
      <c r="Q670" t="s">
        <v>113</v>
      </c>
      <c r="R670" t="s">
        <v>175</v>
      </c>
      <c r="V670">
        <v>2</v>
      </c>
    </row>
    <row r="671" spans="4:22" x14ac:dyDescent="0.45">
      <c r="D671" t="s">
        <v>950</v>
      </c>
      <c r="E671" t="s">
        <v>2317</v>
      </c>
      <c r="F671" t="s">
        <v>290</v>
      </c>
      <c r="G671" t="s">
        <v>2239</v>
      </c>
      <c r="H671" t="s">
        <v>19</v>
      </c>
      <c r="I671" t="s">
        <v>158</v>
      </c>
      <c r="J671" t="s">
        <v>176</v>
      </c>
      <c r="K671" t="s">
        <v>159</v>
      </c>
      <c r="M671" t="s">
        <v>29</v>
      </c>
      <c r="N671" t="s">
        <v>186</v>
      </c>
      <c r="P671" t="s">
        <v>186</v>
      </c>
      <c r="Q671" t="s">
        <v>162</v>
      </c>
      <c r="R671" t="s">
        <v>175</v>
      </c>
      <c r="V671">
        <v>2</v>
      </c>
    </row>
    <row r="672" spans="4:22" x14ac:dyDescent="0.45">
      <c r="D672" t="s">
        <v>951</v>
      </c>
      <c r="E672" t="s">
        <v>2318</v>
      </c>
      <c r="F672" t="s">
        <v>290</v>
      </c>
      <c r="G672" t="s">
        <v>2241</v>
      </c>
      <c r="H672" t="s">
        <v>19</v>
      </c>
      <c r="I672" t="s">
        <v>158</v>
      </c>
      <c r="J672" t="s">
        <v>176</v>
      </c>
      <c r="K672" t="s">
        <v>159</v>
      </c>
      <c r="M672" t="s">
        <v>29</v>
      </c>
      <c r="N672" t="s">
        <v>186</v>
      </c>
      <c r="P672" t="s">
        <v>186</v>
      </c>
      <c r="Q672" t="s">
        <v>174</v>
      </c>
      <c r="R672" t="s">
        <v>175</v>
      </c>
      <c r="V672">
        <v>2</v>
      </c>
    </row>
    <row r="673" spans="4:22" x14ac:dyDescent="0.45">
      <c r="D673" t="s">
        <v>952</v>
      </c>
      <c r="E673" t="s">
        <v>2319</v>
      </c>
      <c r="F673" t="s">
        <v>290</v>
      </c>
      <c r="G673" t="s">
        <v>2243</v>
      </c>
      <c r="H673" t="s">
        <v>19</v>
      </c>
      <c r="I673" t="s">
        <v>158</v>
      </c>
      <c r="J673" t="s">
        <v>176</v>
      </c>
      <c r="K673" t="s">
        <v>159</v>
      </c>
      <c r="M673" t="s">
        <v>29</v>
      </c>
      <c r="N673" t="s">
        <v>187</v>
      </c>
      <c r="P673" t="s">
        <v>187</v>
      </c>
      <c r="Q673" t="s">
        <v>60</v>
      </c>
      <c r="R673" t="s">
        <v>175</v>
      </c>
      <c r="V673">
        <v>2</v>
      </c>
    </row>
    <row r="674" spans="4:22" x14ac:dyDescent="0.45">
      <c r="D674" t="s">
        <v>953</v>
      </c>
      <c r="E674" t="s">
        <v>2320</v>
      </c>
      <c r="F674" t="s">
        <v>290</v>
      </c>
      <c r="G674" t="s">
        <v>2227</v>
      </c>
      <c r="H674" t="s">
        <v>19</v>
      </c>
      <c r="I674" t="s">
        <v>158</v>
      </c>
      <c r="J674" t="s">
        <v>176</v>
      </c>
      <c r="K674" t="s">
        <v>159</v>
      </c>
      <c r="M674" t="s">
        <v>29</v>
      </c>
      <c r="N674" t="s">
        <v>187</v>
      </c>
      <c r="P674" t="s">
        <v>187</v>
      </c>
      <c r="Q674" t="s">
        <v>61</v>
      </c>
      <c r="R674" t="s">
        <v>175</v>
      </c>
      <c r="V674">
        <v>2</v>
      </c>
    </row>
    <row r="675" spans="4:22" x14ac:dyDescent="0.45">
      <c r="D675" t="s">
        <v>954</v>
      </c>
      <c r="E675" t="s">
        <v>2321</v>
      </c>
      <c r="F675" t="s">
        <v>290</v>
      </c>
      <c r="G675" t="s">
        <v>2229</v>
      </c>
      <c r="H675" t="s">
        <v>19</v>
      </c>
      <c r="I675" t="s">
        <v>158</v>
      </c>
      <c r="J675" t="s">
        <v>176</v>
      </c>
      <c r="K675" t="s">
        <v>159</v>
      </c>
      <c r="M675" t="s">
        <v>29</v>
      </c>
      <c r="N675" t="s">
        <v>187</v>
      </c>
      <c r="P675" t="s">
        <v>187</v>
      </c>
      <c r="Q675" t="s">
        <v>63</v>
      </c>
      <c r="R675" t="s">
        <v>175</v>
      </c>
      <c r="V675">
        <v>2</v>
      </c>
    </row>
    <row r="676" spans="4:22" x14ac:dyDescent="0.45">
      <c r="D676" t="s">
        <v>955</v>
      </c>
      <c r="E676" t="s">
        <v>2322</v>
      </c>
      <c r="F676" t="s">
        <v>290</v>
      </c>
      <c r="G676" t="s">
        <v>2231</v>
      </c>
      <c r="H676" t="s">
        <v>19</v>
      </c>
      <c r="I676" t="s">
        <v>158</v>
      </c>
      <c r="J676" t="s">
        <v>176</v>
      </c>
      <c r="K676" t="s">
        <v>159</v>
      </c>
      <c r="M676" t="s">
        <v>29</v>
      </c>
      <c r="N676" t="s">
        <v>187</v>
      </c>
      <c r="P676" t="s">
        <v>187</v>
      </c>
      <c r="Q676" t="s">
        <v>64</v>
      </c>
      <c r="R676" t="s">
        <v>175</v>
      </c>
      <c r="V676">
        <v>2</v>
      </c>
    </row>
    <row r="677" spans="4:22" x14ac:dyDescent="0.45">
      <c r="D677" t="s">
        <v>956</v>
      </c>
      <c r="E677" t="s">
        <v>2323</v>
      </c>
      <c r="F677" t="s">
        <v>290</v>
      </c>
      <c r="G677" t="s">
        <v>2233</v>
      </c>
      <c r="H677" t="s">
        <v>19</v>
      </c>
      <c r="I677" t="s">
        <v>158</v>
      </c>
      <c r="J677" t="s">
        <v>176</v>
      </c>
      <c r="K677" t="s">
        <v>159</v>
      </c>
      <c r="M677" t="s">
        <v>29</v>
      </c>
      <c r="N677" t="s">
        <v>187</v>
      </c>
      <c r="P677" t="s">
        <v>187</v>
      </c>
      <c r="Q677" t="s">
        <v>65</v>
      </c>
      <c r="R677" t="s">
        <v>175</v>
      </c>
      <c r="V677">
        <v>2</v>
      </c>
    </row>
    <row r="678" spans="4:22" x14ac:dyDescent="0.45">
      <c r="D678" t="s">
        <v>957</v>
      </c>
      <c r="E678" t="s">
        <v>2324</v>
      </c>
      <c r="F678" t="s">
        <v>290</v>
      </c>
      <c r="G678" t="s">
        <v>2235</v>
      </c>
      <c r="H678" t="s">
        <v>19</v>
      </c>
      <c r="I678" t="s">
        <v>158</v>
      </c>
      <c r="J678" t="s">
        <v>176</v>
      </c>
      <c r="K678" t="s">
        <v>159</v>
      </c>
      <c r="M678" t="s">
        <v>29</v>
      </c>
      <c r="N678" t="s">
        <v>187</v>
      </c>
      <c r="P678" t="s">
        <v>187</v>
      </c>
      <c r="Q678" t="s">
        <v>66</v>
      </c>
      <c r="R678" t="s">
        <v>175</v>
      </c>
      <c r="V678">
        <v>2</v>
      </c>
    </row>
    <row r="679" spans="4:22" x14ac:dyDescent="0.45">
      <c r="D679" t="s">
        <v>958</v>
      </c>
      <c r="E679" t="s">
        <v>2325</v>
      </c>
      <c r="F679" t="s">
        <v>290</v>
      </c>
      <c r="G679" t="s">
        <v>2237</v>
      </c>
      <c r="H679" t="s">
        <v>19</v>
      </c>
      <c r="I679" t="s">
        <v>158</v>
      </c>
      <c r="J679" t="s">
        <v>176</v>
      </c>
      <c r="K679" t="s">
        <v>159</v>
      </c>
      <c r="M679" t="s">
        <v>29</v>
      </c>
      <c r="N679" t="s">
        <v>187</v>
      </c>
      <c r="P679" t="s">
        <v>187</v>
      </c>
      <c r="Q679" t="s">
        <v>113</v>
      </c>
      <c r="R679" t="s">
        <v>175</v>
      </c>
      <c r="V679">
        <v>2</v>
      </c>
    </row>
    <row r="680" spans="4:22" x14ac:dyDescent="0.45">
      <c r="D680" t="s">
        <v>959</v>
      </c>
      <c r="E680" t="s">
        <v>2326</v>
      </c>
      <c r="F680" t="s">
        <v>290</v>
      </c>
      <c r="G680" t="s">
        <v>2239</v>
      </c>
      <c r="H680" t="s">
        <v>19</v>
      </c>
      <c r="I680" t="s">
        <v>158</v>
      </c>
      <c r="J680" t="s">
        <v>176</v>
      </c>
      <c r="K680" t="s">
        <v>159</v>
      </c>
      <c r="M680" t="s">
        <v>29</v>
      </c>
      <c r="N680" t="s">
        <v>187</v>
      </c>
      <c r="P680" t="s">
        <v>187</v>
      </c>
      <c r="Q680" t="s">
        <v>162</v>
      </c>
      <c r="R680" t="s">
        <v>175</v>
      </c>
      <c r="V680">
        <v>2</v>
      </c>
    </row>
    <row r="681" spans="4:22" x14ac:dyDescent="0.45">
      <c r="D681" t="s">
        <v>960</v>
      </c>
      <c r="E681" t="s">
        <v>2327</v>
      </c>
      <c r="F681" t="s">
        <v>290</v>
      </c>
      <c r="G681" t="s">
        <v>2241</v>
      </c>
      <c r="H681" t="s">
        <v>19</v>
      </c>
      <c r="I681" t="s">
        <v>158</v>
      </c>
      <c r="J681" t="s">
        <v>176</v>
      </c>
      <c r="K681" t="s">
        <v>159</v>
      </c>
      <c r="M681" t="s">
        <v>29</v>
      </c>
      <c r="N681" t="s">
        <v>187</v>
      </c>
      <c r="P681" t="s">
        <v>187</v>
      </c>
      <c r="Q681" t="s">
        <v>174</v>
      </c>
      <c r="R681" t="s">
        <v>175</v>
      </c>
      <c r="V681">
        <v>2</v>
      </c>
    </row>
    <row r="682" spans="4:22" x14ac:dyDescent="0.45">
      <c r="D682" t="s">
        <v>961</v>
      </c>
      <c r="E682" t="s">
        <v>2328</v>
      </c>
      <c r="F682" t="s">
        <v>290</v>
      </c>
      <c r="G682" t="s">
        <v>2243</v>
      </c>
      <c r="H682" t="s">
        <v>19</v>
      </c>
      <c r="I682" t="s">
        <v>158</v>
      </c>
      <c r="J682" t="s">
        <v>176</v>
      </c>
      <c r="K682" t="s">
        <v>159</v>
      </c>
      <c r="M682" t="s">
        <v>29</v>
      </c>
      <c r="N682" t="s">
        <v>188</v>
      </c>
      <c r="P682" t="s">
        <v>188</v>
      </c>
      <c r="Q682" t="s">
        <v>60</v>
      </c>
      <c r="R682" t="s">
        <v>175</v>
      </c>
      <c r="V682">
        <v>2</v>
      </c>
    </row>
    <row r="683" spans="4:22" x14ac:dyDescent="0.45">
      <c r="D683" t="s">
        <v>962</v>
      </c>
      <c r="E683" t="s">
        <v>2329</v>
      </c>
      <c r="F683" t="s">
        <v>290</v>
      </c>
      <c r="G683" t="s">
        <v>2227</v>
      </c>
      <c r="H683" t="s">
        <v>19</v>
      </c>
      <c r="I683" t="s">
        <v>158</v>
      </c>
      <c r="J683" t="s">
        <v>176</v>
      </c>
      <c r="K683" t="s">
        <v>159</v>
      </c>
      <c r="M683" t="s">
        <v>29</v>
      </c>
      <c r="N683" t="s">
        <v>188</v>
      </c>
      <c r="P683" t="s">
        <v>188</v>
      </c>
      <c r="Q683" t="s">
        <v>61</v>
      </c>
      <c r="R683" t="s">
        <v>175</v>
      </c>
      <c r="V683">
        <v>2</v>
      </c>
    </row>
    <row r="684" spans="4:22" x14ac:dyDescent="0.45">
      <c r="D684" t="s">
        <v>963</v>
      </c>
      <c r="E684" t="s">
        <v>2330</v>
      </c>
      <c r="F684" t="s">
        <v>290</v>
      </c>
      <c r="G684" t="s">
        <v>2229</v>
      </c>
      <c r="H684" t="s">
        <v>19</v>
      </c>
      <c r="I684" t="s">
        <v>158</v>
      </c>
      <c r="J684" t="s">
        <v>176</v>
      </c>
      <c r="K684" t="s">
        <v>159</v>
      </c>
      <c r="M684" t="s">
        <v>29</v>
      </c>
      <c r="N684" t="s">
        <v>188</v>
      </c>
      <c r="P684" t="s">
        <v>188</v>
      </c>
      <c r="Q684" t="s">
        <v>63</v>
      </c>
      <c r="R684" t="s">
        <v>175</v>
      </c>
      <c r="V684">
        <v>2</v>
      </c>
    </row>
    <row r="685" spans="4:22" x14ac:dyDescent="0.45">
      <c r="D685" t="s">
        <v>964</v>
      </c>
      <c r="E685" t="s">
        <v>2331</v>
      </c>
      <c r="F685" t="s">
        <v>290</v>
      </c>
      <c r="G685" t="s">
        <v>2231</v>
      </c>
      <c r="H685" t="s">
        <v>19</v>
      </c>
      <c r="I685" t="s">
        <v>158</v>
      </c>
      <c r="J685" t="s">
        <v>176</v>
      </c>
      <c r="K685" t="s">
        <v>159</v>
      </c>
      <c r="M685" t="s">
        <v>29</v>
      </c>
      <c r="N685" t="s">
        <v>188</v>
      </c>
      <c r="P685" t="s">
        <v>188</v>
      </c>
      <c r="Q685" t="s">
        <v>64</v>
      </c>
      <c r="R685" t="s">
        <v>175</v>
      </c>
      <c r="V685">
        <v>2</v>
      </c>
    </row>
    <row r="686" spans="4:22" x14ac:dyDescent="0.45">
      <c r="D686" t="s">
        <v>965</v>
      </c>
      <c r="E686" t="s">
        <v>2332</v>
      </c>
      <c r="F686" t="s">
        <v>290</v>
      </c>
      <c r="G686" t="s">
        <v>2233</v>
      </c>
      <c r="H686" t="s">
        <v>19</v>
      </c>
      <c r="I686" t="s">
        <v>158</v>
      </c>
      <c r="J686" t="s">
        <v>176</v>
      </c>
      <c r="K686" t="s">
        <v>159</v>
      </c>
      <c r="M686" t="s">
        <v>29</v>
      </c>
      <c r="N686" t="s">
        <v>188</v>
      </c>
      <c r="P686" t="s">
        <v>188</v>
      </c>
      <c r="Q686" t="s">
        <v>65</v>
      </c>
      <c r="R686" t="s">
        <v>175</v>
      </c>
      <c r="V686">
        <v>2</v>
      </c>
    </row>
    <row r="687" spans="4:22" x14ac:dyDescent="0.45">
      <c r="D687" t="s">
        <v>966</v>
      </c>
      <c r="E687" t="s">
        <v>2333</v>
      </c>
      <c r="F687" t="s">
        <v>290</v>
      </c>
      <c r="G687" t="s">
        <v>2235</v>
      </c>
      <c r="H687" t="s">
        <v>19</v>
      </c>
      <c r="I687" t="s">
        <v>158</v>
      </c>
      <c r="J687" t="s">
        <v>176</v>
      </c>
      <c r="K687" t="s">
        <v>159</v>
      </c>
      <c r="M687" t="s">
        <v>29</v>
      </c>
      <c r="N687" t="s">
        <v>188</v>
      </c>
      <c r="P687" t="s">
        <v>188</v>
      </c>
      <c r="Q687" t="s">
        <v>66</v>
      </c>
      <c r="R687" t="s">
        <v>175</v>
      </c>
      <c r="V687">
        <v>2</v>
      </c>
    </row>
    <row r="688" spans="4:22" x14ac:dyDescent="0.45">
      <c r="D688" t="s">
        <v>967</v>
      </c>
      <c r="E688" t="s">
        <v>2334</v>
      </c>
      <c r="F688" t="s">
        <v>290</v>
      </c>
      <c r="G688" t="s">
        <v>2237</v>
      </c>
      <c r="H688" t="s">
        <v>19</v>
      </c>
      <c r="I688" t="s">
        <v>158</v>
      </c>
      <c r="J688" t="s">
        <v>176</v>
      </c>
      <c r="K688" t="s">
        <v>159</v>
      </c>
      <c r="M688" t="s">
        <v>29</v>
      </c>
      <c r="N688" t="s">
        <v>188</v>
      </c>
      <c r="P688" t="s">
        <v>188</v>
      </c>
      <c r="Q688" t="s">
        <v>113</v>
      </c>
      <c r="R688" t="s">
        <v>175</v>
      </c>
      <c r="V688">
        <v>2</v>
      </c>
    </row>
    <row r="689" spans="4:22" x14ac:dyDescent="0.45">
      <c r="D689" t="s">
        <v>968</v>
      </c>
      <c r="E689" t="s">
        <v>2335</v>
      </c>
      <c r="F689" t="s">
        <v>290</v>
      </c>
      <c r="G689" t="s">
        <v>2239</v>
      </c>
      <c r="H689" t="s">
        <v>19</v>
      </c>
      <c r="I689" t="s">
        <v>158</v>
      </c>
      <c r="J689" t="s">
        <v>176</v>
      </c>
      <c r="K689" t="s">
        <v>159</v>
      </c>
      <c r="M689" t="s">
        <v>29</v>
      </c>
      <c r="N689" t="s">
        <v>188</v>
      </c>
      <c r="P689" t="s">
        <v>188</v>
      </c>
      <c r="Q689" t="s">
        <v>162</v>
      </c>
      <c r="R689" t="s">
        <v>175</v>
      </c>
      <c r="V689">
        <v>2</v>
      </c>
    </row>
    <row r="690" spans="4:22" x14ac:dyDescent="0.45">
      <c r="D690" t="s">
        <v>969</v>
      </c>
      <c r="E690" t="s">
        <v>2336</v>
      </c>
      <c r="F690" t="s">
        <v>290</v>
      </c>
      <c r="G690" t="s">
        <v>2241</v>
      </c>
      <c r="H690" t="s">
        <v>19</v>
      </c>
      <c r="I690" t="s">
        <v>158</v>
      </c>
      <c r="J690" t="s">
        <v>176</v>
      </c>
      <c r="K690" t="s">
        <v>159</v>
      </c>
      <c r="M690" t="s">
        <v>29</v>
      </c>
      <c r="N690" t="s">
        <v>188</v>
      </c>
      <c r="P690" t="s">
        <v>188</v>
      </c>
      <c r="Q690" t="s">
        <v>174</v>
      </c>
      <c r="R690" t="s">
        <v>175</v>
      </c>
      <c r="V690">
        <v>2</v>
      </c>
    </row>
    <row r="691" spans="4:22" x14ac:dyDescent="0.45">
      <c r="D691" t="s">
        <v>970</v>
      </c>
      <c r="E691" t="s">
        <v>2337</v>
      </c>
      <c r="F691" t="s">
        <v>290</v>
      </c>
      <c r="G691" t="s">
        <v>2243</v>
      </c>
      <c r="H691" t="s">
        <v>19</v>
      </c>
      <c r="I691" t="s">
        <v>158</v>
      </c>
      <c r="J691" t="s">
        <v>176</v>
      </c>
      <c r="K691" t="s">
        <v>159</v>
      </c>
      <c r="M691" t="s">
        <v>29</v>
      </c>
      <c r="N691" t="s">
        <v>189</v>
      </c>
      <c r="P691" t="s">
        <v>189</v>
      </c>
      <c r="Q691" t="s">
        <v>60</v>
      </c>
      <c r="R691" t="s">
        <v>175</v>
      </c>
      <c r="V691">
        <v>2</v>
      </c>
    </row>
    <row r="692" spans="4:22" x14ac:dyDescent="0.45">
      <c r="D692" t="s">
        <v>971</v>
      </c>
      <c r="E692" t="s">
        <v>2338</v>
      </c>
      <c r="F692" t="s">
        <v>290</v>
      </c>
      <c r="G692" t="s">
        <v>2227</v>
      </c>
      <c r="H692" t="s">
        <v>19</v>
      </c>
      <c r="I692" t="s">
        <v>158</v>
      </c>
      <c r="J692" t="s">
        <v>176</v>
      </c>
      <c r="K692" t="s">
        <v>159</v>
      </c>
      <c r="M692" t="s">
        <v>29</v>
      </c>
      <c r="N692" t="s">
        <v>189</v>
      </c>
      <c r="P692" t="s">
        <v>189</v>
      </c>
      <c r="Q692" t="s">
        <v>61</v>
      </c>
      <c r="R692" t="s">
        <v>175</v>
      </c>
      <c r="V692">
        <v>2</v>
      </c>
    </row>
    <row r="693" spans="4:22" x14ac:dyDescent="0.45">
      <c r="D693" t="s">
        <v>972</v>
      </c>
      <c r="E693" t="s">
        <v>2339</v>
      </c>
      <c r="F693" t="s">
        <v>290</v>
      </c>
      <c r="G693" t="s">
        <v>2229</v>
      </c>
      <c r="H693" t="s">
        <v>19</v>
      </c>
      <c r="I693" t="s">
        <v>158</v>
      </c>
      <c r="J693" t="s">
        <v>176</v>
      </c>
      <c r="K693" t="s">
        <v>159</v>
      </c>
      <c r="M693" t="s">
        <v>29</v>
      </c>
      <c r="N693" t="s">
        <v>189</v>
      </c>
      <c r="P693" t="s">
        <v>189</v>
      </c>
      <c r="Q693" t="s">
        <v>63</v>
      </c>
      <c r="R693" t="s">
        <v>175</v>
      </c>
      <c r="V693">
        <v>2</v>
      </c>
    </row>
    <row r="694" spans="4:22" x14ac:dyDescent="0.45">
      <c r="D694" t="s">
        <v>973</v>
      </c>
      <c r="E694" t="s">
        <v>2340</v>
      </c>
      <c r="F694" t="s">
        <v>290</v>
      </c>
      <c r="G694" t="s">
        <v>2231</v>
      </c>
      <c r="H694" t="s">
        <v>19</v>
      </c>
      <c r="I694" t="s">
        <v>158</v>
      </c>
      <c r="J694" t="s">
        <v>176</v>
      </c>
      <c r="K694" t="s">
        <v>159</v>
      </c>
      <c r="M694" t="s">
        <v>29</v>
      </c>
      <c r="N694" t="s">
        <v>189</v>
      </c>
      <c r="P694" t="s">
        <v>189</v>
      </c>
      <c r="Q694" t="s">
        <v>64</v>
      </c>
      <c r="R694" t="s">
        <v>175</v>
      </c>
      <c r="V694">
        <v>2</v>
      </c>
    </row>
    <row r="695" spans="4:22" x14ac:dyDescent="0.45">
      <c r="D695" t="s">
        <v>974</v>
      </c>
      <c r="E695" t="s">
        <v>2341</v>
      </c>
      <c r="F695" t="s">
        <v>290</v>
      </c>
      <c r="G695" t="s">
        <v>2233</v>
      </c>
      <c r="H695" t="s">
        <v>19</v>
      </c>
      <c r="I695" t="s">
        <v>158</v>
      </c>
      <c r="J695" t="s">
        <v>176</v>
      </c>
      <c r="K695" t="s">
        <v>159</v>
      </c>
      <c r="M695" t="s">
        <v>29</v>
      </c>
      <c r="N695" t="s">
        <v>189</v>
      </c>
      <c r="P695" t="s">
        <v>189</v>
      </c>
      <c r="Q695" t="s">
        <v>65</v>
      </c>
      <c r="R695" t="s">
        <v>175</v>
      </c>
      <c r="V695">
        <v>2</v>
      </c>
    </row>
    <row r="696" spans="4:22" x14ac:dyDescent="0.45">
      <c r="D696" t="s">
        <v>975</v>
      </c>
      <c r="E696" t="s">
        <v>2342</v>
      </c>
      <c r="F696" t="s">
        <v>290</v>
      </c>
      <c r="G696" t="s">
        <v>2235</v>
      </c>
      <c r="H696" t="s">
        <v>19</v>
      </c>
      <c r="I696" t="s">
        <v>158</v>
      </c>
      <c r="J696" t="s">
        <v>176</v>
      </c>
      <c r="K696" t="s">
        <v>159</v>
      </c>
      <c r="M696" t="s">
        <v>29</v>
      </c>
      <c r="N696" t="s">
        <v>189</v>
      </c>
      <c r="P696" t="s">
        <v>189</v>
      </c>
      <c r="Q696" t="s">
        <v>66</v>
      </c>
      <c r="R696" t="s">
        <v>175</v>
      </c>
      <c r="V696">
        <v>2</v>
      </c>
    </row>
    <row r="697" spans="4:22" x14ac:dyDescent="0.45">
      <c r="D697" t="s">
        <v>976</v>
      </c>
      <c r="E697" t="s">
        <v>2343</v>
      </c>
      <c r="F697" t="s">
        <v>290</v>
      </c>
      <c r="G697" t="s">
        <v>2237</v>
      </c>
      <c r="H697" t="s">
        <v>19</v>
      </c>
      <c r="I697" t="s">
        <v>158</v>
      </c>
      <c r="J697" t="s">
        <v>176</v>
      </c>
      <c r="K697" t="s">
        <v>159</v>
      </c>
      <c r="M697" t="s">
        <v>29</v>
      </c>
      <c r="N697" t="s">
        <v>189</v>
      </c>
      <c r="P697" t="s">
        <v>189</v>
      </c>
      <c r="Q697" t="s">
        <v>113</v>
      </c>
      <c r="R697" t="s">
        <v>175</v>
      </c>
      <c r="V697">
        <v>2</v>
      </c>
    </row>
    <row r="698" spans="4:22" x14ac:dyDescent="0.45">
      <c r="D698" t="s">
        <v>977</v>
      </c>
      <c r="E698" t="s">
        <v>2344</v>
      </c>
      <c r="F698" t="s">
        <v>290</v>
      </c>
      <c r="G698" t="s">
        <v>2239</v>
      </c>
      <c r="H698" t="s">
        <v>19</v>
      </c>
      <c r="I698" t="s">
        <v>158</v>
      </c>
      <c r="J698" t="s">
        <v>176</v>
      </c>
      <c r="K698" t="s">
        <v>159</v>
      </c>
      <c r="M698" t="s">
        <v>29</v>
      </c>
      <c r="N698" t="s">
        <v>189</v>
      </c>
      <c r="P698" t="s">
        <v>189</v>
      </c>
      <c r="Q698" t="s">
        <v>162</v>
      </c>
      <c r="R698" t="s">
        <v>175</v>
      </c>
      <c r="V698">
        <v>2</v>
      </c>
    </row>
    <row r="699" spans="4:22" x14ac:dyDescent="0.45">
      <c r="D699" t="s">
        <v>978</v>
      </c>
      <c r="E699" t="s">
        <v>2345</v>
      </c>
      <c r="F699" t="s">
        <v>290</v>
      </c>
      <c r="G699" t="s">
        <v>2241</v>
      </c>
      <c r="H699" t="s">
        <v>19</v>
      </c>
      <c r="I699" t="s">
        <v>158</v>
      </c>
      <c r="J699" t="s">
        <v>176</v>
      </c>
      <c r="K699" t="s">
        <v>159</v>
      </c>
      <c r="M699" t="s">
        <v>29</v>
      </c>
      <c r="N699" t="s">
        <v>189</v>
      </c>
      <c r="P699" t="s">
        <v>189</v>
      </c>
      <c r="Q699" t="s">
        <v>174</v>
      </c>
      <c r="R699" t="s">
        <v>175</v>
      </c>
      <c r="V699">
        <v>2</v>
      </c>
    </row>
    <row r="700" spans="4:22" x14ac:dyDescent="0.45">
      <c r="D700" t="s">
        <v>979</v>
      </c>
      <c r="E700" t="s">
        <v>2346</v>
      </c>
      <c r="F700" t="s">
        <v>290</v>
      </c>
      <c r="G700" t="s">
        <v>2243</v>
      </c>
      <c r="H700" t="s">
        <v>19</v>
      </c>
      <c r="I700" t="s">
        <v>158</v>
      </c>
      <c r="J700" t="s">
        <v>176</v>
      </c>
      <c r="K700" t="s">
        <v>159</v>
      </c>
      <c r="M700" t="s">
        <v>29</v>
      </c>
      <c r="N700" t="s">
        <v>190</v>
      </c>
      <c r="P700" t="s">
        <v>190</v>
      </c>
      <c r="Q700" t="s">
        <v>60</v>
      </c>
      <c r="R700" t="s">
        <v>175</v>
      </c>
      <c r="V700">
        <v>2</v>
      </c>
    </row>
    <row r="701" spans="4:22" x14ac:dyDescent="0.45">
      <c r="D701" t="s">
        <v>980</v>
      </c>
      <c r="E701" t="s">
        <v>2347</v>
      </c>
      <c r="F701" t="s">
        <v>290</v>
      </c>
      <c r="G701" t="s">
        <v>2227</v>
      </c>
      <c r="H701" t="s">
        <v>19</v>
      </c>
      <c r="I701" t="s">
        <v>158</v>
      </c>
      <c r="J701" t="s">
        <v>176</v>
      </c>
      <c r="K701" t="s">
        <v>159</v>
      </c>
      <c r="M701" t="s">
        <v>29</v>
      </c>
      <c r="N701" t="s">
        <v>190</v>
      </c>
      <c r="P701" t="s">
        <v>190</v>
      </c>
      <c r="Q701" t="s">
        <v>61</v>
      </c>
      <c r="R701" t="s">
        <v>175</v>
      </c>
      <c r="V701">
        <v>2</v>
      </c>
    </row>
    <row r="702" spans="4:22" x14ac:dyDescent="0.45">
      <c r="D702" t="s">
        <v>981</v>
      </c>
      <c r="E702" t="s">
        <v>2348</v>
      </c>
      <c r="F702" t="s">
        <v>290</v>
      </c>
      <c r="G702" t="s">
        <v>2229</v>
      </c>
      <c r="H702" t="s">
        <v>19</v>
      </c>
      <c r="I702" t="s">
        <v>158</v>
      </c>
      <c r="J702" t="s">
        <v>176</v>
      </c>
      <c r="K702" t="s">
        <v>159</v>
      </c>
      <c r="M702" t="s">
        <v>29</v>
      </c>
      <c r="N702" t="s">
        <v>190</v>
      </c>
      <c r="P702" t="s">
        <v>190</v>
      </c>
      <c r="Q702" t="s">
        <v>63</v>
      </c>
      <c r="R702" t="s">
        <v>175</v>
      </c>
      <c r="V702">
        <v>2</v>
      </c>
    </row>
    <row r="703" spans="4:22" x14ac:dyDescent="0.45">
      <c r="D703" t="s">
        <v>982</v>
      </c>
      <c r="E703" t="s">
        <v>2349</v>
      </c>
      <c r="F703" t="s">
        <v>290</v>
      </c>
      <c r="G703" t="s">
        <v>2231</v>
      </c>
      <c r="H703" t="s">
        <v>19</v>
      </c>
      <c r="I703" t="s">
        <v>158</v>
      </c>
      <c r="J703" t="s">
        <v>176</v>
      </c>
      <c r="K703" t="s">
        <v>159</v>
      </c>
      <c r="M703" t="s">
        <v>29</v>
      </c>
      <c r="N703" t="s">
        <v>190</v>
      </c>
      <c r="P703" t="s">
        <v>190</v>
      </c>
      <c r="Q703" t="s">
        <v>64</v>
      </c>
      <c r="R703" t="s">
        <v>175</v>
      </c>
      <c r="V703">
        <v>2</v>
      </c>
    </row>
    <row r="704" spans="4:22" x14ac:dyDescent="0.45">
      <c r="D704" t="s">
        <v>983</v>
      </c>
      <c r="E704" t="s">
        <v>2350</v>
      </c>
      <c r="F704" t="s">
        <v>290</v>
      </c>
      <c r="G704" t="s">
        <v>2233</v>
      </c>
      <c r="H704" t="s">
        <v>19</v>
      </c>
      <c r="I704" t="s">
        <v>158</v>
      </c>
      <c r="J704" t="s">
        <v>176</v>
      </c>
      <c r="K704" t="s">
        <v>159</v>
      </c>
      <c r="M704" t="s">
        <v>29</v>
      </c>
      <c r="N704" t="s">
        <v>190</v>
      </c>
      <c r="P704" t="s">
        <v>190</v>
      </c>
      <c r="Q704" t="s">
        <v>65</v>
      </c>
      <c r="R704" t="s">
        <v>175</v>
      </c>
      <c r="V704">
        <v>2</v>
      </c>
    </row>
    <row r="705" spans="4:22" x14ac:dyDescent="0.45">
      <c r="D705" t="s">
        <v>984</v>
      </c>
      <c r="E705" t="s">
        <v>2351</v>
      </c>
      <c r="F705" t="s">
        <v>290</v>
      </c>
      <c r="G705" t="s">
        <v>2235</v>
      </c>
      <c r="H705" t="s">
        <v>19</v>
      </c>
      <c r="I705" t="s">
        <v>158</v>
      </c>
      <c r="J705" t="s">
        <v>176</v>
      </c>
      <c r="K705" t="s">
        <v>159</v>
      </c>
      <c r="M705" t="s">
        <v>29</v>
      </c>
      <c r="N705" t="s">
        <v>190</v>
      </c>
      <c r="P705" t="s">
        <v>190</v>
      </c>
      <c r="Q705" t="s">
        <v>66</v>
      </c>
      <c r="R705" t="s">
        <v>175</v>
      </c>
      <c r="V705">
        <v>2</v>
      </c>
    </row>
    <row r="706" spans="4:22" x14ac:dyDescent="0.45">
      <c r="D706" t="s">
        <v>985</v>
      </c>
      <c r="E706" t="s">
        <v>2352</v>
      </c>
      <c r="F706" t="s">
        <v>290</v>
      </c>
      <c r="G706" t="s">
        <v>2237</v>
      </c>
      <c r="H706" t="s">
        <v>19</v>
      </c>
      <c r="I706" t="s">
        <v>158</v>
      </c>
      <c r="J706" t="s">
        <v>176</v>
      </c>
      <c r="K706" t="s">
        <v>159</v>
      </c>
      <c r="M706" t="s">
        <v>29</v>
      </c>
      <c r="N706" t="s">
        <v>190</v>
      </c>
      <c r="P706" t="s">
        <v>190</v>
      </c>
      <c r="Q706" t="s">
        <v>113</v>
      </c>
      <c r="R706" t="s">
        <v>175</v>
      </c>
      <c r="V706">
        <v>2</v>
      </c>
    </row>
    <row r="707" spans="4:22" x14ac:dyDescent="0.45">
      <c r="D707" t="s">
        <v>986</v>
      </c>
      <c r="E707" t="s">
        <v>2353</v>
      </c>
      <c r="F707" t="s">
        <v>290</v>
      </c>
      <c r="G707" t="s">
        <v>2239</v>
      </c>
      <c r="H707" t="s">
        <v>19</v>
      </c>
      <c r="I707" t="s">
        <v>158</v>
      </c>
      <c r="J707" t="s">
        <v>176</v>
      </c>
      <c r="K707" t="s">
        <v>159</v>
      </c>
      <c r="M707" t="s">
        <v>29</v>
      </c>
      <c r="N707" t="s">
        <v>190</v>
      </c>
      <c r="P707" t="s">
        <v>190</v>
      </c>
      <c r="Q707" t="s">
        <v>162</v>
      </c>
      <c r="R707" t="s">
        <v>175</v>
      </c>
      <c r="V707">
        <v>2</v>
      </c>
    </row>
    <row r="708" spans="4:22" x14ac:dyDescent="0.45">
      <c r="D708" t="s">
        <v>987</v>
      </c>
      <c r="E708" t="s">
        <v>2354</v>
      </c>
      <c r="F708" t="s">
        <v>290</v>
      </c>
      <c r="G708" t="s">
        <v>2241</v>
      </c>
      <c r="H708" t="s">
        <v>19</v>
      </c>
      <c r="I708" t="s">
        <v>158</v>
      </c>
      <c r="J708" t="s">
        <v>176</v>
      </c>
      <c r="K708" t="s">
        <v>159</v>
      </c>
      <c r="M708" t="s">
        <v>29</v>
      </c>
      <c r="N708" t="s">
        <v>190</v>
      </c>
      <c r="P708" t="s">
        <v>190</v>
      </c>
      <c r="Q708" t="s">
        <v>174</v>
      </c>
      <c r="R708" t="s">
        <v>175</v>
      </c>
      <c r="V708">
        <v>2</v>
      </c>
    </row>
    <row r="709" spans="4:22" x14ac:dyDescent="0.45">
      <c r="D709" t="s">
        <v>988</v>
      </c>
      <c r="E709" t="s">
        <v>2355</v>
      </c>
      <c r="F709" t="s">
        <v>290</v>
      </c>
      <c r="G709" t="s">
        <v>2243</v>
      </c>
      <c r="H709" t="s">
        <v>19</v>
      </c>
      <c r="I709" t="s">
        <v>158</v>
      </c>
      <c r="J709" t="s">
        <v>176</v>
      </c>
      <c r="K709" t="s">
        <v>159</v>
      </c>
      <c r="M709" t="s">
        <v>29</v>
      </c>
      <c r="N709" t="s">
        <v>191</v>
      </c>
      <c r="P709" t="s">
        <v>191</v>
      </c>
      <c r="Q709" t="s">
        <v>60</v>
      </c>
      <c r="R709" t="s">
        <v>175</v>
      </c>
      <c r="V709">
        <v>2</v>
      </c>
    </row>
    <row r="710" spans="4:22" x14ac:dyDescent="0.45">
      <c r="D710" t="s">
        <v>989</v>
      </c>
      <c r="E710" t="s">
        <v>2356</v>
      </c>
      <c r="F710" t="s">
        <v>290</v>
      </c>
      <c r="G710" t="s">
        <v>2227</v>
      </c>
      <c r="H710" t="s">
        <v>19</v>
      </c>
      <c r="I710" t="s">
        <v>158</v>
      </c>
      <c r="J710" t="s">
        <v>176</v>
      </c>
      <c r="K710" t="s">
        <v>159</v>
      </c>
      <c r="M710" t="s">
        <v>29</v>
      </c>
      <c r="N710" t="s">
        <v>191</v>
      </c>
      <c r="P710" t="s">
        <v>191</v>
      </c>
      <c r="Q710" t="s">
        <v>61</v>
      </c>
      <c r="R710" t="s">
        <v>175</v>
      </c>
      <c r="V710">
        <v>2</v>
      </c>
    </row>
    <row r="711" spans="4:22" x14ac:dyDescent="0.45">
      <c r="D711" t="s">
        <v>990</v>
      </c>
      <c r="E711" t="s">
        <v>2357</v>
      </c>
      <c r="F711" t="s">
        <v>290</v>
      </c>
      <c r="G711" t="s">
        <v>2229</v>
      </c>
      <c r="H711" t="s">
        <v>19</v>
      </c>
      <c r="I711" t="s">
        <v>158</v>
      </c>
      <c r="J711" t="s">
        <v>176</v>
      </c>
      <c r="K711" t="s">
        <v>159</v>
      </c>
      <c r="M711" t="s">
        <v>29</v>
      </c>
      <c r="N711" t="s">
        <v>191</v>
      </c>
      <c r="P711" t="s">
        <v>191</v>
      </c>
      <c r="Q711" t="s">
        <v>63</v>
      </c>
      <c r="R711" t="s">
        <v>175</v>
      </c>
      <c r="V711">
        <v>2</v>
      </c>
    </row>
    <row r="712" spans="4:22" x14ac:dyDescent="0.45">
      <c r="D712" t="s">
        <v>991</v>
      </c>
      <c r="E712" t="s">
        <v>2358</v>
      </c>
      <c r="F712" t="s">
        <v>290</v>
      </c>
      <c r="G712" t="s">
        <v>2231</v>
      </c>
      <c r="H712" t="s">
        <v>19</v>
      </c>
      <c r="I712" t="s">
        <v>158</v>
      </c>
      <c r="J712" t="s">
        <v>176</v>
      </c>
      <c r="K712" t="s">
        <v>159</v>
      </c>
      <c r="M712" t="s">
        <v>29</v>
      </c>
      <c r="N712" t="s">
        <v>191</v>
      </c>
      <c r="P712" t="s">
        <v>191</v>
      </c>
      <c r="Q712" t="s">
        <v>64</v>
      </c>
      <c r="R712" t="s">
        <v>175</v>
      </c>
      <c r="V712">
        <v>2</v>
      </c>
    </row>
    <row r="713" spans="4:22" x14ac:dyDescent="0.45">
      <c r="D713" t="s">
        <v>992</v>
      </c>
      <c r="E713" t="s">
        <v>2359</v>
      </c>
      <c r="F713" t="s">
        <v>290</v>
      </c>
      <c r="G713" t="s">
        <v>2233</v>
      </c>
      <c r="H713" t="s">
        <v>19</v>
      </c>
      <c r="I713" t="s">
        <v>158</v>
      </c>
      <c r="J713" t="s">
        <v>176</v>
      </c>
      <c r="K713" t="s">
        <v>159</v>
      </c>
      <c r="M713" t="s">
        <v>29</v>
      </c>
      <c r="N713" t="s">
        <v>191</v>
      </c>
      <c r="P713" t="s">
        <v>191</v>
      </c>
      <c r="Q713" t="s">
        <v>65</v>
      </c>
      <c r="R713" t="s">
        <v>175</v>
      </c>
      <c r="V713">
        <v>2</v>
      </c>
    </row>
    <row r="714" spans="4:22" x14ac:dyDescent="0.45">
      <c r="D714" t="s">
        <v>993</v>
      </c>
      <c r="E714" t="s">
        <v>2360</v>
      </c>
      <c r="F714" t="s">
        <v>290</v>
      </c>
      <c r="G714" t="s">
        <v>2235</v>
      </c>
      <c r="H714" t="s">
        <v>19</v>
      </c>
      <c r="I714" t="s">
        <v>158</v>
      </c>
      <c r="J714" t="s">
        <v>176</v>
      </c>
      <c r="K714" t="s">
        <v>159</v>
      </c>
      <c r="M714" t="s">
        <v>29</v>
      </c>
      <c r="N714" t="s">
        <v>191</v>
      </c>
      <c r="P714" t="s">
        <v>191</v>
      </c>
      <c r="Q714" t="s">
        <v>66</v>
      </c>
      <c r="R714" t="s">
        <v>175</v>
      </c>
      <c r="V714">
        <v>2</v>
      </c>
    </row>
    <row r="715" spans="4:22" x14ac:dyDescent="0.45">
      <c r="D715" t="s">
        <v>994</v>
      </c>
      <c r="E715" t="s">
        <v>2361</v>
      </c>
      <c r="F715" t="s">
        <v>290</v>
      </c>
      <c r="G715" t="s">
        <v>2237</v>
      </c>
      <c r="H715" t="s">
        <v>19</v>
      </c>
      <c r="I715" t="s">
        <v>158</v>
      </c>
      <c r="J715" t="s">
        <v>176</v>
      </c>
      <c r="K715" t="s">
        <v>159</v>
      </c>
      <c r="M715" t="s">
        <v>29</v>
      </c>
      <c r="N715" t="s">
        <v>191</v>
      </c>
      <c r="P715" t="s">
        <v>191</v>
      </c>
      <c r="Q715" t="s">
        <v>113</v>
      </c>
      <c r="R715" t="s">
        <v>175</v>
      </c>
      <c r="V715">
        <v>2</v>
      </c>
    </row>
    <row r="716" spans="4:22" x14ac:dyDescent="0.45">
      <c r="D716" t="s">
        <v>995</v>
      </c>
      <c r="E716" t="s">
        <v>2362</v>
      </c>
      <c r="F716" t="s">
        <v>290</v>
      </c>
      <c r="G716" t="s">
        <v>2239</v>
      </c>
      <c r="H716" t="s">
        <v>19</v>
      </c>
      <c r="I716" t="s">
        <v>158</v>
      </c>
      <c r="J716" t="s">
        <v>176</v>
      </c>
      <c r="K716" t="s">
        <v>159</v>
      </c>
      <c r="M716" t="s">
        <v>29</v>
      </c>
      <c r="N716" t="s">
        <v>191</v>
      </c>
      <c r="P716" t="s">
        <v>191</v>
      </c>
      <c r="Q716" t="s">
        <v>162</v>
      </c>
      <c r="R716" t="s">
        <v>175</v>
      </c>
      <c r="V716">
        <v>2</v>
      </c>
    </row>
    <row r="717" spans="4:22" x14ac:dyDescent="0.45">
      <c r="D717" t="s">
        <v>996</v>
      </c>
      <c r="E717" t="s">
        <v>2363</v>
      </c>
      <c r="F717" t="s">
        <v>290</v>
      </c>
      <c r="G717" t="s">
        <v>2241</v>
      </c>
      <c r="H717" t="s">
        <v>19</v>
      </c>
      <c r="I717" t="s">
        <v>158</v>
      </c>
      <c r="J717" t="s">
        <v>176</v>
      </c>
      <c r="K717" t="s">
        <v>159</v>
      </c>
      <c r="M717" t="s">
        <v>29</v>
      </c>
      <c r="N717" t="s">
        <v>191</v>
      </c>
      <c r="P717" t="s">
        <v>191</v>
      </c>
      <c r="Q717" t="s">
        <v>174</v>
      </c>
      <c r="R717" t="s">
        <v>175</v>
      </c>
      <c r="V717">
        <v>2</v>
      </c>
    </row>
    <row r="718" spans="4:22" x14ac:dyDescent="0.45">
      <c r="D718" t="s">
        <v>997</v>
      </c>
      <c r="E718" t="s">
        <v>2364</v>
      </c>
      <c r="F718" t="s">
        <v>290</v>
      </c>
      <c r="G718" t="s">
        <v>2243</v>
      </c>
      <c r="H718" t="s">
        <v>19</v>
      </c>
      <c r="I718" t="s">
        <v>158</v>
      </c>
      <c r="J718" t="s">
        <v>176</v>
      </c>
      <c r="K718" t="s">
        <v>159</v>
      </c>
      <c r="M718" t="s">
        <v>29</v>
      </c>
      <c r="N718" t="s">
        <v>192</v>
      </c>
      <c r="P718" t="s">
        <v>192</v>
      </c>
      <c r="Q718" t="s">
        <v>60</v>
      </c>
      <c r="R718" t="s">
        <v>175</v>
      </c>
      <c r="V718">
        <v>2</v>
      </c>
    </row>
    <row r="719" spans="4:22" x14ac:dyDescent="0.45">
      <c r="D719" t="s">
        <v>998</v>
      </c>
      <c r="E719" t="s">
        <v>2365</v>
      </c>
      <c r="F719" t="s">
        <v>290</v>
      </c>
      <c r="G719" t="s">
        <v>2227</v>
      </c>
      <c r="H719" t="s">
        <v>19</v>
      </c>
      <c r="I719" t="s">
        <v>158</v>
      </c>
      <c r="J719" t="s">
        <v>176</v>
      </c>
      <c r="K719" t="s">
        <v>159</v>
      </c>
      <c r="M719" t="s">
        <v>29</v>
      </c>
      <c r="N719" t="s">
        <v>192</v>
      </c>
      <c r="P719" t="s">
        <v>192</v>
      </c>
      <c r="Q719" t="s">
        <v>61</v>
      </c>
      <c r="R719" t="s">
        <v>175</v>
      </c>
      <c r="V719">
        <v>2</v>
      </c>
    </row>
    <row r="720" spans="4:22" x14ac:dyDescent="0.45">
      <c r="D720" t="s">
        <v>999</v>
      </c>
      <c r="E720" t="s">
        <v>2366</v>
      </c>
      <c r="F720" t="s">
        <v>290</v>
      </c>
      <c r="G720" t="s">
        <v>2229</v>
      </c>
      <c r="H720" t="s">
        <v>19</v>
      </c>
      <c r="I720" t="s">
        <v>158</v>
      </c>
      <c r="J720" t="s">
        <v>176</v>
      </c>
      <c r="K720" t="s">
        <v>159</v>
      </c>
      <c r="M720" t="s">
        <v>29</v>
      </c>
      <c r="N720" t="s">
        <v>192</v>
      </c>
      <c r="P720" t="s">
        <v>192</v>
      </c>
      <c r="Q720" t="s">
        <v>63</v>
      </c>
      <c r="R720" t="s">
        <v>175</v>
      </c>
      <c r="V720">
        <v>2</v>
      </c>
    </row>
    <row r="721" spans="4:22" x14ac:dyDescent="0.45">
      <c r="D721" t="s">
        <v>1000</v>
      </c>
      <c r="E721" t="s">
        <v>2367</v>
      </c>
      <c r="F721" t="s">
        <v>290</v>
      </c>
      <c r="G721" t="s">
        <v>2231</v>
      </c>
      <c r="H721" t="s">
        <v>19</v>
      </c>
      <c r="I721" t="s">
        <v>158</v>
      </c>
      <c r="J721" t="s">
        <v>176</v>
      </c>
      <c r="K721" t="s">
        <v>159</v>
      </c>
      <c r="M721" t="s">
        <v>29</v>
      </c>
      <c r="N721" t="s">
        <v>192</v>
      </c>
      <c r="P721" t="s">
        <v>192</v>
      </c>
      <c r="Q721" t="s">
        <v>64</v>
      </c>
      <c r="R721" t="s">
        <v>175</v>
      </c>
      <c r="V721">
        <v>2</v>
      </c>
    </row>
    <row r="722" spans="4:22" x14ac:dyDescent="0.45">
      <c r="D722" t="s">
        <v>1001</v>
      </c>
      <c r="E722" t="s">
        <v>2368</v>
      </c>
      <c r="F722" t="s">
        <v>290</v>
      </c>
      <c r="G722" t="s">
        <v>2233</v>
      </c>
      <c r="H722" t="s">
        <v>19</v>
      </c>
      <c r="I722" t="s">
        <v>158</v>
      </c>
      <c r="J722" t="s">
        <v>176</v>
      </c>
      <c r="K722" t="s">
        <v>159</v>
      </c>
      <c r="M722" t="s">
        <v>29</v>
      </c>
      <c r="N722" t="s">
        <v>192</v>
      </c>
      <c r="P722" t="s">
        <v>192</v>
      </c>
      <c r="Q722" t="s">
        <v>65</v>
      </c>
      <c r="R722" t="s">
        <v>175</v>
      </c>
      <c r="V722">
        <v>2</v>
      </c>
    </row>
    <row r="723" spans="4:22" x14ac:dyDescent="0.45">
      <c r="D723" t="s">
        <v>1002</v>
      </c>
      <c r="E723" t="s">
        <v>2369</v>
      </c>
      <c r="F723" t="s">
        <v>290</v>
      </c>
      <c r="G723" t="s">
        <v>2235</v>
      </c>
      <c r="H723" t="s">
        <v>19</v>
      </c>
      <c r="I723" t="s">
        <v>158</v>
      </c>
      <c r="J723" t="s">
        <v>176</v>
      </c>
      <c r="K723" t="s">
        <v>159</v>
      </c>
      <c r="M723" t="s">
        <v>29</v>
      </c>
      <c r="N723" t="s">
        <v>192</v>
      </c>
      <c r="P723" t="s">
        <v>192</v>
      </c>
      <c r="Q723" t="s">
        <v>66</v>
      </c>
      <c r="R723" t="s">
        <v>175</v>
      </c>
      <c r="V723">
        <v>2</v>
      </c>
    </row>
    <row r="724" spans="4:22" x14ac:dyDescent="0.45">
      <c r="D724" t="s">
        <v>1003</v>
      </c>
      <c r="E724" t="s">
        <v>2370</v>
      </c>
      <c r="F724" t="s">
        <v>290</v>
      </c>
      <c r="G724" t="s">
        <v>2237</v>
      </c>
      <c r="H724" t="s">
        <v>19</v>
      </c>
      <c r="I724" t="s">
        <v>158</v>
      </c>
      <c r="J724" t="s">
        <v>176</v>
      </c>
      <c r="K724" t="s">
        <v>159</v>
      </c>
      <c r="M724" t="s">
        <v>29</v>
      </c>
      <c r="N724" t="s">
        <v>192</v>
      </c>
      <c r="P724" t="s">
        <v>192</v>
      </c>
      <c r="Q724" t="s">
        <v>113</v>
      </c>
      <c r="R724" t="s">
        <v>175</v>
      </c>
      <c r="V724">
        <v>2</v>
      </c>
    </row>
    <row r="725" spans="4:22" x14ac:dyDescent="0.45">
      <c r="D725" t="s">
        <v>1004</v>
      </c>
      <c r="E725" t="s">
        <v>2371</v>
      </c>
      <c r="F725" t="s">
        <v>290</v>
      </c>
      <c r="G725" t="s">
        <v>2239</v>
      </c>
      <c r="H725" t="s">
        <v>19</v>
      </c>
      <c r="I725" t="s">
        <v>158</v>
      </c>
      <c r="J725" t="s">
        <v>176</v>
      </c>
      <c r="K725" t="s">
        <v>159</v>
      </c>
      <c r="M725" t="s">
        <v>29</v>
      </c>
      <c r="N725" t="s">
        <v>192</v>
      </c>
      <c r="P725" t="s">
        <v>192</v>
      </c>
      <c r="Q725" t="s">
        <v>162</v>
      </c>
      <c r="R725" t="s">
        <v>175</v>
      </c>
      <c r="V725">
        <v>2</v>
      </c>
    </row>
    <row r="726" spans="4:22" x14ac:dyDescent="0.45">
      <c r="D726" t="s">
        <v>1005</v>
      </c>
      <c r="E726" t="s">
        <v>2372</v>
      </c>
      <c r="F726" t="s">
        <v>290</v>
      </c>
      <c r="G726" t="s">
        <v>2241</v>
      </c>
      <c r="H726" t="s">
        <v>19</v>
      </c>
      <c r="I726" t="s">
        <v>158</v>
      </c>
      <c r="J726" t="s">
        <v>176</v>
      </c>
      <c r="K726" t="s">
        <v>159</v>
      </c>
      <c r="M726" t="s">
        <v>29</v>
      </c>
      <c r="N726" t="s">
        <v>192</v>
      </c>
      <c r="P726" t="s">
        <v>192</v>
      </c>
      <c r="Q726" t="s">
        <v>174</v>
      </c>
      <c r="R726" t="s">
        <v>175</v>
      </c>
      <c r="V726">
        <v>2</v>
      </c>
    </row>
    <row r="727" spans="4:22" x14ac:dyDescent="0.45">
      <c r="D727" t="s">
        <v>1006</v>
      </c>
      <c r="E727" t="s">
        <v>2373</v>
      </c>
      <c r="F727" t="s">
        <v>290</v>
      </c>
      <c r="G727" t="s">
        <v>2374</v>
      </c>
      <c r="H727" t="s">
        <v>19</v>
      </c>
      <c r="I727" t="s">
        <v>158</v>
      </c>
      <c r="J727" t="s">
        <v>67</v>
      </c>
      <c r="K727" t="s">
        <v>159</v>
      </c>
      <c r="M727" t="s">
        <v>181</v>
      </c>
      <c r="N727" t="s">
        <v>37</v>
      </c>
      <c r="P727" t="s">
        <v>37</v>
      </c>
      <c r="Q727" t="s">
        <v>101</v>
      </c>
      <c r="R727" t="s">
        <v>69</v>
      </c>
      <c r="S727" t="s">
        <v>101</v>
      </c>
      <c r="U727" t="s">
        <v>2375</v>
      </c>
      <c r="V727">
        <v>2</v>
      </c>
    </row>
    <row r="728" spans="4:22" x14ac:dyDescent="0.45">
      <c r="D728" t="s">
        <v>1007</v>
      </c>
      <c r="E728" t="s">
        <v>2376</v>
      </c>
      <c r="F728" t="s">
        <v>290</v>
      </c>
      <c r="G728" t="s">
        <v>2377</v>
      </c>
      <c r="H728" t="s">
        <v>19</v>
      </c>
      <c r="I728" t="s">
        <v>158</v>
      </c>
      <c r="J728" t="s">
        <v>176</v>
      </c>
      <c r="K728" t="s">
        <v>159</v>
      </c>
      <c r="M728" t="s">
        <v>181</v>
      </c>
      <c r="N728" t="s">
        <v>177</v>
      </c>
      <c r="P728" t="s">
        <v>177</v>
      </c>
      <c r="Q728" t="s">
        <v>101</v>
      </c>
      <c r="R728" t="s">
        <v>69</v>
      </c>
      <c r="S728" t="s">
        <v>101</v>
      </c>
      <c r="V728">
        <v>2</v>
      </c>
    </row>
    <row r="729" spans="4:22" x14ac:dyDescent="0.45">
      <c r="D729" t="s">
        <v>1008</v>
      </c>
      <c r="E729" t="s">
        <v>2378</v>
      </c>
      <c r="F729" t="s">
        <v>290</v>
      </c>
      <c r="G729" t="s">
        <v>2377</v>
      </c>
      <c r="H729" t="s">
        <v>19</v>
      </c>
      <c r="I729" t="s">
        <v>158</v>
      </c>
      <c r="J729" t="s">
        <v>176</v>
      </c>
      <c r="K729" t="s">
        <v>159</v>
      </c>
      <c r="M729" t="s">
        <v>181</v>
      </c>
      <c r="N729" t="s">
        <v>178</v>
      </c>
      <c r="P729" t="s">
        <v>178</v>
      </c>
      <c r="Q729" t="s">
        <v>101</v>
      </c>
      <c r="R729" t="s">
        <v>69</v>
      </c>
      <c r="S729" t="s">
        <v>101</v>
      </c>
      <c r="V729">
        <v>2</v>
      </c>
    </row>
    <row r="730" spans="4:22" x14ac:dyDescent="0.45">
      <c r="D730" t="s">
        <v>1009</v>
      </c>
      <c r="E730" t="s">
        <v>2379</v>
      </c>
      <c r="F730" t="s">
        <v>290</v>
      </c>
      <c r="G730" t="s">
        <v>2377</v>
      </c>
      <c r="H730" t="s">
        <v>19</v>
      </c>
      <c r="I730" t="s">
        <v>158</v>
      </c>
      <c r="J730" t="s">
        <v>176</v>
      </c>
      <c r="K730" t="s">
        <v>159</v>
      </c>
      <c r="M730" t="s">
        <v>181</v>
      </c>
      <c r="N730" t="s">
        <v>182</v>
      </c>
      <c r="P730" t="s">
        <v>182</v>
      </c>
      <c r="Q730" t="s">
        <v>101</v>
      </c>
      <c r="R730" t="s">
        <v>69</v>
      </c>
      <c r="S730" t="s">
        <v>101</v>
      </c>
      <c r="V730">
        <v>2</v>
      </c>
    </row>
    <row r="731" spans="4:22" x14ac:dyDescent="0.45">
      <c r="D731" t="s">
        <v>1010</v>
      </c>
      <c r="E731" t="s">
        <v>2380</v>
      </c>
      <c r="F731" t="s">
        <v>290</v>
      </c>
      <c r="G731" t="s">
        <v>2377</v>
      </c>
      <c r="H731" t="s">
        <v>19</v>
      </c>
      <c r="I731" t="s">
        <v>158</v>
      </c>
      <c r="J731" t="s">
        <v>176</v>
      </c>
      <c r="K731" t="s">
        <v>159</v>
      </c>
      <c r="M731" t="s">
        <v>181</v>
      </c>
      <c r="N731" t="s">
        <v>179</v>
      </c>
      <c r="P731" t="s">
        <v>179</v>
      </c>
      <c r="Q731" t="s">
        <v>101</v>
      </c>
      <c r="R731" t="s">
        <v>69</v>
      </c>
      <c r="S731" t="s">
        <v>101</v>
      </c>
      <c r="V731">
        <v>2</v>
      </c>
    </row>
    <row r="732" spans="4:22" x14ac:dyDescent="0.45">
      <c r="D732" t="s">
        <v>1011</v>
      </c>
      <c r="E732" t="s">
        <v>2381</v>
      </c>
      <c r="F732" t="s">
        <v>290</v>
      </c>
      <c r="G732" t="s">
        <v>2377</v>
      </c>
      <c r="H732" t="s">
        <v>19</v>
      </c>
      <c r="I732" t="s">
        <v>158</v>
      </c>
      <c r="J732" t="s">
        <v>176</v>
      </c>
      <c r="K732" t="s">
        <v>159</v>
      </c>
      <c r="M732" t="s">
        <v>181</v>
      </c>
      <c r="N732" t="s">
        <v>28</v>
      </c>
      <c r="P732" t="s">
        <v>28</v>
      </c>
      <c r="Q732" t="s">
        <v>101</v>
      </c>
      <c r="R732" t="s">
        <v>69</v>
      </c>
      <c r="S732" t="s">
        <v>101</v>
      </c>
      <c r="V732">
        <v>2</v>
      </c>
    </row>
    <row r="733" spans="4:22" x14ac:dyDescent="0.45">
      <c r="D733" t="s">
        <v>1012</v>
      </c>
      <c r="E733" t="s">
        <v>2382</v>
      </c>
      <c r="F733" t="s">
        <v>290</v>
      </c>
      <c r="G733" t="s">
        <v>2377</v>
      </c>
      <c r="H733" t="s">
        <v>19</v>
      </c>
      <c r="I733" t="s">
        <v>158</v>
      </c>
      <c r="J733" t="s">
        <v>176</v>
      </c>
      <c r="K733" t="s">
        <v>159</v>
      </c>
      <c r="M733" t="s">
        <v>181</v>
      </c>
      <c r="N733" t="s">
        <v>183</v>
      </c>
      <c r="P733" t="s">
        <v>183</v>
      </c>
      <c r="Q733" t="s">
        <v>101</v>
      </c>
      <c r="R733" t="s">
        <v>69</v>
      </c>
      <c r="S733" t="s">
        <v>101</v>
      </c>
      <c r="V733">
        <v>2</v>
      </c>
    </row>
    <row r="734" spans="4:22" x14ac:dyDescent="0.45">
      <c r="D734" t="s">
        <v>1013</v>
      </c>
      <c r="E734" t="s">
        <v>2383</v>
      </c>
      <c r="F734" t="s">
        <v>290</v>
      </c>
      <c r="G734" t="s">
        <v>2377</v>
      </c>
      <c r="H734" t="s">
        <v>19</v>
      </c>
      <c r="I734" t="s">
        <v>158</v>
      </c>
      <c r="J734" t="s">
        <v>176</v>
      </c>
      <c r="K734" t="s">
        <v>159</v>
      </c>
      <c r="M734" t="s">
        <v>181</v>
      </c>
      <c r="N734" t="s">
        <v>184</v>
      </c>
      <c r="P734" t="s">
        <v>184</v>
      </c>
      <c r="Q734" t="s">
        <v>101</v>
      </c>
      <c r="R734" t="s">
        <v>69</v>
      </c>
      <c r="S734" t="s">
        <v>101</v>
      </c>
      <c r="V734">
        <v>2</v>
      </c>
    </row>
    <row r="735" spans="4:22" x14ac:dyDescent="0.45">
      <c r="D735" t="s">
        <v>1014</v>
      </c>
      <c r="E735" t="s">
        <v>2384</v>
      </c>
      <c r="F735" t="s">
        <v>290</v>
      </c>
      <c r="G735" t="s">
        <v>2377</v>
      </c>
      <c r="H735" t="s">
        <v>19</v>
      </c>
      <c r="I735" t="s">
        <v>158</v>
      </c>
      <c r="J735" t="s">
        <v>176</v>
      </c>
      <c r="K735" t="s">
        <v>159</v>
      </c>
      <c r="M735" t="s">
        <v>181</v>
      </c>
      <c r="N735" t="s">
        <v>185</v>
      </c>
      <c r="P735" t="s">
        <v>185</v>
      </c>
      <c r="Q735" t="s">
        <v>101</v>
      </c>
      <c r="R735" t="s">
        <v>69</v>
      </c>
      <c r="S735" t="s">
        <v>101</v>
      </c>
      <c r="V735">
        <v>2</v>
      </c>
    </row>
    <row r="736" spans="4:22" x14ac:dyDescent="0.45">
      <c r="D736" t="s">
        <v>1015</v>
      </c>
      <c r="E736" t="s">
        <v>2385</v>
      </c>
      <c r="F736" t="s">
        <v>290</v>
      </c>
      <c r="G736" t="s">
        <v>2377</v>
      </c>
      <c r="H736" t="s">
        <v>19</v>
      </c>
      <c r="I736" t="s">
        <v>158</v>
      </c>
      <c r="J736" t="s">
        <v>176</v>
      </c>
      <c r="K736" t="s">
        <v>159</v>
      </c>
      <c r="M736" t="s">
        <v>181</v>
      </c>
      <c r="N736" t="s">
        <v>186</v>
      </c>
      <c r="P736" t="s">
        <v>186</v>
      </c>
      <c r="Q736" t="s">
        <v>101</v>
      </c>
      <c r="R736" t="s">
        <v>69</v>
      </c>
      <c r="S736" t="s">
        <v>101</v>
      </c>
      <c r="V736">
        <v>2</v>
      </c>
    </row>
    <row r="737" spans="4:22" x14ac:dyDescent="0.45">
      <c r="D737" t="s">
        <v>1016</v>
      </c>
      <c r="E737" t="s">
        <v>2386</v>
      </c>
      <c r="F737" t="s">
        <v>290</v>
      </c>
      <c r="G737" t="s">
        <v>2377</v>
      </c>
      <c r="H737" t="s">
        <v>19</v>
      </c>
      <c r="I737" t="s">
        <v>158</v>
      </c>
      <c r="J737" t="s">
        <v>176</v>
      </c>
      <c r="K737" t="s">
        <v>159</v>
      </c>
      <c r="M737" t="s">
        <v>181</v>
      </c>
      <c r="N737" t="s">
        <v>187</v>
      </c>
      <c r="P737" t="s">
        <v>187</v>
      </c>
      <c r="Q737" t="s">
        <v>101</v>
      </c>
      <c r="R737" t="s">
        <v>69</v>
      </c>
      <c r="S737" t="s">
        <v>101</v>
      </c>
      <c r="V737">
        <v>2</v>
      </c>
    </row>
    <row r="738" spans="4:22" x14ac:dyDescent="0.45">
      <c r="D738" t="s">
        <v>1017</v>
      </c>
      <c r="E738" t="s">
        <v>2387</v>
      </c>
      <c r="F738" t="s">
        <v>290</v>
      </c>
      <c r="G738" t="s">
        <v>2377</v>
      </c>
      <c r="H738" t="s">
        <v>19</v>
      </c>
      <c r="I738" t="s">
        <v>158</v>
      </c>
      <c r="J738" t="s">
        <v>176</v>
      </c>
      <c r="K738" t="s">
        <v>159</v>
      </c>
      <c r="M738" t="s">
        <v>181</v>
      </c>
      <c r="N738" t="s">
        <v>188</v>
      </c>
      <c r="P738" t="s">
        <v>188</v>
      </c>
      <c r="Q738" t="s">
        <v>101</v>
      </c>
      <c r="R738" t="s">
        <v>69</v>
      </c>
      <c r="S738" t="s">
        <v>101</v>
      </c>
      <c r="V738">
        <v>2</v>
      </c>
    </row>
    <row r="739" spans="4:22" x14ac:dyDescent="0.45">
      <c r="D739" t="s">
        <v>1018</v>
      </c>
      <c r="E739" t="s">
        <v>2388</v>
      </c>
      <c r="F739" t="s">
        <v>290</v>
      </c>
      <c r="G739" t="s">
        <v>2377</v>
      </c>
      <c r="H739" t="s">
        <v>19</v>
      </c>
      <c r="I739" t="s">
        <v>158</v>
      </c>
      <c r="J739" t="s">
        <v>176</v>
      </c>
      <c r="K739" t="s">
        <v>159</v>
      </c>
      <c r="M739" t="s">
        <v>181</v>
      </c>
      <c r="N739" t="s">
        <v>189</v>
      </c>
      <c r="P739" t="s">
        <v>189</v>
      </c>
      <c r="Q739" t="s">
        <v>101</v>
      </c>
      <c r="R739" t="s">
        <v>69</v>
      </c>
      <c r="S739" t="s">
        <v>101</v>
      </c>
      <c r="V739">
        <v>2</v>
      </c>
    </row>
    <row r="740" spans="4:22" x14ac:dyDescent="0.45">
      <c r="D740" t="s">
        <v>1019</v>
      </c>
      <c r="E740" t="s">
        <v>2389</v>
      </c>
      <c r="F740" t="s">
        <v>290</v>
      </c>
      <c r="G740" t="s">
        <v>2377</v>
      </c>
      <c r="H740" t="s">
        <v>19</v>
      </c>
      <c r="I740" t="s">
        <v>158</v>
      </c>
      <c r="J740" t="s">
        <v>176</v>
      </c>
      <c r="K740" t="s">
        <v>159</v>
      </c>
      <c r="M740" t="s">
        <v>181</v>
      </c>
      <c r="N740" t="s">
        <v>190</v>
      </c>
      <c r="P740" t="s">
        <v>190</v>
      </c>
      <c r="Q740" t="s">
        <v>101</v>
      </c>
      <c r="R740" t="s">
        <v>69</v>
      </c>
      <c r="S740" t="s">
        <v>101</v>
      </c>
      <c r="V740">
        <v>2</v>
      </c>
    </row>
    <row r="741" spans="4:22" x14ac:dyDescent="0.45">
      <c r="D741" t="s">
        <v>1020</v>
      </c>
      <c r="E741" t="s">
        <v>2390</v>
      </c>
      <c r="F741" t="s">
        <v>290</v>
      </c>
      <c r="G741" t="s">
        <v>2377</v>
      </c>
      <c r="H741" t="s">
        <v>19</v>
      </c>
      <c r="I741" t="s">
        <v>158</v>
      </c>
      <c r="J741" t="s">
        <v>176</v>
      </c>
      <c r="K741" t="s">
        <v>159</v>
      </c>
      <c r="M741" t="s">
        <v>181</v>
      </c>
      <c r="N741" t="s">
        <v>191</v>
      </c>
      <c r="P741" t="s">
        <v>191</v>
      </c>
      <c r="Q741" t="s">
        <v>101</v>
      </c>
      <c r="R741" t="s">
        <v>69</v>
      </c>
      <c r="S741" t="s">
        <v>101</v>
      </c>
      <c r="V741">
        <v>2</v>
      </c>
    </row>
    <row r="742" spans="4:22" x14ac:dyDescent="0.45">
      <c r="D742" t="s">
        <v>1021</v>
      </c>
      <c r="E742" t="s">
        <v>2391</v>
      </c>
      <c r="F742" t="s">
        <v>290</v>
      </c>
      <c r="G742" t="s">
        <v>2377</v>
      </c>
      <c r="H742" t="s">
        <v>19</v>
      </c>
      <c r="I742" t="s">
        <v>158</v>
      </c>
      <c r="J742" t="s">
        <v>176</v>
      </c>
      <c r="K742" t="s">
        <v>159</v>
      </c>
      <c r="M742" t="s">
        <v>181</v>
      </c>
      <c r="N742" t="s">
        <v>192</v>
      </c>
      <c r="P742" t="s">
        <v>192</v>
      </c>
      <c r="Q742" t="s">
        <v>101</v>
      </c>
      <c r="R742" t="s">
        <v>69</v>
      </c>
      <c r="S742" t="s">
        <v>101</v>
      </c>
      <c r="V742">
        <v>2</v>
      </c>
    </row>
    <row r="743" spans="4:22" x14ac:dyDescent="0.45">
      <c r="D743" t="s">
        <v>1022</v>
      </c>
      <c r="E743" t="s">
        <v>2392</v>
      </c>
      <c r="F743" t="s">
        <v>290</v>
      </c>
      <c r="G743" t="s">
        <v>2377</v>
      </c>
      <c r="H743" t="s">
        <v>19</v>
      </c>
      <c r="I743" t="s">
        <v>158</v>
      </c>
      <c r="J743" t="s">
        <v>176</v>
      </c>
      <c r="K743" t="s">
        <v>159</v>
      </c>
      <c r="M743" t="s">
        <v>181</v>
      </c>
      <c r="N743" t="s">
        <v>165</v>
      </c>
      <c r="P743" t="s">
        <v>165</v>
      </c>
      <c r="Q743" t="s">
        <v>101</v>
      </c>
      <c r="R743" t="s">
        <v>69</v>
      </c>
      <c r="S743" t="s">
        <v>101</v>
      </c>
      <c r="V743">
        <v>2</v>
      </c>
    </row>
    <row r="744" spans="4:22" x14ac:dyDescent="0.45">
      <c r="D744" t="s">
        <v>2393</v>
      </c>
      <c r="E744" t="s">
        <v>2394</v>
      </c>
      <c r="F744" t="s">
        <v>290</v>
      </c>
      <c r="G744" t="s">
        <v>2395</v>
      </c>
      <c r="H744" t="s">
        <v>19</v>
      </c>
      <c r="I744" t="s">
        <v>158</v>
      </c>
      <c r="J744" t="s">
        <v>67</v>
      </c>
      <c r="K744" t="s">
        <v>159</v>
      </c>
      <c r="M744" t="s">
        <v>181</v>
      </c>
      <c r="N744" t="s">
        <v>193</v>
      </c>
      <c r="P744" t="s">
        <v>193</v>
      </c>
      <c r="Q744" t="s">
        <v>101</v>
      </c>
      <c r="R744" t="s">
        <v>69</v>
      </c>
      <c r="V744">
        <v>2</v>
      </c>
    </row>
    <row r="745" spans="4:22" x14ac:dyDescent="0.45">
      <c r="D745" t="s">
        <v>1024</v>
      </c>
      <c r="E745" t="s">
        <v>2396</v>
      </c>
      <c r="F745" t="s">
        <v>290</v>
      </c>
      <c r="G745" t="s">
        <v>2397</v>
      </c>
      <c r="H745" t="s">
        <v>19</v>
      </c>
      <c r="I745" t="s">
        <v>158</v>
      </c>
      <c r="J745" t="s">
        <v>67</v>
      </c>
      <c r="K745" t="s">
        <v>159</v>
      </c>
      <c r="M745" t="s">
        <v>181</v>
      </c>
      <c r="N745" t="s">
        <v>26</v>
      </c>
      <c r="P745" t="s">
        <v>26</v>
      </c>
      <c r="Q745" t="s">
        <v>37</v>
      </c>
      <c r="R745" t="s">
        <v>69</v>
      </c>
      <c r="U745" t="s">
        <v>69</v>
      </c>
      <c r="V745">
        <v>2</v>
      </c>
    </row>
    <row r="746" spans="4:22" x14ac:dyDescent="0.45">
      <c r="D746" t="s">
        <v>1025</v>
      </c>
      <c r="E746" t="s">
        <v>2398</v>
      </c>
      <c r="F746" t="s">
        <v>290</v>
      </c>
      <c r="G746" t="s">
        <v>2399</v>
      </c>
      <c r="H746" t="s">
        <v>19</v>
      </c>
      <c r="I746" t="s">
        <v>158</v>
      </c>
      <c r="J746" t="s">
        <v>176</v>
      </c>
      <c r="K746" t="s">
        <v>159</v>
      </c>
      <c r="M746" t="s">
        <v>26</v>
      </c>
      <c r="N746" t="s">
        <v>26</v>
      </c>
      <c r="P746" t="s">
        <v>26</v>
      </c>
      <c r="Q746" t="s">
        <v>60</v>
      </c>
      <c r="R746" t="s">
        <v>69</v>
      </c>
      <c r="V746">
        <v>2</v>
      </c>
    </row>
    <row r="747" spans="4:22" x14ac:dyDescent="0.45">
      <c r="D747" t="s">
        <v>1026</v>
      </c>
      <c r="E747" t="s">
        <v>2400</v>
      </c>
      <c r="F747" t="s">
        <v>290</v>
      </c>
      <c r="G747" t="s">
        <v>2401</v>
      </c>
      <c r="H747" t="s">
        <v>19</v>
      </c>
      <c r="I747" t="s">
        <v>158</v>
      </c>
      <c r="J747" t="s">
        <v>176</v>
      </c>
      <c r="K747" t="s">
        <v>159</v>
      </c>
      <c r="M747" t="s">
        <v>26</v>
      </c>
      <c r="N747" t="s">
        <v>26</v>
      </c>
      <c r="P747" t="s">
        <v>26</v>
      </c>
      <c r="Q747" t="s">
        <v>61</v>
      </c>
      <c r="R747" t="s">
        <v>69</v>
      </c>
      <c r="V747">
        <v>2</v>
      </c>
    </row>
    <row r="748" spans="4:22" x14ac:dyDescent="0.45">
      <c r="D748" t="s">
        <v>1027</v>
      </c>
      <c r="E748" t="s">
        <v>2402</v>
      </c>
      <c r="F748" t="s">
        <v>290</v>
      </c>
      <c r="G748" t="s">
        <v>2403</v>
      </c>
      <c r="H748" t="s">
        <v>19</v>
      </c>
      <c r="I748" t="s">
        <v>158</v>
      </c>
      <c r="J748" t="s">
        <v>176</v>
      </c>
      <c r="K748" t="s">
        <v>159</v>
      </c>
      <c r="M748" t="s">
        <v>26</v>
      </c>
      <c r="N748" t="s">
        <v>26</v>
      </c>
      <c r="P748" t="s">
        <v>26</v>
      </c>
      <c r="Q748" t="s">
        <v>113</v>
      </c>
      <c r="R748" t="s">
        <v>69</v>
      </c>
      <c r="V748">
        <v>2</v>
      </c>
    </row>
    <row r="749" spans="4:22" x14ac:dyDescent="0.45">
      <c r="D749" t="s">
        <v>1028</v>
      </c>
      <c r="E749" t="s">
        <v>2404</v>
      </c>
      <c r="F749" t="s">
        <v>290</v>
      </c>
      <c r="G749" t="s">
        <v>2405</v>
      </c>
      <c r="H749" t="s">
        <v>19</v>
      </c>
      <c r="I749" t="s">
        <v>158</v>
      </c>
      <c r="J749" t="s">
        <v>176</v>
      </c>
      <c r="K749" t="s">
        <v>159</v>
      </c>
      <c r="M749" t="s">
        <v>26</v>
      </c>
      <c r="N749" t="s">
        <v>26</v>
      </c>
      <c r="P749" t="s">
        <v>26</v>
      </c>
      <c r="Q749" t="s">
        <v>160</v>
      </c>
      <c r="R749" t="s">
        <v>69</v>
      </c>
      <c r="V749">
        <v>2</v>
      </c>
    </row>
    <row r="750" spans="4:22" x14ac:dyDescent="0.45">
      <c r="D750" t="s">
        <v>1029</v>
      </c>
      <c r="E750" t="s">
        <v>2406</v>
      </c>
      <c r="F750" t="s">
        <v>290</v>
      </c>
      <c r="G750" t="s">
        <v>2407</v>
      </c>
      <c r="H750" t="s">
        <v>19</v>
      </c>
      <c r="I750" t="s">
        <v>158</v>
      </c>
      <c r="J750" t="s">
        <v>176</v>
      </c>
      <c r="K750" t="s">
        <v>159</v>
      </c>
      <c r="M750" t="s">
        <v>26</v>
      </c>
      <c r="N750" t="s">
        <v>26</v>
      </c>
      <c r="P750" t="s">
        <v>26</v>
      </c>
      <c r="Q750" t="s">
        <v>170</v>
      </c>
      <c r="R750" t="s">
        <v>69</v>
      </c>
      <c r="V750">
        <v>2</v>
      </c>
    </row>
    <row r="751" spans="4:22" x14ac:dyDescent="0.45">
      <c r="D751" t="s">
        <v>1030</v>
      </c>
      <c r="E751" t="s">
        <v>2408</v>
      </c>
      <c r="F751" t="s">
        <v>290</v>
      </c>
      <c r="G751" t="s">
        <v>2409</v>
      </c>
      <c r="H751" t="s">
        <v>19</v>
      </c>
      <c r="I751" t="s">
        <v>158</v>
      </c>
      <c r="J751" t="s">
        <v>176</v>
      </c>
      <c r="K751" t="s">
        <v>159</v>
      </c>
      <c r="M751" t="s">
        <v>26</v>
      </c>
      <c r="N751" t="s">
        <v>26</v>
      </c>
      <c r="P751" t="s">
        <v>26</v>
      </c>
      <c r="Q751" t="s">
        <v>171</v>
      </c>
      <c r="R751" t="s">
        <v>69</v>
      </c>
      <c r="V751">
        <v>2</v>
      </c>
    </row>
    <row r="752" spans="4:22" x14ac:dyDescent="0.45">
      <c r="D752" t="s">
        <v>1031</v>
      </c>
      <c r="E752" t="s">
        <v>2410</v>
      </c>
      <c r="F752" t="s">
        <v>290</v>
      </c>
      <c r="G752" t="s">
        <v>2411</v>
      </c>
      <c r="H752" t="s">
        <v>19</v>
      </c>
      <c r="I752" t="s">
        <v>158</v>
      </c>
      <c r="J752" t="s">
        <v>176</v>
      </c>
      <c r="K752" t="s">
        <v>159</v>
      </c>
      <c r="M752" t="s">
        <v>26</v>
      </c>
      <c r="N752" t="s">
        <v>26</v>
      </c>
      <c r="P752" t="s">
        <v>26</v>
      </c>
      <c r="Q752" t="s">
        <v>172</v>
      </c>
      <c r="R752" t="s">
        <v>69</v>
      </c>
      <c r="V752">
        <v>2</v>
      </c>
    </row>
    <row r="753" spans="4:22" x14ac:dyDescent="0.45">
      <c r="D753" t="s">
        <v>1032</v>
      </c>
      <c r="E753" t="s">
        <v>2412</v>
      </c>
      <c r="F753" t="s">
        <v>290</v>
      </c>
      <c r="G753" t="s">
        <v>2413</v>
      </c>
      <c r="H753" t="s">
        <v>19</v>
      </c>
      <c r="I753" t="s">
        <v>158</v>
      </c>
      <c r="J753" t="s">
        <v>176</v>
      </c>
      <c r="K753" t="s">
        <v>159</v>
      </c>
      <c r="M753" t="s">
        <v>26</v>
      </c>
      <c r="N753" t="s">
        <v>26</v>
      </c>
      <c r="P753" t="s">
        <v>26</v>
      </c>
      <c r="Q753" t="s">
        <v>173</v>
      </c>
      <c r="R753" t="s">
        <v>69</v>
      </c>
      <c r="V753">
        <v>2</v>
      </c>
    </row>
    <row r="754" spans="4:22" x14ac:dyDescent="0.45">
      <c r="D754" t="s">
        <v>1033</v>
      </c>
      <c r="E754" t="s">
        <v>2414</v>
      </c>
      <c r="F754" t="s">
        <v>290</v>
      </c>
      <c r="G754" t="s">
        <v>2415</v>
      </c>
      <c r="H754" t="s">
        <v>19</v>
      </c>
      <c r="I754" t="s">
        <v>158</v>
      </c>
      <c r="J754" t="s">
        <v>176</v>
      </c>
      <c r="K754" t="s">
        <v>159</v>
      </c>
      <c r="M754" t="s">
        <v>26</v>
      </c>
      <c r="N754" t="s">
        <v>26</v>
      </c>
      <c r="P754" t="s">
        <v>26</v>
      </c>
      <c r="Q754" t="s">
        <v>162</v>
      </c>
      <c r="R754" t="s">
        <v>69</v>
      </c>
      <c r="V754">
        <v>2</v>
      </c>
    </row>
    <row r="755" spans="4:22" x14ac:dyDescent="0.45">
      <c r="D755" t="s">
        <v>1034</v>
      </c>
      <c r="E755">
        <v>0</v>
      </c>
      <c r="F755" t="s">
        <v>290</v>
      </c>
      <c r="G755" t="s">
        <v>2416</v>
      </c>
      <c r="H755" t="s">
        <v>19</v>
      </c>
      <c r="I755" t="s">
        <v>158</v>
      </c>
      <c r="J755" t="s">
        <v>67</v>
      </c>
      <c r="K755" t="s">
        <v>159</v>
      </c>
      <c r="M755" t="s">
        <v>26</v>
      </c>
      <c r="N755" t="s">
        <v>26</v>
      </c>
      <c r="P755" t="s">
        <v>26</v>
      </c>
      <c r="Q755" t="s">
        <v>37</v>
      </c>
      <c r="R755" t="s">
        <v>175</v>
      </c>
      <c r="U755" t="s">
        <v>175</v>
      </c>
      <c r="V755">
        <v>2</v>
      </c>
    </row>
    <row r="756" spans="4:22" x14ac:dyDescent="0.45">
      <c r="D756" t="s">
        <v>1025</v>
      </c>
      <c r="E756" t="s">
        <v>2417</v>
      </c>
      <c r="F756" t="s">
        <v>290</v>
      </c>
      <c r="G756" t="s">
        <v>2243</v>
      </c>
      <c r="H756" t="s">
        <v>19</v>
      </c>
      <c r="I756" t="s">
        <v>158</v>
      </c>
      <c r="J756" t="s">
        <v>176</v>
      </c>
      <c r="K756" t="s">
        <v>159</v>
      </c>
      <c r="M756" t="s">
        <v>26</v>
      </c>
      <c r="N756" t="s">
        <v>26</v>
      </c>
      <c r="P756" t="s">
        <v>26</v>
      </c>
      <c r="Q756" t="s">
        <v>60</v>
      </c>
      <c r="R756" t="s">
        <v>175</v>
      </c>
      <c r="V756">
        <v>2</v>
      </c>
    </row>
    <row r="757" spans="4:22" x14ac:dyDescent="0.45">
      <c r="D757" t="s">
        <v>1026</v>
      </c>
      <c r="E757" t="s">
        <v>2418</v>
      </c>
      <c r="F757" t="s">
        <v>290</v>
      </c>
      <c r="G757" t="s">
        <v>2227</v>
      </c>
      <c r="H757" t="s">
        <v>19</v>
      </c>
      <c r="I757" t="s">
        <v>158</v>
      </c>
      <c r="J757" t="s">
        <v>176</v>
      </c>
      <c r="K757" t="s">
        <v>159</v>
      </c>
      <c r="M757" t="s">
        <v>26</v>
      </c>
      <c r="N757" t="s">
        <v>26</v>
      </c>
      <c r="P757" t="s">
        <v>26</v>
      </c>
      <c r="Q757" t="s">
        <v>61</v>
      </c>
      <c r="R757" t="s">
        <v>175</v>
      </c>
      <c r="V757">
        <v>2</v>
      </c>
    </row>
    <row r="758" spans="4:22" x14ac:dyDescent="0.45">
      <c r="D758" t="s">
        <v>1027</v>
      </c>
      <c r="E758" t="s">
        <v>2419</v>
      </c>
      <c r="F758" t="s">
        <v>290</v>
      </c>
      <c r="G758" t="s">
        <v>2237</v>
      </c>
      <c r="H758" t="s">
        <v>19</v>
      </c>
      <c r="I758" t="s">
        <v>158</v>
      </c>
      <c r="J758" t="s">
        <v>176</v>
      </c>
      <c r="K758" t="s">
        <v>159</v>
      </c>
      <c r="M758" t="s">
        <v>26</v>
      </c>
      <c r="N758" t="s">
        <v>26</v>
      </c>
      <c r="P758" t="s">
        <v>26</v>
      </c>
      <c r="Q758" t="s">
        <v>113</v>
      </c>
      <c r="R758" t="s">
        <v>175</v>
      </c>
      <c r="V758">
        <v>2</v>
      </c>
    </row>
    <row r="759" spans="4:22" x14ac:dyDescent="0.45">
      <c r="D759" t="s">
        <v>1028</v>
      </c>
      <c r="E759" t="s">
        <v>2420</v>
      </c>
      <c r="F759" t="s">
        <v>290</v>
      </c>
      <c r="G759" t="s">
        <v>2421</v>
      </c>
      <c r="H759" t="s">
        <v>19</v>
      </c>
      <c r="I759" t="s">
        <v>158</v>
      </c>
      <c r="J759" t="s">
        <v>176</v>
      </c>
      <c r="K759" t="s">
        <v>159</v>
      </c>
      <c r="M759" t="s">
        <v>26</v>
      </c>
      <c r="N759" t="s">
        <v>26</v>
      </c>
      <c r="P759" t="s">
        <v>26</v>
      </c>
      <c r="Q759" t="s">
        <v>160</v>
      </c>
      <c r="R759" t="s">
        <v>175</v>
      </c>
      <c r="V759">
        <v>2</v>
      </c>
    </row>
    <row r="760" spans="4:22" x14ac:dyDescent="0.45">
      <c r="D760" t="s">
        <v>1029</v>
      </c>
      <c r="E760" t="s">
        <v>2422</v>
      </c>
      <c r="F760" t="s">
        <v>290</v>
      </c>
      <c r="G760" t="s">
        <v>2423</v>
      </c>
      <c r="H760" t="s">
        <v>19</v>
      </c>
      <c r="I760" t="s">
        <v>158</v>
      </c>
      <c r="J760" t="s">
        <v>176</v>
      </c>
      <c r="K760" t="s">
        <v>159</v>
      </c>
      <c r="M760" t="s">
        <v>26</v>
      </c>
      <c r="N760" t="s">
        <v>26</v>
      </c>
      <c r="P760" t="s">
        <v>26</v>
      </c>
      <c r="Q760" t="s">
        <v>170</v>
      </c>
      <c r="R760" t="s">
        <v>175</v>
      </c>
      <c r="V760">
        <v>2</v>
      </c>
    </row>
    <row r="761" spans="4:22" x14ac:dyDescent="0.45">
      <c r="D761" t="s">
        <v>1030</v>
      </c>
      <c r="E761" t="s">
        <v>2424</v>
      </c>
      <c r="F761" t="s">
        <v>290</v>
      </c>
      <c r="G761" t="s">
        <v>2425</v>
      </c>
      <c r="H761" t="s">
        <v>19</v>
      </c>
      <c r="I761" t="s">
        <v>158</v>
      </c>
      <c r="J761" t="s">
        <v>176</v>
      </c>
      <c r="K761" t="s">
        <v>159</v>
      </c>
      <c r="M761" t="s">
        <v>26</v>
      </c>
      <c r="N761" t="s">
        <v>26</v>
      </c>
      <c r="P761" t="s">
        <v>26</v>
      </c>
      <c r="Q761" t="s">
        <v>171</v>
      </c>
      <c r="R761" t="s">
        <v>175</v>
      </c>
      <c r="V761">
        <v>2</v>
      </c>
    </row>
    <row r="762" spans="4:22" x14ac:dyDescent="0.45">
      <c r="D762" t="s">
        <v>1031</v>
      </c>
      <c r="E762" t="s">
        <v>2426</v>
      </c>
      <c r="F762" t="s">
        <v>290</v>
      </c>
      <c r="G762" t="s">
        <v>2427</v>
      </c>
      <c r="H762" t="s">
        <v>19</v>
      </c>
      <c r="I762" t="s">
        <v>158</v>
      </c>
      <c r="J762" t="s">
        <v>176</v>
      </c>
      <c r="K762" t="s">
        <v>159</v>
      </c>
      <c r="M762" t="s">
        <v>26</v>
      </c>
      <c r="N762" t="s">
        <v>26</v>
      </c>
      <c r="P762" t="s">
        <v>26</v>
      </c>
      <c r="Q762" t="s">
        <v>172</v>
      </c>
      <c r="R762" t="s">
        <v>175</v>
      </c>
      <c r="V762">
        <v>2</v>
      </c>
    </row>
    <row r="763" spans="4:22" x14ac:dyDescent="0.45">
      <c r="D763" t="s">
        <v>1032</v>
      </c>
      <c r="E763" t="s">
        <v>2428</v>
      </c>
      <c r="F763" t="s">
        <v>290</v>
      </c>
      <c r="G763" t="s">
        <v>2429</v>
      </c>
      <c r="H763" t="s">
        <v>19</v>
      </c>
      <c r="I763" t="s">
        <v>158</v>
      </c>
      <c r="J763" t="s">
        <v>176</v>
      </c>
      <c r="K763" t="s">
        <v>159</v>
      </c>
      <c r="M763" t="s">
        <v>26</v>
      </c>
      <c r="N763" t="s">
        <v>26</v>
      </c>
      <c r="P763" t="s">
        <v>26</v>
      </c>
      <c r="Q763" t="s">
        <v>173</v>
      </c>
      <c r="R763" t="s">
        <v>175</v>
      </c>
      <c r="V763">
        <v>2</v>
      </c>
    </row>
    <row r="764" spans="4:22" x14ac:dyDescent="0.45">
      <c r="D764" t="s">
        <v>1033</v>
      </c>
      <c r="E764" t="s">
        <v>2430</v>
      </c>
      <c r="F764" t="s">
        <v>290</v>
      </c>
      <c r="G764" t="s">
        <v>2239</v>
      </c>
      <c r="H764" t="s">
        <v>19</v>
      </c>
      <c r="I764" t="s">
        <v>158</v>
      </c>
      <c r="J764" t="s">
        <v>176</v>
      </c>
      <c r="K764" t="s">
        <v>159</v>
      </c>
      <c r="M764" t="s">
        <v>26</v>
      </c>
      <c r="N764" t="s">
        <v>26</v>
      </c>
      <c r="P764" t="s">
        <v>26</v>
      </c>
      <c r="Q764" t="s">
        <v>162</v>
      </c>
      <c r="R764" t="s">
        <v>175</v>
      </c>
      <c r="V764">
        <v>2</v>
      </c>
    </row>
    <row r="765" spans="4:22" x14ac:dyDescent="0.45">
      <c r="D765" t="s">
        <v>1035</v>
      </c>
      <c r="E765" t="s">
        <v>2431</v>
      </c>
      <c r="F765" t="s">
        <v>290</v>
      </c>
      <c r="G765" t="s">
        <v>2432</v>
      </c>
      <c r="H765" t="s">
        <v>19</v>
      </c>
      <c r="I765" t="s">
        <v>158</v>
      </c>
      <c r="J765" t="s">
        <v>176</v>
      </c>
      <c r="K765" t="s">
        <v>159</v>
      </c>
      <c r="M765" t="s">
        <v>26</v>
      </c>
      <c r="N765" t="s">
        <v>26</v>
      </c>
      <c r="P765" t="s">
        <v>26</v>
      </c>
      <c r="Q765" t="s">
        <v>37</v>
      </c>
      <c r="R765" t="s">
        <v>194</v>
      </c>
      <c r="U765" t="s">
        <v>194</v>
      </c>
      <c r="V765">
        <v>2</v>
      </c>
    </row>
    <row r="766" spans="4:22" x14ac:dyDescent="0.45">
      <c r="D766" t="s">
        <v>1025</v>
      </c>
      <c r="E766" t="s">
        <v>2433</v>
      </c>
      <c r="F766" t="s">
        <v>290</v>
      </c>
      <c r="G766" t="s">
        <v>2434</v>
      </c>
      <c r="H766" t="s">
        <v>19</v>
      </c>
      <c r="I766" t="s">
        <v>158</v>
      </c>
      <c r="J766" t="s">
        <v>176</v>
      </c>
      <c r="K766" t="s">
        <v>159</v>
      </c>
      <c r="M766" t="s">
        <v>26</v>
      </c>
      <c r="N766" t="s">
        <v>26</v>
      </c>
      <c r="P766" t="s">
        <v>26</v>
      </c>
      <c r="Q766" t="s">
        <v>60</v>
      </c>
      <c r="R766" t="s">
        <v>194</v>
      </c>
      <c r="V766">
        <v>2</v>
      </c>
    </row>
    <row r="767" spans="4:22" x14ac:dyDescent="0.45">
      <c r="D767" t="s">
        <v>1026</v>
      </c>
      <c r="E767" t="s">
        <v>2435</v>
      </c>
      <c r="F767" t="s">
        <v>290</v>
      </c>
      <c r="G767" t="s">
        <v>2436</v>
      </c>
      <c r="H767" t="s">
        <v>19</v>
      </c>
      <c r="I767" t="s">
        <v>158</v>
      </c>
      <c r="J767" t="s">
        <v>176</v>
      </c>
      <c r="K767" t="s">
        <v>159</v>
      </c>
      <c r="M767" t="s">
        <v>26</v>
      </c>
      <c r="N767" t="s">
        <v>26</v>
      </c>
      <c r="P767" t="s">
        <v>26</v>
      </c>
      <c r="Q767" t="s">
        <v>61</v>
      </c>
      <c r="R767" t="s">
        <v>194</v>
      </c>
      <c r="V767">
        <v>2</v>
      </c>
    </row>
    <row r="768" spans="4:22" x14ac:dyDescent="0.45">
      <c r="D768" t="s">
        <v>1027</v>
      </c>
      <c r="E768" t="s">
        <v>2437</v>
      </c>
      <c r="F768" t="s">
        <v>290</v>
      </c>
      <c r="G768" t="s">
        <v>2438</v>
      </c>
      <c r="H768" t="s">
        <v>19</v>
      </c>
      <c r="I768" t="s">
        <v>158</v>
      </c>
      <c r="J768" t="s">
        <v>176</v>
      </c>
      <c r="K768" t="s">
        <v>159</v>
      </c>
      <c r="M768" t="s">
        <v>26</v>
      </c>
      <c r="N768" t="s">
        <v>26</v>
      </c>
      <c r="P768" t="s">
        <v>26</v>
      </c>
      <c r="Q768" t="s">
        <v>113</v>
      </c>
      <c r="R768" t="s">
        <v>194</v>
      </c>
      <c r="V768">
        <v>2</v>
      </c>
    </row>
    <row r="769" spans="4:22" x14ac:dyDescent="0.45">
      <c r="D769" t="s">
        <v>1028</v>
      </c>
      <c r="E769" t="s">
        <v>2439</v>
      </c>
      <c r="F769" t="s">
        <v>290</v>
      </c>
      <c r="G769" t="s">
        <v>2440</v>
      </c>
      <c r="H769" t="s">
        <v>19</v>
      </c>
      <c r="I769" t="s">
        <v>158</v>
      </c>
      <c r="J769" t="s">
        <v>176</v>
      </c>
      <c r="K769" t="s">
        <v>159</v>
      </c>
      <c r="M769" t="s">
        <v>26</v>
      </c>
      <c r="N769" t="s">
        <v>26</v>
      </c>
      <c r="P769" t="s">
        <v>26</v>
      </c>
      <c r="Q769" t="s">
        <v>160</v>
      </c>
      <c r="R769" t="s">
        <v>194</v>
      </c>
      <c r="V769">
        <v>2</v>
      </c>
    </row>
    <row r="770" spans="4:22" x14ac:dyDescent="0.45">
      <c r="D770" t="s">
        <v>1029</v>
      </c>
      <c r="E770" t="s">
        <v>2441</v>
      </c>
      <c r="F770" t="s">
        <v>290</v>
      </c>
      <c r="G770" t="s">
        <v>2442</v>
      </c>
      <c r="H770" t="s">
        <v>19</v>
      </c>
      <c r="I770" t="s">
        <v>158</v>
      </c>
      <c r="J770" t="s">
        <v>176</v>
      </c>
      <c r="K770" t="s">
        <v>159</v>
      </c>
      <c r="M770" t="s">
        <v>26</v>
      </c>
      <c r="N770" t="s">
        <v>26</v>
      </c>
      <c r="P770" t="s">
        <v>26</v>
      </c>
      <c r="Q770" t="s">
        <v>170</v>
      </c>
      <c r="R770" t="s">
        <v>194</v>
      </c>
      <c r="V770">
        <v>2</v>
      </c>
    </row>
    <row r="771" spans="4:22" x14ac:dyDescent="0.45">
      <c r="D771" t="s">
        <v>1030</v>
      </c>
      <c r="E771" t="s">
        <v>2443</v>
      </c>
      <c r="F771" t="s">
        <v>290</v>
      </c>
      <c r="G771" t="s">
        <v>2444</v>
      </c>
      <c r="H771" t="s">
        <v>19</v>
      </c>
      <c r="I771" t="s">
        <v>158</v>
      </c>
      <c r="J771" t="s">
        <v>176</v>
      </c>
      <c r="K771" t="s">
        <v>159</v>
      </c>
      <c r="M771" t="s">
        <v>26</v>
      </c>
      <c r="N771" t="s">
        <v>26</v>
      </c>
      <c r="P771" t="s">
        <v>26</v>
      </c>
      <c r="Q771" t="s">
        <v>171</v>
      </c>
      <c r="R771" t="s">
        <v>194</v>
      </c>
      <c r="V771">
        <v>2</v>
      </c>
    </row>
    <row r="772" spans="4:22" x14ac:dyDescent="0.45">
      <c r="D772" t="s">
        <v>1031</v>
      </c>
      <c r="E772" t="s">
        <v>2445</v>
      </c>
      <c r="F772" t="s">
        <v>290</v>
      </c>
      <c r="G772" t="s">
        <v>2446</v>
      </c>
      <c r="H772" t="s">
        <v>19</v>
      </c>
      <c r="I772" t="s">
        <v>158</v>
      </c>
      <c r="J772" t="s">
        <v>176</v>
      </c>
      <c r="K772" t="s">
        <v>159</v>
      </c>
      <c r="M772" t="s">
        <v>26</v>
      </c>
      <c r="N772" t="s">
        <v>26</v>
      </c>
      <c r="P772" t="s">
        <v>26</v>
      </c>
      <c r="Q772" t="s">
        <v>172</v>
      </c>
      <c r="R772" t="s">
        <v>194</v>
      </c>
      <c r="V772">
        <v>2</v>
      </c>
    </row>
    <row r="773" spans="4:22" x14ac:dyDescent="0.45">
      <c r="D773" t="s">
        <v>1032</v>
      </c>
      <c r="E773" t="s">
        <v>2447</v>
      </c>
      <c r="F773" t="s">
        <v>290</v>
      </c>
      <c r="G773" t="s">
        <v>2448</v>
      </c>
      <c r="H773" t="s">
        <v>19</v>
      </c>
      <c r="I773" t="s">
        <v>158</v>
      </c>
      <c r="J773" t="s">
        <v>176</v>
      </c>
      <c r="K773" t="s">
        <v>159</v>
      </c>
      <c r="M773" t="s">
        <v>26</v>
      </c>
      <c r="N773" t="s">
        <v>26</v>
      </c>
      <c r="P773" t="s">
        <v>26</v>
      </c>
      <c r="Q773" t="s">
        <v>173</v>
      </c>
      <c r="R773" t="s">
        <v>194</v>
      </c>
      <c r="V773">
        <v>2</v>
      </c>
    </row>
    <row r="774" spans="4:22" x14ac:dyDescent="0.45">
      <c r="D774" t="s">
        <v>1033</v>
      </c>
      <c r="E774" t="s">
        <v>2449</v>
      </c>
      <c r="F774" t="s">
        <v>290</v>
      </c>
      <c r="G774" t="s">
        <v>2450</v>
      </c>
      <c r="H774" t="s">
        <v>19</v>
      </c>
      <c r="I774" t="s">
        <v>158</v>
      </c>
      <c r="J774" t="s">
        <v>176</v>
      </c>
      <c r="K774" t="s">
        <v>159</v>
      </c>
      <c r="M774" t="s">
        <v>26</v>
      </c>
      <c r="N774" t="s">
        <v>26</v>
      </c>
      <c r="P774" t="s">
        <v>26</v>
      </c>
      <c r="Q774" t="s">
        <v>162</v>
      </c>
      <c r="R774" t="s">
        <v>194</v>
      </c>
      <c r="V774">
        <v>2</v>
      </c>
    </row>
    <row r="775" spans="4:22" x14ac:dyDescent="0.45">
      <c r="H775" t="s">
        <v>18</v>
      </c>
      <c r="J775" t="s">
        <v>18</v>
      </c>
      <c r="P775" t="s">
        <v>18</v>
      </c>
      <c r="U775" t="s">
        <v>18</v>
      </c>
    </row>
    <row r="776" spans="4:22" x14ac:dyDescent="0.45">
      <c r="D776" t="s">
        <v>1036</v>
      </c>
      <c r="E776" t="s">
        <v>1389</v>
      </c>
      <c r="F776" t="s">
        <v>290</v>
      </c>
      <c r="G776" t="s">
        <v>2451</v>
      </c>
      <c r="H776" t="s">
        <v>19</v>
      </c>
      <c r="I776" t="s">
        <v>38</v>
      </c>
      <c r="J776" t="s">
        <v>46</v>
      </c>
      <c r="K776" t="s">
        <v>195</v>
      </c>
      <c r="M776" t="s">
        <v>196</v>
      </c>
      <c r="Q776" t="s">
        <v>37</v>
      </c>
      <c r="V776">
        <v>1</v>
      </c>
    </row>
    <row r="777" spans="4:22" x14ac:dyDescent="0.45">
      <c r="D777" t="s">
        <v>1037</v>
      </c>
      <c r="E777" t="s">
        <v>2452</v>
      </c>
      <c r="F777" t="s">
        <v>290</v>
      </c>
      <c r="G777" t="s">
        <v>2453</v>
      </c>
      <c r="H777" t="s">
        <v>19</v>
      </c>
      <c r="I777" t="s">
        <v>38</v>
      </c>
      <c r="J777" t="s">
        <v>59</v>
      </c>
      <c r="K777" t="s">
        <v>195</v>
      </c>
      <c r="M777" t="s">
        <v>196</v>
      </c>
      <c r="Q777" t="s">
        <v>60</v>
      </c>
      <c r="V777">
        <v>1</v>
      </c>
    </row>
    <row r="778" spans="4:22" x14ac:dyDescent="0.45">
      <c r="D778" t="s">
        <v>1038</v>
      </c>
      <c r="E778" t="s">
        <v>2454</v>
      </c>
      <c r="F778" t="s">
        <v>290</v>
      </c>
      <c r="G778" t="s">
        <v>2455</v>
      </c>
      <c r="H778" t="s">
        <v>19</v>
      </c>
      <c r="I778" t="s">
        <v>38</v>
      </c>
      <c r="J778" t="s">
        <v>59</v>
      </c>
      <c r="K778" t="s">
        <v>195</v>
      </c>
      <c r="M778" t="s">
        <v>196</v>
      </c>
      <c r="Q778" t="s">
        <v>61</v>
      </c>
      <c r="V778">
        <v>1</v>
      </c>
    </row>
    <row r="779" spans="4:22" x14ac:dyDescent="0.45">
      <c r="D779" t="s">
        <v>1039</v>
      </c>
      <c r="E779" t="s">
        <v>2456</v>
      </c>
      <c r="F779" t="s">
        <v>290</v>
      </c>
      <c r="G779" t="s">
        <v>2457</v>
      </c>
      <c r="H779" t="s">
        <v>19</v>
      </c>
      <c r="I779" t="s">
        <v>38</v>
      </c>
      <c r="J779" t="s">
        <v>59</v>
      </c>
      <c r="K779" t="s">
        <v>195</v>
      </c>
      <c r="M779" t="s">
        <v>196</v>
      </c>
      <c r="Q779" t="s">
        <v>62</v>
      </c>
      <c r="V779">
        <v>1</v>
      </c>
    </row>
    <row r="780" spans="4:22" x14ac:dyDescent="0.45">
      <c r="D780" t="s">
        <v>1040</v>
      </c>
      <c r="E780" t="s">
        <v>2458</v>
      </c>
      <c r="F780" t="s">
        <v>290</v>
      </c>
      <c r="G780" t="s">
        <v>2459</v>
      </c>
      <c r="H780" t="s">
        <v>19</v>
      </c>
      <c r="I780" t="s">
        <v>38</v>
      </c>
      <c r="J780" t="s">
        <v>59</v>
      </c>
      <c r="K780" t="s">
        <v>195</v>
      </c>
      <c r="M780" t="s">
        <v>196</v>
      </c>
      <c r="Q780" t="s">
        <v>63</v>
      </c>
      <c r="V780">
        <v>1</v>
      </c>
    </row>
    <row r="781" spans="4:22" x14ac:dyDescent="0.45">
      <c r="D781" t="s">
        <v>1041</v>
      </c>
      <c r="E781" t="s">
        <v>2460</v>
      </c>
      <c r="F781" t="s">
        <v>290</v>
      </c>
      <c r="G781" t="s">
        <v>2461</v>
      </c>
      <c r="H781" t="s">
        <v>19</v>
      </c>
      <c r="I781" t="s">
        <v>38</v>
      </c>
      <c r="J781" t="s">
        <v>59</v>
      </c>
      <c r="K781" t="s">
        <v>195</v>
      </c>
      <c r="M781" t="s">
        <v>196</v>
      </c>
      <c r="Q781" t="s">
        <v>64</v>
      </c>
      <c r="V781">
        <v>1</v>
      </c>
    </row>
    <row r="782" spans="4:22" x14ac:dyDescent="0.45">
      <c r="D782" t="s">
        <v>1042</v>
      </c>
      <c r="E782" t="s">
        <v>2462</v>
      </c>
      <c r="F782" t="s">
        <v>290</v>
      </c>
      <c r="G782" t="s">
        <v>2463</v>
      </c>
      <c r="H782" t="s">
        <v>19</v>
      </c>
      <c r="I782" t="s">
        <v>38</v>
      </c>
      <c r="J782" t="s">
        <v>59</v>
      </c>
      <c r="K782" t="s">
        <v>195</v>
      </c>
      <c r="M782" t="s">
        <v>196</v>
      </c>
      <c r="Q782" t="s">
        <v>197</v>
      </c>
      <c r="V782">
        <v>1</v>
      </c>
    </row>
    <row r="783" spans="4:22" x14ac:dyDescent="0.45">
      <c r="D783" t="s">
        <v>1043</v>
      </c>
      <c r="E783" t="s">
        <v>1392</v>
      </c>
      <c r="F783" t="s">
        <v>290</v>
      </c>
      <c r="G783" t="s">
        <v>2464</v>
      </c>
      <c r="H783" t="s">
        <v>19</v>
      </c>
      <c r="I783" t="s">
        <v>38</v>
      </c>
      <c r="J783" t="s">
        <v>46</v>
      </c>
      <c r="K783" t="s">
        <v>195</v>
      </c>
      <c r="M783" t="s">
        <v>196</v>
      </c>
      <c r="Q783" t="s">
        <v>37</v>
      </c>
      <c r="V783">
        <v>2</v>
      </c>
    </row>
    <row r="784" spans="4:22" x14ac:dyDescent="0.45">
      <c r="D784" t="s">
        <v>1044</v>
      </c>
      <c r="E784" t="s">
        <v>2465</v>
      </c>
      <c r="F784" t="s">
        <v>290</v>
      </c>
      <c r="G784" t="s">
        <v>2466</v>
      </c>
      <c r="H784" t="s">
        <v>19</v>
      </c>
      <c r="I784" t="s">
        <v>38</v>
      </c>
      <c r="J784" t="s">
        <v>59</v>
      </c>
      <c r="K784" t="s">
        <v>195</v>
      </c>
      <c r="M784" t="s">
        <v>196</v>
      </c>
      <c r="Q784" t="s">
        <v>60</v>
      </c>
      <c r="V784">
        <v>2</v>
      </c>
    </row>
    <row r="785" spans="4:22" x14ac:dyDescent="0.45">
      <c r="D785" t="s">
        <v>1045</v>
      </c>
      <c r="E785" t="s">
        <v>2467</v>
      </c>
      <c r="F785" t="s">
        <v>290</v>
      </c>
      <c r="G785" t="s">
        <v>2468</v>
      </c>
      <c r="H785" t="s">
        <v>19</v>
      </c>
      <c r="I785" t="s">
        <v>38</v>
      </c>
      <c r="J785" t="s">
        <v>59</v>
      </c>
      <c r="K785" t="s">
        <v>195</v>
      </c>
      <c r="M785" t="s">
        <v>196</v>
      </c>
      <c r="Q785" t="s">
        <v>61</v>
      </c>
      <c r="V785">
        <v>2</v>
      </c>
    </row>
    <row r="786" spans="4:22" x14ac:dyDescent="0.45">
      <c r="D786" t="s">
        <v>1046</v>
      </c>
      <c r="E786" t="s">
        <v>2469</v>
      </c>
      <c r="F786" t="s">
        <v>290</v>
      </c>
      <c r="G786" t="s">
        <v>2470</v>
      </c>
      <c r="H786" t="s">
        <v>19</v>
      </c>
      <c r="I786" t="s">
        <v>38</v>
      </c>
      <c r="J786" t="s">
        <v>59</v>
      </c>
      <c r="K786" t="s">
        <v>195</v>
      </c>
      <c r="M786" t="s">
        <v>196</v>
      </c>
      <c r="Q786" t="s">
        <v>62</v>
      </c>
      <c r="V786">
        <v>2</v>
      </c>
    </row>
    <row r="787" spans="4:22" x14ac:dyDescent="0.45">
      <c r="D787" t="s">
        <v>1047</v>
      </c>
      <c r="E787" t="s">
        <v>2471</v>
      </c>
      <c r="F787" t="s">
        <v>290</v>
      </c>
      <c r="G787" t="s">
        <v>2472</v>
      </c>
      <c r="H787" t="s">
        <v>19</v>
      </c>
      <c r="I787" t="s">
        <v>38</v>
      </c>
      <c r="J787" t="s">
        <v>59</v>
      </c>
      <c r="K787" t="s">
        <v>195</v>
      </c>
      <c r="M787" t="s">
        <v>196</v>
      </c>
      <c r="Q787" t="s">
        <v>63</v>
      </c>
      <c r="V787">
        <v>2</v>
      </c>
    </row>
    <row r="788" spans="4:22" x14ac:dyDescent="0.45">
      <c r="D788" t="s">
        <v>1048</v>
      </c>
      <c r="E788" t="s">
        <v>2473</v>
      </c>
      <c r="F788" t="s">
        <v>290</v>
      </c>
      <c r="G788" t="s">
        <v>2474</v>
      </c>
      <c r="H788" t="s">
        <v>19</v>
      </c>
      <c r="I788" t="s">
        <v>38</v>
      </c>
      <c r="J788" t="s">
        <v>59</v>
      </c>
      <c r="K788" t="s">
        <v>195</v>
      </c>
      <c r="M788" t="s">
        <v>196</v>
      </c>
      <c r="Q788" t="s">
        <v>64</v>
      </c>
      <c r="V788">
        <v>2</v>
      </c>
    </row>
    <row r="789" spans="4:22" x14ac:dyDescent="0.45">
      <c r="D789" t="s">
        <v>1049</v>
      </c>
      <c r="E789" t="s">
        <v>2475</v>
      </c>
      <c r="F789" t="s">
        <v>290</v>
      </c>
      <c r="G789" t="s">
        <v>2476</v>
      </c>
      <c r="H789" t="s">
        <v>19</v>
      </c>
      <c r="I789" t="s">
        <v>38</v>
      </c>
      <c r="J789" t="s">
        <v>59</v>
      </c>
      <c r="K789" t="s">
        <v>195</v>
      </c>
      <c r="M789" t="s">
        <v>196</v>
      </c>
      <c r="Q789" t="s">
        <v>197</v>
      </c>
      <c r="V789">
        <v>2</v>
      </c>
    </row>
    <row r="790" spans="4:22" x14ac:dyDescent="0.45">
      <c r="D790" t="s">
        <v>1050</v>
      </c>
      <c r="E790" t="s">
        <v>2477</v>
      </c>
      <c r="F790" t="s">
        <v>290</v>
      </c>
      <c r="G790" t="s">
        <v>2478</v>
      </c>
      <c r="H790" t="s">
        <v>19</v>
      </c>
      <c r="I790" t="s">
        <v>38</v>
      </c>
      <c r="J790" t="s">
        <v>59</v>
      </c>
      <c r="K790" t="s">
        <v>195</v>
      </c>
      <c r="M790" t="s">
        <v>37</v>
      </c>
      <c r="Q790" t="s">
        <v>37</v>
      </c>
      <c r="V790">
        <v>1</v>
      </c>
    </row>
    <row r="791" spans="4:22" x14ac:dyDescent="0.45">
      <c r="D791" t="s">
        <v>1051</v>
      </c>
      <c r="E791" t="s">
        <v>2479</v>
      </c>
      <c r="F791" t="s">
        <v>290</v>
      </c>
      <c r="G791" t="s">
        <v>2453</v>
      </c>
      <c r="H791" t="s">
        <v>19</v>
      </c>
      <c r="I791" t="s">
        <v>38</v>
      </c>
      <c r="J791" t="s">
        <v>59</v>
      </c>
      <c r="K791" t="s">
        <v>195</v>
      </c>
      <c r="M791" t="s">
        <v>37</v>
      </c>
      <c r="Q791" t="s">
        <v>60</v>
      </c>
      <c r="V791">
        <v>1</v>
      </c>
    </row>
    <row r="792" spans="4:22" x14ac:dyDescent="0.45">
      <c r="D792" t="s">
        <v>1052</v>
      </c>
      <c r="E792" t="s">
        <v>2480</v>
      </c>
      <c r="F792" t="s">
        <v>290</v>
      </c>
      <c r="G792" t="s">
        <v>2455</v>
      </c>
      <c r="H792" t="s">
        <v>19</v>
      </c>
      <c r="I792" t="s">
        <v>38</v>
      </c>
      <c r="J792" t="s">
        <v>59</v>
      </c>
      <c r="K792" t="s">
        <v>195</v>
      </c>
      <c r="M792" t="s">
        <v>37</v>
      </c>
      <c r="Q792" t="s">
        <v>61</v>
      </c>
      <c r="V792">
        <v>1</v>
      </c>
    </row>
    <row r="793" spans="4:22" x14ac:dyDescent="0.45">
      <c r="D793" t="s">
        <v>1053</v>
      </c>
      <c r="E793" t="s">
        <v>2481</v>
      </c>
      <c r="F793" t="s">
        <v>290</v>
      </c>
      <c r="G793" t="s">
        <v>2457</v>
      </c>
      <c r="H793" t="s">
        <v>19</v>
      </c>
      <c r="I793" t="s">
        <v>38</v>
      </c>
      <c r="J793" t="s">
        <v>59</v>
      </c>
      <c r="K793" t="s">
        <v>195</v>
      </c>
      <c r="M793" t="s">
        <v>37</v>
      </c>
      <c r="Q793" t="s">
        <v>62</v>
      </c>
      <c r="V793">
        <v>1</v>
      </c>
    </row>
    <row r="794" spans="4:22" x14ac:dyDescent="0.45">
      <c r="D794" t="s">
        <v>1054</v>
      </c>
      <c r="E794" t="s">
        <v>2482</v>
      </c>
      <c r="F794" t="s">
        <v>290</v>
      </c>
      <c r="G794" t="s">
        <v>2459</v>
      </c>
      <c r="H794" t="s">
        <v>19</v>
      </c>
      <c r="I794" t="s">
        <v>38</v>
      </c>
      <c r="J794" t="s">
        <v>59</v>
      </c>
      <c r="K794" t="s">
        <v>195</v>
      </c>
      <c r="M794" t="s">
        <v>37</v>
      </c>
      <c r="Q794" t="s">
        <v>63</v>
      </c>
      <c r="V794">
        <v>1</v>
      </c>
    </row>
    <row r="795" spans="4:22" x14ac:dyDescent="0.45">
      <c r="D795" t="s">
        <v>1055</v>
      </c>
      <c r="E795" t="s">
        <v>2483</v>
      </c>
      <c r="F795" t="s">
        <v>290</v>
      </c>
      <c r="G795" t="s">
        <v>2461</v>
      </c>
      <c r="H795" t="s">
        <v>19</v>
      </c>
      <c r="I795" t="s">
        <v>38</v>
      </c>
      <c r="J795" t="s">
        <v>59</v>
      </c>
      <c r="K795" t="s">
        <v>195</v>
      </c>
      <c r="M795" t="s">
        <v>37</v>
      </c>
      <c r="Q795" t="s">
        <v>64</v>
      </c>
      <c r="V795">
        <v>1</v>
      </c>
    </row>
    <row r="796" spans="4:22" x14ac:dyDescent="0.45">
      <c r="D796" t="s">
        <v>1056</v>
      </c>
      <c r="E796" t="s">
        <v>2484</v>
      </c>
      <c r="F796" t="s">
        <v>290</v>
      </c>
      <c r="G796" t="s">
        <v>2463</v>
      </c>
      <c r="H796" t="s">
        <v>19</v>
      </c>
      <c r="I796" t="s">
        <v>38</v>
      </c>
      <c r="J796" t="s">
        <v>59</v>
      </c>
      <c r="K796" t="s">
        <v>195</v>
      </c>
      <c r="Q796" t="s">
        <v>197</v>
      </c>
      <c r="V796">
        <v>1</v>
      </c>
    </row>
    <row r="797" spans="4:22" x14ac:dyDescent="0.45">
      <c r="D797" t="s">
        <v>1057</v>
      </c>
      <c r="E797" t="s">
        <v>2485</v>
      </c>
      <c r="F797" t="s">
        <v>290</v>
      </c>
      <c r="G797" t="s">
        <v>2486</v>
      </c>
      <c r="H797" t="s">
        <v>19</v>
      </c>
      <c r="I797" t="s">
        <v>198</v>
      </c>
      <c r="J797" t="s">
        <v>59</v>
      </c>
      <c r="K797" t="s">
        <v>195</v>
      </c>
      <c r="M797" t="s">
        <v>196</v>
      </c>
      <c r="Q797" t="s">
        <v>174</v>
      </c>
      <c r="V797">
        <v>1</v>
      </c>
    </row>
    <row r="798" spans="4:22" x14ac:dyDescent="0.45">
      <c r="D798" t="s">
        <v>1058</v>
      </c>
      <c r="E798" t="s">
        <v>2487</v>
      </c>
      <c r="F798" t="s">
        <v>290</v>
      </c>
      <c r="G798" t="s">
        <v>2488</v>
      </c>
      <c r="H798" t="s">
        <v>19</v>
      </c>
      <c r="I798" t="s">
        <v>38</v>
      </c>
      <c r="J798" t="s">
        <v>59</v>
      </c>
      <c r="K798" t="s">
        <v>195</v>
      </c>
      <c r="M798" t="s">
        <v>196</v>
      </c>
      <c r="Q798" t="s">
        <v>168</v>
      </c>
      <c r="V798">
        <v>1</v>
      </c>
    </row>
    <row r="799" spans="4:22" x14ac:dyDescent="0.45">
      <c r="D799" t="s">
        <v>1059</v>
      </c>
      <c r="E799" t="s">
        <v>2489</v>
      </c>
      <c r="F799" t="s">
        <v>290</v>
      </c>
      <c r="G799" t="s">
        <v>2490</v>
      </c>
      <c r="H799" t="s">
        <v>19</v>
      </c>
      <c r="I799" t="s">
        <v>38</v>
      </c>
      <c r="J799" t="s">
        <v>59</v>
      </c>
      <c r="K799" t="s">
        <v>195</v>
      </c>
      <c r="M799" t="s">
        <v>37</v>
      </c>
      <c r="Q799" t="s">
        <v>37</v>
      </c>
      <c r="V799">
        <v>2</v>
      </c>
    </row>
    <row r="800" spans="4:22" x14ac:dyDescent="0.45">
      <c r="D800" t="s">
        <v>1060</v>
      </c>
      <c r="E800" t="s">
        <v>2491</v>
      </c>
      <c r="F800" t="s">
        <v>290</v>
      </c>
      <c r="G800" t="s">
        <v>2466</v>
      </c>
      <c r="H800" t="s">
        <v>19</v>
      </c>
      <c r="I800" t="s">
        <v>38</v>
      </c>
      <c r="J800" t="s">
        <v>59</v>
      </c>
      <c r="K800" t="s">
        <v>195</v>
      </c>
      <c r="M800" t="s">
        <v>37</v>
      </c>
      <c r="Q800" t="s">
        <v>60</v>
      </c>
      <c r="V800">
        <v>2</v>
      </c>
    </row>
    <row r="801" spans="4:22" x14ac:dyDescent="0.45">
      <c r="D801" t="s">
        <v>1061</v>
      </c>
      <c r="E801" t="s">
        <v>2492</v>
      </c>
      <c r="F801" t="s">
        <v>290</v>
      </c>
      <c r="G801" t="s">
        <v>2468</v>
      </c>
      <c r="H801" t="s">
        <v>19</v>
      </c>
      <c r="I801" t="s">
        <v>38</v>
      </c>
      <c r="J801" t="s">
        <v>59</v>
      </c>
      <c r="K801" t="s">
        <v>195</v>
      </c>
      <c r="M801" t="s">
        <v>37</v>
      </c>
      <c r="Q801" t="s">
        <v>61</v>
      </c>
      <c r="V801">
        <v>2</v>
      </c>
    </row>
    <row r="802" spans="4:22" x14ac:dyDescent="0.45">
      <c r="D802" t="s">
        <v>1062</v>
      </c>
      <c r="E802" t="s">
        <v>2493</v>
      </c>
      <c r="F802" t="s">
        <v>290</v>
      </c>
      <c r="G802" t="s">
        <v>2470</v>
      </c>
      <c r="H802" t="s">
        <v>19</v>
      </c>
      <c r="I802" t="s">
        <v>38</v>
      </c>
      <c r="J802" t="s">
        <v>59</v>
      </c>
      <c r="K802" t="s">
        <v>195</v>
      </c>
      <c r="M802" t="s">
        <v>37</v>
      </c>
      <c r="Q802" t="s">
        <v>62</v>
      </c>
      <c r="V802">
        <v>2</v>
      </c>
    </row>
    <row r="803" spans="4:22" x14ac:dyDescent="0.45">
      <c r="D803" t="s">
        <v>1063</v>
      </c>
      <c r="E803" t="s">
        <v>2494</v>
      </c>
      <c r="F803" t="s">
        <v>290</v>
      </c>
      <c r="G803" t="s">
        <v>2472</v>
      </c>
      <c r="H803" t="s">
        <v>19</v>
      </c>
      <c r="I803" t="s">
        <v>38</v>
      </c>
      <c r="J803" t="s">
        <v>59</v>
      </c>
      <c r="K803" t="s">
        <v>195</v>
      </c>
      <c r="M803" t="s">
        <v>37</v>
      </c>
      <c r="Q803" t="s">
        <v>63</v>
      </c>
      <c r="V803">
        <v>2</v>
      </c>
    </row>
    <row r="804" spans="4:22" x14ac:dyDescent="0.45">
      <c r="D804" t="s">
        <v>1064</v>
      </c>
      <c r="E804" t="s">
        <v>2495</v>
      </c>
      <c r="F804" t="s">
        <v>290</v>
      </c>
      <c r="G804" t="s">
        <v>2474</v>
      </c>
      <c r="H804" t="s">
        <v>19</v>
      </c>
      <c r="I804" t="s">
        <v>38</v>
      </c>
      <c r="J804" t="s">
        <v>59</v>
      </c>
      <c r="K804" t="s">
        <v>195</v>
      </c>
      <c r="M804" t="s">
        <v>37</v>
      </c>
      <c r="Q804" t="s">
        <v>64</v>
      </c>
      <c r="V804">
        <v>2</v>
      </c>
    </row>
    <row r="805" spans="4:22" x14ac:dyDescent="0.45">
      <c r="D805" t="s">
        <v>1065</v>
      </c>
      <c r="E805" t="s">
        <v>2496</v>
      </c>
      <c r="F805" t="s">
        <v>290</v>
      </c>
      <c r="G805" t="s">
        <v>2476</v>
      </c>
      <c r="H805" t="s">
        <v>19</v>
      </c>
      <c r="I805" t="s">
        <v>38</v>
      </c>
      <c r="J805" t="s">
        <v>59</v>
      </c>
      <c r="K805" t="s">
        <v>195</v>
      </c>
      <c r="M805" t="s">
        <v>37</v>
      </c>
      <c r="Q805" t="s">
        <v>197</v>
      </c>
      <c r="V805">
        <v>2</v>
      </c>
    </row>
    <row r="806" spans="4:22" x14ac:dyDescent="0.45">
      <c r="D806" t="s">
        <v>1066</v>
      </c>
      <c r="E806" t="s">
        <v>2497</v>
      </c>
      <c r="F806" t="s">
        <v>290</v>
      </c>
      <c r="G806" t="s">
        <v>2498</v>
      </c>
      <c r="H806" t="s">
        <v>19</v>
      </c>
      <c r="I806" t="s">
        <v>198</v>
      </c>
      <c r="J806" t="s">
        <v>59</v>
      </c>
      <c r="K806" t="s">
        <v>195</v>
      </c>
      <c r="Q806" t="s">
        <v>174</v>
      </c>
      <c r="V806">
        <v>2</v>
      </c>
    </row>
    <row r="807" spans="4:22" x14ac:dyDescent="0.45">
      <c r="D807" t="s">
        <v>1067</v>
      </c>
      <c r="E807" t="s">
        <v>2499</v>
      </c>
      <c r="F807" t="s">
        <v>290</v>
      </c>
      <c r="G807" t="s">
        <v>2500</v>
      </c>
      <c r="H807" t="s">
        <v>19</v>
      </c>
      <c r="I807" t="s">
        <v>38</v>
      </c>
      <c r="J807" t="s">
        <v>59</v>
      </c>
      <c r="K807" t="s">
        <v>195</v>
      </c>
      <c r="M807" t="s">
        <v>196</v>
      </c>
      <c r="Q807" t="s">
        <v>168</v>
      </c>
      <c r="V807">
        <v>2</v>
      </c>
    </row>
    <row r="808" spans="4:22" x14ac:dyDescent="0.45">
      <c r="G808" t="s">
        <v>18</v>
      </c>
      <c r="H808" t="s">
        <v>18</v>
      </c>
      <c r="J808" t="s">
        <v>18</v>
      </c>
      <c r="P808" t="s">
        <v>18</v>
      </c>
      <c r="U808" t="s">
        <v>18</v>
      </c>
    </row>
    <row r="809" spans="4:22" x14ac:dyDescent="0.45">
      <c r="D809" t="s">
        <v>1068</v>
      </c>
      <c r="E809" t="s">
        <v>2501</v>
      </c>
      <c r="F809" t="s">
        <v>290</v>
      </c>
      <c r="G809" t="s">
        <v>2502</v>
      </c>
      <c r="H809" t="s">
        <v>199</v>
      </c>
      <c r="I809" t="s">
        <v>200</v>
      </c>
      <c r="J809" t="s">
        <v>18</v>
      </c>
      <c r="O809" t="s">
        <v>201</v>
      </c>
      <c r="P809" t="s">
        <v>201</v>
      </c>
      <c r="S809" t="s">
        <v>202</v>
      </c>
      <c r="T809" t="s">
        <v>200</v>
      </c>
      <c r="U809" t="s">
        <v>2503</v>
      </c>
      <c r="V809">
        <v>1</v>
      </c>
    </row>
    <row r="810" spans="4:22" x14ac:dyDescent="0.45">
      <c r="D810" t="s">
        <v>1069</v>
      </c>
      <c r="E810" t="s">
        <v>2504</v>
      </c>
      <c r="F810" t="s">
        <v>290</v>
      </c>
      <c r="G810" t="s">
        <v>2502</v>
      </c>
      <c r="H810" t="s">
        <v>199</v>
      </c>
      <c r="I810" t="s">
        <v>200</v>
      </c>
      <c r="J810" t="s">
        <v>18</v>
      </c>
      <c r="O810" t="s">
        <v>203</v>
      </c>
      <c r="P810" t="s">
        <v>203</v>
      </c>
      <c r="S810" t="s">
        <v>202</v>
      </c>
      <c r="T810" t="s">
        <v>200</v>
      </c>
      <c r="U810" t="s">
        <v>2503</v>
      </c>
      <c r="V810">
        <v>1</v>
      </c>
    </row>
    <row r="811" spans="4:22" x14ac:dyDescent="0.45">
      <c r="D811" t="s">
        <v>1070</v>
      </c>
      <c r="E811" t="s">
        <v>2505</v>
      </c>
      <c r="F811" t="s">
        <v>290</v>
      </c>
      <c r="G811" t="s">
        <v>2506</v>
      </c>
      <c r="H811" t="s">
        <v>199</v>
      </c>
      <c r="I811" t="s">
        <v>200</v>
      </c>
      <c r="J811" t="s">
        <v>18</v>
      </c>
      <c r="O811" t="s">
        <v>201</v>
      </c>
      <c r="P811" t="s">
        <v>201</v>
      </c>
      <c r="S811" t="s">
        <v>202</v>
      </c>
      <c r="T811" t="s">
        <v>200</v>
      </c>
      <c r="U811" t="s">
        <v>2503</v>
      </c>
      <c r="V811">
        <v>2</v>
      </c>
    </row>
    <row r="812" spans="4:22" x14ac:dyDescent="0.45">
      <c r="D812" t="s">
        <v>1071</v>
      </c>
      <c r="E812" t="s">
        <v>2507</v>
      </c>
      <c r="F812" t="s">
        <v>290</v>
      </c>
      <c r="G812" t="s">
        <v>2506</v>
      </c>
      <c r="H812" t="s">
        <v>199</v>
      </c>
      <c r="I812" t="s">
        <v>200</v>
      </c>
      <c r="J812" t="s">
        <v>18</v>
      </c>
      <c r="O812" t="s">
        <v>203</v>
      </c>
      <c r="P812" t="s">
        <v>203</v>
      </c>
      <c r="S812" t="s">
        <v>202</v>
      </c>
      <c r="T812" t="s">
        <v>200</v>
      </c>
      <c r="U812" t="s">
        <v>2503</v>
      </c>
      <c r="V812">
        <v>2</v>
      </c>
    </row>
    <row r="813" spans="4:22" x14ac:dyDescent="0.45">
      <c r="D813" t="s">
        <v>1072</v>
      </c>
      <c r="E813" t="s">
        <v>2508</v>
      </c>
      <c r="F813" t="s">
        <v>290</v>
      </c>
      <c r="G813" t="s">
        <v>2509</v>
      </c>
      <c r="H813" t="s">
        <v>199</v>
      </c>
      <c r="I813" t="s">
        <v>204</v>
      </c>
      <c r="J813" t="s">
        <v>18</v>
      </c>
      <c r="O813" t="s">
        <v>46</v>
      </c>
      <c r="P813" t="s">
        <v>46</v>
      </c>
      <c r="S813" t="s">
        <v>202</v>
      </c>
      <c r="T813" t="s">
        <v>204</v>
      </c>
      <c r="U813" t="s">
        <v>2510</v>
      </c>
      <c r="V813">
        <v>1</v>
      </c>
    </row>
    <row r="814" spans="4:22" x14ac:dyDescent="0.45">
      <c r="D814" t="s">
        <v>1073</v>
      </c>
      <c r="E814" t="s">
        <v>2511</v>
      </c>
      <c r="F814" t="s">
        <v>290</v>
      </c>
      <c r="G814" t="s">
        <v>2512</v>
      </c>
      <c r="H814" t="s">
        <v>199</v>
      </c>
      <c r="I814" t="s">
        <v>205</v>
      </c>
      <c r="J814" t="s">
        <v>18</v>
      </c>
      <c r="O814" t="s">
        <v>46</v>
      </c>
      <c r="P814" t="s">
        <v>46</v>
      </c>
      <c r="S814" t="s">
        <v>202</v>
      </c>
      <c r="T814" t="s">
        <v>205</v>
      </c>
      <c r="U814" t="s">
        <v>2513</v>
      </c>
      <c r="V814">
        <v>1</v>
      </c>
    </row>
    <row r="815" spans="4:22" x14ac:dyDescent="0.45">
      <c r="D815" t="s">
        <v>1074</v>
      </c>
      <c r="E815" t="s">
        <v>206</v>
      </c>
      <c r="F815" t="s">
        <v>290</v>
      </c>
      <c r="G815" t="s">
        <v>2514</v>
      </c>
      <c r="H815" t="s">
        <v>207</v>
      </c>
      <c r="I815" t="s">
        <v>208</v>
      </c>
      <c r="J815" t="s">
        <v>18</v>
      </c>
      <c r="P815" t="s">
        <v>18</v>
      </c>
      <c r="S815" t="s">
        <v>202</v>
      </c>
      <c r="U815" t="s">
        <v>202</v>
      </c>
    </row>
    <row r="816" spans="4:22" x14ac:dyDescent="0.45">
      <c r="D816" t="s">
        <v>1075</v>
      </c>
      <c r="E816" t="s">
        <v>2515</v>
      </c>
      <c r="F816" t="s">
        <v>290</v>
      </c>
      <c r="G816" t="s">
        <v>2516</v>
      </c>
      <c r="H816" t="s">
        <v>199</v>
      </c>
      <c r="I816" t="s">
        <v>209</v>
      </c>
      <c r="J816" t="s">
        <v>18</v>
      </c>
      <c r="P816" t="s">
        <v>18</v>
      </c>
      <c r="T816" t="s">
        <v>210</v>
      </c>
      <c r="U816" t="s">
        <v>210</v>
      </c>
    </row>
    <row r="817" spans="4:21" x14ac:dyDescent="0.45">
      <c r="D817" t="s">
        <v>1076</v>
      </c>
      <c r="E817" t="s">
        <v>2517</v>
      </c>
      <c r="F817" t="s">
        <v>290</v>
      </c>
      <c r="G817" t="s">
        <v>2518</v>
      </c>
      <c r="H817" t="s">
        <v>199</v>
      </c>
      <c r="I817" t="s">
        <v>209</v>
      </c>
      <c r="J817" t="s">
        <v>18</v>
      </c>
      <c r="P817" t="s">
        <v>18</v>
      </c>
      <c r="T817" t="s">
        <v>211</v>
      </c>
      <c r="U817" t="s">
        <v>211</v>
      </c>
    </row>
    <row r="818" spans="4:21" x14ac:dyDescent="0.45">
      <c r="D818" t="s">
        <v>1077</v>
      </c>
      <c r="E818" t="s">
        <v>2519</v>
      </c>
      <c r="F818" t="s">
        <v>290</v>
      </c>
      <c r="G818" t="s">
        <v>2520</v>
      </c>
      <c r="H818" t="s">
        <v>199</v>
      </c>
      <c r="I818" t="s">
        <v>209</v>
      </c>
      <c r="J818" t="s">
        <v>18</v>
      </c>
      <c r="P818" t="s">
        <v>18</v>
      </c>
      <c r="T818" t="s">
        <v>212</v>
      </c>
      <c r="U818" t="s">
        <v>212</v>
      </c>
    </row>
    <row r="819" spans="4:21" x14ac:dyDescent="0.45">
      <c r="D819" t="s">
        <v>1078</v>
      </c>
      <c r="E819" t="s">
        <v>2521</v>
      </c>
      <c r="F819" t="s">
        <v>290</v>
      </c>
      <c r="G819" t="s">
        <v>2522</v>
      </c>
      <c r="H819" t="s">
        <v>199</v>
      </c>
      <c r="I819" t="s">
        <v>209</v>
      </c>
      <c r="J819" t="s">
        <v>18</v>
      </c>
      <c r="P819" t="s">
        <v>18</v>
      </c>
      <c r="T819" t="s">
        <v>213</v>
      </c>
      <c r="U819" t="s">
        <v>213</v>
      </c>
    </row>
    <row r="820" spans="4:21" x14ac:dyDescent="0.45">
      <c r="D820" t="s">
        <v>1079</v>
      </c>
      <c r="E820" t="s">
        <v>2523</v>
      </c>
      <c r="F820" t="s">
        <v>290</v>
      </c>
      <c r="G820" t="s">
        <v>2524</v>
      </c>
      <c r="H820" t="s">
        <v>199</v>
      </c>
      <c r="I820" t="s">
        <v>214</v>
      </c>
      <c r="J820" t="s">
        <v>18</v>
      </c>
      <c r="P820" t="s">
        <v>18</v>
      </c>
      <c r="T820" t="s">
        <v>215</v>
      </c>
      <c r="U820" t="s">
        <v>215</v>
      </c>
    </row>
    <row r="821" spans="4:21" x14ac:dyDescent="0.45">
      <c r="D821" t="s">
        <v>1080</v>
      </c>
      <c r="E821" t="s">
        <v>2525</v>
      </c>
      <c r="F821" t="s">
        <v>290</v>
      </c>
      <c r="G821" t="s">
        <v>2526</v>
      </c>
      <c r="H821" t="s">
        <v>199</v>
      </c>
      <c r="I821" t="s">
        <v>214</v>
      </c>
      <c r="J821" t="s">
        <v>18</v>
      </c>
      <c r="P821" t="s">
        <v>18</v>
      </c>
      <c r="T821" t="s">
        <v>216</v>
      </c>
      <c r="U821" t="s">
        <v>216</v>
      </c>
    </row>
    <row r="822" spans="4:21" x14ac:dyDescent="0.45">
      <c r="D822" t="s">
        <v>1081</v>
      </c>
      <c r="E822" t="s">
        <v>2527</v>
      </c>
      <c r="F822" t="s">
        <v>290</v>
      </c>
      <c r="G822" t="s">
        <v>2528</v>
      </c>
      <c r="H822" t="s">
        <v>199</v>
      </c>
      <c r="I822" t="s">
        <v>214</v>
      </c>
      <c r="J822" t="s">
        <v>18</v>
      </c>
      <c r="P822" t="s">
        <v>18</v>
      </c>
      <c r="T822" t="s">
        <v>217</v>
      </c>
      <c r="U822" t="s">
        <v>217</v>
      </c>
    </row>
    <row r="823" spans="4:21" x14ac:dyDescent="0.45">
      <c r="D823" t="s">
        <v>1082</v>
      </c>
      <c r="E823" t="s">
        <v>2529</v>
      </c>
      <c r="F823" t="s">
        <v>290</v>
      </c>
      <c r="G823" t="s">
        <v>2530</v>
      </c>
      <c r="H823" t="s">
        <v>199</v>
      </c>
      <c r="I823" t="s">
        <v>218</v>
      </c>
      <c r="J823" t="s">
        <v>18</v>
      </c>
      <c r="P823" t="s">
        <v>18</v>
      </c>
      <c r="U823" t="s">
        <v>18</v>
      </c>
    </row>
    <row r="824" spans="4:21" x14ac:dyDescent="0.45">
      <c r="D824" t="s">
        <v>1083</v>
      </c>
      <c r="E824" t="s">
        <v>2531</v>
      </c>
      <c r="F824" t="s">
        <v>290</v>
      </c>
      <c r="G824" t="s">
        <v>2532</v>
      </c>
      <c r="H824" t="s">
        <v>199</v>
      </c>
      <c r="I824" t="s">
        <v>219</v>
      </c>
      <c r="J824" t="s">
        <v>18</v>
      </c>
      <c r="P824" t="s">
        <v>18</v>
      </c>
      <c r="U824" t="s">
        <v>18</v>
      </c>
    </row>
    <row r="825" spans="4:21" x14ac:dyDescent="0.45">
      <c r="D825" t="s">
        <v>1084</v>
      </c>
      <c r="E825" t="s">
        <v>2533</v>
      </c>
      <c r="F825" t="s">
        <v>290</v>
      </c>
      <c r="G825" t="s">
        <v>2534</v>
      </c>
      <c r="H825" t="s">
        <v>199</v>
      </c>
      <c r="I825" t="s">
        <v>220</v>
      </c>
      <c r="J825" t="s">
        <v>18</v>
      </c>
      <c r="P825" t="s">
        <v>18</v>
      </c>
      <c r="U825" t="s">
        <v>18</v>
      </c>
    </row>
    <row r="826" spans="4:21" x14ac:dyDescent="0.45">
      <c r="D826" t="s">
        <v>1085</v>
      </c>
      <c r="E826" t="s">
        <v>2535</v>
      </c>
      <c r="F826" t="s">
        <v>290</v>
      </c>
      <c r="G826" t="s">
        <v>2536</v>
      </c>
      <c r="H826" t="s">
        <v>199</v>
      </c>
      <c r="I826" t="s">
        <v>221</v>
      </c>
      <c r="J826" t="s">
        <v>18</v>
      </c>
      <c r="M826" t="s">
        <v>26</v>
      </c>
      <c r="P826" t="s">
        <v>26</v>
      </c>
      <c r="Q826" t="s">
        <v>60</v>
      </c>
      <c r="U826" t="s">
        <v>18</v>
      </c>
    </row>
    <row r="827" spans="4:21" x14ac:dyDescent="0.45">
      <c r="D827" t="s">
        <v>1086</v>
      </c>
      <c r="E827" t="s">
        <v>2537</v>
      </c>
      <c r="F827" t="s">
        <v>290</v>
      </c>
      <c r="G827" t="s">
        <v>2538</v>
      </c>
      <c r="H827" t="s">
        <v>199</v>
      </c>
      <c r="I827" t="s">
        <v>221</v>
      </c>
      <c r="J827" t="s">
        <v>18</v>
      </c>
      <c r="M827" t="s">
        <v>26</v>
      </c>
      <c r="P827" t="s">
        <v>26</v>
      </c>
      <c r="Q827" t="s">
        <v>61</v>
      </c>
      <c r="U827" t="s">
        <v>18</v>
      </c>
    </row>
    <row r="828" spans="4:21" x14ac:dyDescent="0.45">
      <c r="D828" t="s">
        <v>1087</v>
      </c>
      <c r="E828" t="s">
        <v>2539</v>
      </c>
      <c r="F828" t="s">
        <v>290</v>
      </c>
      <c r="G828" t="s">
        <v>2540</v>
      </c>
      <c r="H828" t="s">
        <v>199</v>
      </c>
      <c r="I828" t="s">
        <v>221</v>
      </c>
      <c r="J828" t="s">
        <v>18</v>
      </c>
      <c r="M828" t="s">
        <v>26</v>
      </c>
      <c r="P828" t="s">
        <v>26</v>
      </c>
      <c r="Q828" t="s">
        <v>113</v>
      </c>
      <c r="U828" t="s">
        <v>18</v>
      </c>
    </row>
    <row r="829" spans="4:21" x14ac:dyDescent="0.45">
      <c r="D829" t="s">
        <v>1088</v>
      </c>
      <c r="E829" t="s">
        <v>2541</v>
      </c>
      <c r="F829" t="s">
        <v>290</v>
      </c>
      <c r="G829" t="s">
        <v>2536</v>
      </c>
      <c r="H829" t="s">
        <v>199</v>
      </c>
      <c r="I829" t="s">
        <v>221</v>
      </c>
      <c r="J829" t="s">
        <v>18</v>
      </c>
      <c r="M829" t="s">
        <v>29</v>
      </c>
      <c r="P829" t="s">
        <v>29</v>
      </c>
      <c r="Q829" t="s">
        <v>60</v>
      </c>
      <c r="U829" t="s">
        <v>18</v>
      </c>
    </row>
    <row r="830" spans="4:21" x14ac:dyDescent="0.45">
      <c r="D830" t="s">
        <v>1089</v>
      </c>
      <c r="E830" t="s">
        <v>2542</v>
      </c>
      <c r="F830" t="s">
        <v>290</v>
      </c>
      <c r="G830" t="s">
        <v>2538</v>
      </c>
      <c r="H830" t="s">
        <v>199</v>
      </c>
      <c r="I830" t="s">
        <v>221</v>
      </c>
      <c r="J830" t="s">
        <v>18</v>
      </c>
      <c r="M830" t="s">
        <v>29</v>
      </c>
      <c r="P830" t="s">
        <v>29</v>
      </c>
      <c r="Q830" t="s">
        <v>61</v>
      </c>
      <c r="U830" t="s">
        <v>18</v>
      </c>
    </row>
    <row r="831" spans="4:21" x14ac:dyDescent="0.45">
      <c r="D831" t="s">
        <v>1090</v>
      </c>
      <c r="E831" t="s">
        <v>2543</v>
      </c>
      <c r="F831" t="s">
        <v>290</v>
      </c>
      <c r="G831" t="s">
        <v>2540</v>
      </c>
      <c r="H831" t="s">
        <v>199</v>
      </c>
      <c r="I831" t="s">
        <v>221</v>
      </c>
      <c r="J831" t="s">
        <v>18</v>
      </c>
      <c r="M831" t="s">
        <v>29</v>
      </c>
      <c r="P831" t="s">
        <v>29</v>
      </c>
      <c r="Q831" t="s">
        <v>113</v>
      </c>
      <c r="U831" t="s">
        <v>18</v>
      </c>
    </row>
    <row r="832" spans="4:21" x14ac:dyDescent="0.45">
      <c r="D832" t="s">
        <v>1091</v>
      </c>
      <c r="E832" t="s">
        <v>2544</v>
      </c>
      <c r="F832" t="s">
        <v>290</v>
      </c>
      <c r="G832" t="s">
        <v>2545</v>
      </c>
      <c r="H832" t="s">
        <v>199</v>
      </c>
      <c r="I832" t="s">
        <v>221</v>
      </c>
      <c r="J832" t="s">
        <v>18</v>
      </c>
      <c r="M832" t="s">
        <v>27</v>
      </c>
      <c r="P832" t="s">
        <v>27</v>
      </c>
      <c r="Q832" t="s">
        <v>63</v>
      </c>
      <c r="U832" t="s">
        <v>18</v>
      </c>
    </row>
    <row r="833" spans="4:21" x14ac:dyDescent="0.45">
      <c r="D833" t="s">
        <v>1092</v>
      </c>
      <c r="E833" t="s">
        <v>2546</v>
      </c>
      <c r="F833" t="s">
        <v>290</v>
      </c>
      <c r="G833" t="s">
        <v>2547</v>
      </c>
      <c r="H833" t="s">
        <v>199</v>
      </c>
      <c r="I833" t="s">
        <v>221</v>
      </c>
      <c r="J833" t="s">
        <v>18</v>
      </c>
      <c r="M833" t="s">
        <v>27</v>
      </c>
      <c r="P833" t="s">
        <v>27</v>
      </c>
      <c r="Q833" t="s">
        <v>64</v>
      </c>
      <c r="U833" t="s">
        <v>18</v>
      </c>
    </row>
    <row r="834" spans="4:21" x14ac:dyDescent="0.45">
      <c r="D834" t="s">
        <v>1093</v>
      </c>
      <c r="E834" t="s">
        <v>2548</v>
      </c>
      <c r="F834" t="s">
        <v>290</v>
      </c>
      <c r="G834" t="s">
        <v>2549</v>
      </c>
      <c r="H834" t="s">
        <v>199</v>
      </c>
      <c r="I834" t="s">
        <v>222</v>
      </c>
      <c r="J834" t="s">
        <v>18</v>
      </c>
      <c r="K834" t="s">
        <v>223</v>
      </c>
      <c r="P834" t="s">
        <v>18</v>
      </c>
      <c r="U834" t="s">
        <v>18</v>
      </c>
    </row>
    <row r="835" spans="4:21" x14ac:dyDescent="0.45">
      <c r="D835" t="s">
        <v>1094</v>
      </c>
      <c r="E835" t="s">
        <v>2550</v>
      </c>
      <c r="F835" t="s">
        <v>290</v>
      </c>
      <c r="G835" t="s">
        <v>2551</v>
      </c>
      <c r="H835" t="s">
        <v>199</v>
      </c>
      <c r="I835" t="s">
        <v>222</v>
      </c>
      <c r="J835" t="s">
        <v>18</v>
      </c>
      <c r="K835" t="s">
        <v>223</v>
      </c>
      <c r="P835" t="s">
        <v>18</v>
      </c>
      <c r="T835" t="s">
        <v>224</v>
      </c>
      <c r="U835" t="s">
        <v>224</v>
      </c>
    </row>
    <row r="836" spans="4:21" x14ac:dyDescent="0.45">
      <c r="D836" t="s">
        <v>1095</v>
      </c>
      <c r="E836" t="s">
        <v>2552</v>
      </c>
      <c r="F836" t="s">
        <v>290</v>
      </c>
      <c r="G836" t="s">
        <v>2553</v>
      </c>
      <c r="H836" t="s">
        <v>19</v>
      </c>
      <c r="I836" t="s">
        <v>225</v>
      </c>
      <c r="J836" t="s">
        <v>18</v>
      </c>
      <c r="K836" t="s">
        <v>102</v>
      </c>
      <c r="M836" t="s">
        <v>29</v>
      </c>
      <c r="P836" t="s">
        <v>29</v>
      </c>
      <c r="Q836" t="s">
        <v>60</v>
      </c>
      <c r="U836" t="s">
        <v>18</v>
      </c>
    </row>
    <row r="837" spans="4:21" x14ac:dyDescent="0.45">
      <c r="D837" t="s">
        <v>1096</v>
      </c>
      <c r="E837" t="s">
        <v>2554</v>
      </c>
      <c r="F837" t="s">
        <v>290</v>
      </c>
      <c r="G837" t="s">
        <v>2553</v>
      </c>
      <c r="H837" t="s">
        <v>19</v>
      </c>
      <c r="I837" t="s">
        <v>225</v>
      </c>
      <c r="J837" t="s">
        <v>18</v>
      </c>
      <c r="K837" t="s">
        <v>102</v>
      </c>
      <c r="M837" t="s">
        <v>28</v>
      </c>
      <c r="P837" t="s">
        <v>28</v>
      </c>
      <c r="Q837" t="s">
        <v>60</v>
      </c>
      <c r="U837" t="s">
        <v>18</v>
      </c>
    </row>
    <row r="838" spans="4:21" x14ac:dyDescent="0.45">
      <c r="D838" t="s">
        <v>1097</v>
      </c>
      <c r="E838" t="s">
        <v>2555</v>
      </c>
      <c r="F838" t="s">
        <v>290</v>
      </c>
      <c r="G838" t="s">
        <v>2556</v>
      </c>
      <c r="H838" t="s">
        <v>19</v>
      </c>
      <c r="I838" t="s">
        <v>225</v>
      </c>
      <c r="J838" t="s">
        <v>18</v>
      </c>
      <c r="K838" t="s">
        <v>102</v>
      </c>
      <c r="M838" t="s">
        <v>26</v>
      </c>
      <c r="P838" t="s">
        <v>26</v>
      </c>
      <c r="Q838" t="s">
        <v>61</v>
      </c>
      <c r="U838" t="s">
        <v>18</v>
      </c>
    </row>
    <row r="839" spans="4:21" x14ac:dyDescent="0.45">
      <c r="D839" t="s">
        <v>1098</v>
      </c>
      <c r="E839" t="s">
        <v>2557</v>
      </c>
      <c r="F839" t="s">
        <v>290</v>
      </c>
      <c r="G839" t="s">
        <v>2556</v>
      </c>
      <c r="H839" t="s">
        <v>19</v>
      </c>
      <c r="I839" t="s">
        <v>225</v>
      </c>
      <c r="J839" t="s">
        <v>18</v>
      </c>
      <c r="K839" t="s">
        <v>102</v>
      </c>
      <c r="M839" t="s">
        <v>29</v>
      </c>
      <c r="P839" t="s">
        <v>29</v>
      </c>
      <c r="Q839" t="s">
        <v>61</v>
      </c>
      <c r="U839" t="s">
        <v>18</v>
      </c>
    </row>
    <row r="840" spans="4:21" x14ac:dyDescent="0.45">
      <c r="D840" t="s">
        <v>1099</v>
      </c>
      <c r="E840" t="s">
        <v>2558</v>
      </c>
      <c r="F840" t="s">
        <v>290</v>
      </c>
      <c r="G840" t="s">
        <v>2556</v>
      </c>
      <c r="H840" t="s">
        <v>19</v>
      </c>
      <c r="I840" t="s">
        <v>225</v>
      </c>
      <c r="J840" t="s">
        <v>18</v>
      </c>
      <c r="K840" t="s">
        <v>102</v>
      </c>
      <c r="M840" t="s">
        <v>28</v>
      </c>
      <c r="P840" t="s">
        <v>28</v>
      </c>
      <c r="Q840" t="s">
        <v>61</v>
      </c>
      <c r="U840" t="s">
        <v>18</v>
      </c>
    </row>
    <row r="841" spans="4:21" x14ac:dyDescent="0.45">
      <c r="D841" t="s">
        <v>1100</v>
      </c>
      <c r="E841" t="s">
        <v>2559</v>
      </c>
      <c r="F841" t="s">
        <v>290</v>
      </c>
      <c r="G841" t="s">
        <v>2556</v>
      </c>
      <c r="H841" t="s">
        <v>19</v>
      </c>
      <c r="I841" t="s">
        <v>225</v>
      </c>
      <c r="J841" t="s">
        <v>18</v>
      </c>
      <c r="K841" t="s">
        <v>102</v>
      </c>
      <c r="M841" t="s">
        <v>26</v>
      </c>
      <c r="P841" t="s">
        <v>26</v>
      </c>
      <c r="Q841" t="s">
        <v>61</v>
      </c>
      <c r="U841" t="s">
        <v>18</v>
      </c>
    </row>
    <row r="842" spans="4:21" x14ac:dyDescent="0.45">
      <c r="D842" t="s">
        <v>1101</v>
      </c>
      <c r="E842" t="s">
        <v>2560</v>
      </c>
      <c r="F842" t="s">
        <v>290</v>
      </c>
      <c r="G842" t="s">
        <v>2561</v>
      </c>
      <c r="H842" t="s">
        <v>19</v>
      </c>
      <c r="I842" t="s">
        <v>225</v>
      </c>
      <c r="J842" t="s">
        <v>18</v>
      </c>
      <c r="K842" t="s">
        <v>226</v>
      </c>
      <c r="N842" t="s">
        <v>46</v>
      </c>
      <c r="P842" t="s">
        <v>46</v>
      </c>
      <c r="Q842" t="s">
        <v>63</v>
      </c>
      <c r="U842" t="s">
        <v>18</v>
      </c>
    </row>
    <row r="843" spans="4:21" x14ac:dyDescent="0.45">
      <c r="D843" t="s">
        <v>1102</v>
      </c>
      <c r="E843" t="s">
        <v>2562</v>
      </c>
      <c r="F843" t="s">
        <v>290</v>
      </c>
      <c r="G843" t="s">
        <v>2563</v>
      </c>
      <c r="H843" t="s">
        <v>19</v>
      </c>
      <c r="I843" t="s">
        <v>225</v>
      </c>
      <c r="J843" t="s">
        <v>18</v>
      </c>
      <c r="K843" t="s">
        <v>226</v>
      </c>
      <c r="N843" t="s">
        <v>46</v>
      </c>
      <c r="P843" t="s">
        <v>46</v>
      </c>
      <c r="Q843" t="s">
        <v>64</v>
      </c>
      <c r="U843" t="s">
        <v>18</v>
      </c>
    </row>
    <row r="844" spans="4:21" x14ac:dyDescent="0.45">
      <c r="D844" t="s">
        <v>1103</v>
      </c>
      <c r="E844" t="s">
        <v>2564</v>
      </c>
      <c r="F844" t="s">
        <v>290</v>
      </c>
      <c r="G844" t="s">
        <v>2565</v>
      </c>
      <c r="H844" t="s">
        <v>19</v>
      </c>
      <c r="I844" t="s">
        <v>225</v>
      </c>
      <c r="J844" t="s">
        <v>18</v>
      </c>
      <c r="K844" t="s">
        <v>226</v>
      </c>
      <c r="N844" t="s">
        <v>46</v>
      </c>
      <c r="P844" t="s">
        <v>46</v>
      </c>
      <c r="Q844" t="s">
        <v>65</v>
      </c>
      <c r="U844" t="s">
        <v>18</v>
      </c>
    </row>
    <row r="845" spans="4:21" x14ac:dyDescent="0.45">
      <c r="D845" t="s">
        <v>1104</v>
      </c>
      <c r="E845" t="s">
        <v>2566</v>
      </c>
      <c r="F845" t="s">
        <v>290</v>
      </c>
      <c r="G845" t="s">
        <v>2567</v>
      </c>
      <c r="H845" t="s">
        <v>19</v>
      </c>
      <c r="I845" t="s">
        <v>225</v>
      </c>
      <c r="J845" t="s">
        <v>18</v>
      </c>
      <c r="K845" t="s">
        <v>226</v>
      </c>
      <c r="N845" t="s">
        <v>46</v>
      </c>
      <c r="P845" t="s">
        <v>46</v>
      </c>
      <c r="Q845" t="s">
        <v>66</v>
      </c>
      <c r="U845" t="s">
        <v>18</v>
      </c>
    </row>
    <row r="846" spans="4:21" x14ac:dyDescent="0.45">
      <c r="D846" t="s">
        <v>1105</v>
      </c>
      <c r="E846" t="s">
        <v>2568</v>
      </c>
      <c r="F846" t="s">
        <v>290</v>
      </c>
      <c r="G846" t="s">
        <v>2569</v>
      </c>
      <c r="H846" t="s">
        <v>199</v>
      </c>
      <c r="I846" t="s">
        <v>227</v>
      </c>
      <c r="J846" t="s">
        <v>18</v>
      </c>
      <c r="K846" t="s">
        <v>228</v>
      </c>
      <c r="P846" t="s">
        <v>18</v>
      </c>
      <c r="T846" t="s">
        <v>229</v>
      </c>
      <c r="U846" t="s">
        <v>229</v>
      </c>
    </row>
    <row r="847" spans="4:21" x14ac:dyDescent="0.45">
      <c r="D847" t="s">
        <v>1106</v>
      </c>
      <c r="E847" t="s">
        <v>2570</v>
      </c>
      <c r="F847" t="s">
        <v>290</v>
      </c>
      <c r="G847" t="s">
        <v>2571</v>
      </c>
      <c r="H847" t="s">
        <v>199</v>
      </c>
      <c r="I847" t="s">
        <v>227</v>
      </c>
      <c r="J847" t="s">
        <v>18</v>
      </c>
      <c r="K847" t="s">
        <v>228</v>
      </c>
      <c r="P847" t="s">
        <v>18</v>
      </c>
      <c r="T847" t="s">
        <v>230</v>
      </c>
      <c r="U847" t="s">
        <v>230</v>
      </c>
    </row>
    <row r="848" spans="4:21" x14ac:dyDescent="0.45">
      <c r="D848" t="s">
        <v>1107</v>
      </c>
      <c r="E848" t="s">
        <v>2572</v>
      </c>
      <c r="F848" t="s">
        <v>290</v>
      </c>
      <c r="G848" t="s">
        <v>2573</v>
      </c>
      <c r="H848" t="s">
        <v>199</v>
      </c>
      <c r="I848" t="s">
        <v>227</v>
      </c>
      <c r="J848" t="s">
        <v>18</v>
      </c>
      <c r="K848" t="s">
        <v>228</v>
      </c>
      <c r="P848" t="s">
        <v>18</v>
      </c>
      <c r="T848" t="s">
        <v>231</v>
      </c>
      <c r="U848" t="s">
        <v>231</v>
      </c>
    </row>
    <row r="849" spans="4:22" x14ac:dyDescent="0.45">
      <c r="D849" t="s">
        <v>1108</v>
      </c>
      <c r="E849" t="s">
        <v>2574</v>
      </c>
      <c r="F849" t="s">
        <v>290</v>
      </c>
      <c r="G849" t="s">
        <v>2575</v>
      </c>
      <c r="H849" t="s">
        <v>199</v>
      </c>
      <c r="I849" t="s">
        <v>227</v>
      </c>
      <c r="J849" t="s">
        <v>18</v>
      </c>
      <c r="K849" t="s">
        <v>228</v>
      </c>
      <c r="P849" t="s">
        <v>18</v>
      </c>
      <c r="T849" t="s">
        <v>232</v>
      </c>
      <c r="U849" t="s">
        <v>232</v>
      </c>
    </row>
    <row r="850" spans="4:22" x14ac:dyDescent="0.45">
      <c r="D850" t="s">
        <v>1109</v>
      </c>
      <c r="E850" t="s">
        <v>2576</v>
      </c>
      <c r="F850" t="s">
        <v>290</v>
      </c>
      <c r="G850" t="s">
        <v>2577</v>
      </c>
      <c r="H850" t="s">
        <v>199</v>
      </c>
      <c r="I850" t="s">
        <v>233</v>
      </c>
      <c r="K850" t="s">
        <v>234</v>
      </c>
      <c r="N850" t="s">
        <v>26</v>
      </c>
      <c r="Q850" t="s">
        <v>60</v>
      </c>
      <c r="V850">
        <v>1</v>
      </c>
    </row>
    <row r="851" spans="4:22" x14ac:dyDescent="0.45">
      <c r="D851" t="s">
        <v>1110</v>
      </c>
      <c r="E851" t="s">
        <v>2578</v>
      </c>
      <c r="F851" t="s">
        <v>290</v>
      </c>
      <c r="G851" t="s">
        <v>2579</v>
      </c>
      <c r="H851" t="s">
        <v>199</v>
      </c>
      <c r="I851" t="s">
        <v>233</v>
      </c>
      <c r="K851" t="s">
        <v>234</v>
      </c>
      <c r="N851" t="s">
        <v>26</v>
      </c>
      <c r="Q851" t="s">
        <v>61</v>
      </c>
      <c r="V851">
        <v>1</v>
      </c>
    </row>
    <row r="852" spans="4:22" x14ac:dyDescent="0.45">
      <c r="D852" t="s">
        <v>1111</v>
      </c>
      <c r="E852" t="s">
        <v>2580</v>
      </c>
      <c r="F852" t="s">
        <v>290</v>
      </c>
      <c r="G852" t="s">
        <v>2581</v>
      </c>
      <c r="H852" t="s">
        <v>199</v>
      </c>
      <c r="I852" t="s">
        <v>233</v>
      </c>
      <c r="K852" t="s">
        <v>234</v>
      </c>
      <c r="N852" t="s">
        <v>26</v>
      </c>
      <c r="Q852" t="s">
        <v>113</v>
      </c>
      <c r="V852">
        <v>1</v>
      </c>
    </row>
    <row r="853" spans="4:22" x14ac:dyDescent="0.45">
      <c r="D853" t="s">
        <v>1112</v>
      </c>
      <c r="E853" t="s">
        <v>2582</v>
      </c>
      <c r="F853" t="s">
        <v>290</v>
      </c>
      <c r="G853" t="s">
        <v>2583</v>
      </c>
      <c r="H853" t="s">
        <v>199</v>
      </c>
      <c r="I853" t="s">
        <v>233</v>
      </c>
      <c r="K853" t="s">
        <v>234</v>
      </c>
      <c r="N853" t="s">
        <v>27</v>
      </c>
      <c r="Q853" t="s">
        <v>63</v>
      </c>
      <c r="V853">
        <v>1</v>
      </c>
    </row>
    <row r="854" spans="4:22" x14ac:dyDescent="0.45">
      <c r="D854" t="s">
        <v>1113</v>
      </c>
      <c r="E854" t="s">
        <v>2584</v>
      </c>
      <c r="F854" t="s">
        <v>290</v>
      </c>
      <c r="G854" t="s">
        <v>2585</v>
      </c>
      <c r="H854" t="s">
        <v>199</v>
      </c>
      <c r="I854" t="s">
        <v>233</v>
      </c>
      <c r="K854" t="s">
        <v>234</v>
      </c>
      <c r="N854" t="s">
        <v>27</v>
      </c>
      <c r="Q854" t="s">
        <v>64</v>
      </c>
      <c r="V854">
        <v>1</v>
      </c>
    </row>
    <row r="855" spans="4:22" x14ac:dyDescent="0.45">
      <c r="D855" t="s">
        <v>1114</v>
      </c>
      <c r="E855" t="s">
        <v>2586</v>
      </c>
      <c r="F855" t="s">
        <v>290</v>
      </c>
      <c r="G855" t="s">
        <v>2577</v>
      </c>
      <c r="H855" t="s">
        <v>199</v>
      </c>
      <c r="I855" t="s">
        <v>233</v>
      </c>
      <c r="K855" t="s">
        <v>234</v>
      </c>
      <c r="N855" t="s">
        <v>29</v>
      </c>
      <c r="Q855" t="s">
        <v>60</v>
      </c>
      <c r="V855">
        <v>1</v>
      </c>
    </row>
    <row r="856" spans="4:22" x14ac:dyDescent="0.45">
      <c r="D856" t="s">
        <v>1115</v>
      </c>
      <c r="E856" t="s">
        <v>2587</v>
      </c>
      <c r="F856" t="s">
        <v>290</v>
      </c>
      <c r="G856" t="s">
        <v>2581</v>
      </c>
      <c r="H856" t="s">
        <v>199</v>
      </c>
      <c r="I856" t="s">
        <v>233</v>
      </c>
      <c r="K856" t="s">
        <v>234</v>
      </c>
      <c r="N856" t="s">
        <v>29</v>
      </c>
      <c r="Q856" t="s">
        <v>113</v>
      </c>
      <c r="V856">
        <v>1</v>
      </c>
    </row>
    <row r="857" spans="4:22" x14ac:dyDescent="0.45">
      <c r="D857" t="s">
        <v>1116</v>
      </c>
      <c r="E857" t="s">
        <v>2588</v>
      </c>
      <c r="F857" t="s">
        <v>290</v>
      </c>
      <c r="G857" t="s">
        <v>2579</v>
      </c>
      <c r="H857" t="s">
        <v>199</v>
      </c>
      <c r="I857" t="s">
        <v>233</v>
      </c>
      <c r="K857" t="s">
        <v>234</v>
      </c>
      <c r="N857" t="s">
        <v>29</v>
      </c>
      <c r="Q857" t="s">
        <v>61</v>
      </c>
      <c r="V857">
        <v>1</v>
      </c>
    </row>
    <row r="858" spans="4:22" x14ac:dyDescent="0.45">
      <c r="D858" t="s">
        <v>1117</v>
      </c>
      <c r="E858" t="s">
        <v>2589</v>
      </c>
      <c r="F858" t="s">
        <v>290</v>
      </c>
      <c r="G858" t="s">
        <v>2579</v>
      </c>
      <c r="H858" t="s">
        <v>199</v>
      </c>
      <c r="I858" t="s">
        <v>233</v>
      </c>
      <c r="K858" t="s">
        <v>234</v>
      </c>
      <c r="N858" t="s">
        <v>28</v>
      </c>
      <c r="Q858" t="s">
        <v>61</v>
      </c>
      <c r="V858">
        <v>1</v>
      </c>
    </row>
    <row r="859" spans="4:22" x14ac:dyDescent="0.45">
      <c r="D859" t="s">
        <v>1118</v>
      </c>
      <c r="E859" t="s">
        <v>2590</v>
      </c>
      <c r="F859" t="s">
        <v>290</v>
      </c>
      <c r="G859" t="s">
        <v>2591</v>
      </c>
      <c r="H859" t="s">
        <v>199</v>
      </c>
      <c r="I859" t="s">
        <v>235</v>
      </c>
      <c r="K859" t="s">
        <v>236</v>
      </c>
      <c r="Q859" t="s">
        <v>60</v>
      </c>
      <c r="V859">
        <v>1</v>
      </c>
    </row>
    <row r="860" spans="4:22" x14ac:dyDescent="0.45">
      <c r="D860" t="s">
        <v>1119</v>
      </c>
      <c r="E860" t="s">
        <v>2592</v>
      </c>
      <c r="F860" t="s">
        <v>290</v>
      </c>
      <c r="G860" t="s">
        <v>2593</v>
      </c>
      <c r="H860" t="s">
        <v>199</v>
      </c>
      <c r="I860" t="s">
        <v>235</v>
      </c>
      <c r="K860" t="s">
        <v>236</v>
      </c>
      <c r="Q860" t="s">
        <v>61</v>
      </c>
      <c r="V860">
        <v>1</v>
      </c>
    </row>
    <row r="861" spans="4:22" x14ac:dyDescent="0.45">
      <c r="D861" t="s">
        <v>1120</v>
      </c>
      <c r="E861" t="s">
        <v>2594</v>
      </c>
      <c r="F861" t="s">
        <v>290</v>
      </c>
      <c r="G861" t="s">
        <v>2595</v>
      </c>
      <c r="H861" t="s">
        <v>199</v>
      </c>
      <c r="I861" t="s">
        <v>235</v>
      </c>
      <c r="K861" t="s">
        <v>236</v>
      </c>
      <c r="V861">
        <v>1</v>
      </c>
    </row>
    <row r="862" spans="4:22" x14ac:dyDescent="0.45">
      <c r="D862" t="s">
        <v>1121</v>
      </c>
      <c r="E862" t="s">
        <v>2596</v>
      </c>
      <c r="F862" t="s">
        <v>290</v>
      </c>
      <c r="G862" t="s">
        <v>2595</v>
      </c>
      <c r="H862" t="s">
        <v>199</v>
      </c>
      <c r="I862" t="s">
        <v>235</v>
      </c>
      <c r="K862" t="s">
        <v>236</v>
      </c>
      <c r="Q862" t="s">
        <v>46</v>
      </c>
      <c r="V862">
        <v>1</v>
      </c>
    </row>
    <row r="863" spans="4:22" x14ac:dyDescent="0.45">
      <c r="D863" t="s">
        <v>1122</v>
      </c>
      <c r="E863" t="s">
        <v>2597</v>
      </c>
      <c r="F863" t="s">
        <v>290</v>
      </c>
      <c r="G863" t="s">
        <v>2595</v>
      </c>
      <c r="H863" t="s">
        <v>199</v>
      </c>
      <c r="I863" t="s">
        <v>235</v>
      </c>
      <c r="K863" t="s">
        <v>236</v>
      </c>
      <c r="Q863" t="s">
        <v>46</v>
      </c>
      <c r="V863">
        <v>1</v>
      </c>
    </row>
    <row r="864" spans="4:22" x14ac:dyDescent="0.45">
      <c r="D864" t="s">
        <v>1123</v>
      </c>
      <c r="E864" t="s">
        <v>2598</v>
      </c>
      <c r="F864" t="s">
        <v>290</v>
      </c>
      <c r="G864" t="s">
        <v>2595</v>
      </c>
      <c r="H864" t="s">
        <v>199</v>
      </c>
      <c r="I864" t="s">
        <v>235</v>
      </c>
      <c r="K864" t="s">
        <v>236</v>
      </c>
      <c r="Q864" t="s">
        <v>46</v>
      </c>
      <c r="V864">
        <v>1</v>
      </c>
    </row>
    <row r="865" spans="4:22" x14ac:dyDescent="0.45">
      <c r="D865" t="s">
        <v>1124</v>
      </c>
      <c r="E865" t="s">
        <v>2599</v>
      </c>
      <c r="F865" t="s">
        <v>290</v>
      </c>
      <c r="G865" t="s">
        <v>2595</v>
      </c>
      <c r="H865" t="s">
        <v>199</v>
      </c>
      <c r="I865" t="s">
        <v>235</v>
      </c>
      <c r="K865" t="s">
        <v>236</v>
      </c>
      <c r="Q865" t="s">
        <v>46</v>
      </c>
      <c r="V865">
        <v>1</v>
      </c>
    </row>
    <row r="866" spans="4:22" x14ac:dyDescent="0.45">
      <c r="D866" t="s">
        <v>1125</v>
      </c>
      <c r="E866" t="s">
        <v>2600</v>
      </c>
      <c r="F866" t="s">
        <v>290</v>
      </c>
      <c r="G866" t="s">
        <v>2595</v>
      </c>
      <c r="H866" t="s">
        <v>199</v>
      </c>
      <c r="I866" t="s">
        <v>235</v>
      </c>
      <c r="K866" t="s">
        <v>236</v>
      </c>
      <c r="Q866" t="s">
        <v>46</v>
      </c>
      <c r="V866">
        <v>1</v>
      </c>
    </row>
    <row r="867" spans="4:22" x14ac:dyDescent="0.45">
      <c r="D867" t="s">
        <v>1126</v>
      </c>
      <c r="E867" t="s">
        <v>2601</v>
      </c>
      <c r="F867" t="s">
        <v>290</v>
      </c>
      <c r="G867" t="s">
        <v>2602</v>
      </c>
      <c r="H867" t="s">
        <v>199</v>
      </c>
      <c r="I867" t="s">
        <v>235</v>
      </c>
      <c r="K867" t="s">
        <v>236</v>
      </c>
      <c r="Q867" t="s">
        <v>60</v>
      </c>
      <c r="V867">
        <v>2</v>
      </c>
    </row>
    <row r="868" spans="4:22" x14ac:dyDescent="0.45">
      <c r="D868" t="s">
        <v>1127</v>
      </c>
      <c r="E868" t="s">
        <v>2603</v>
      </c>
      <c r="F868" t="s">
        <v>290</v>
      </c>
      <c r="G868" t="s">
        <v>2604</v>
      </c>
      <c r="H868" t="s">
        <v>199</v>
      </c>
      <c r="I868" t="s">
        <v>235</v>
      </c>
      <c r="K868" t="s">
        <v>236</v>
      </c>
      <c r="Q868" t="s">
        <v>61</v>
      </c>
      <c r="V868">
        <v>2</v>
      </c>
    </row>
    <row r="869" spans="4:22" x14ac:dyDescent="0.45">
      <c r="D869" t="s">
        <v>1128</v>
      </c>
      <c r="E869" t="s">
        <v>2605</v>
      </c>
      <c r="F869" t="s">
        <v>290</v>
      </c>
      <c r="G869" t="s">
        <v>2606</v>
      </c>
      <c r="H869" t="s">
        <v>199</v>
      </c>
      <c r="I869" t="s">
        <v>235</v>
      </c>
      <c r="K869" t="s">
        <v>236</v>
      </c>
      <c r="V869">
        <v>2</v>
      </c>
    </row>
    <row r="870" spans="4:22" x14ac:dyDescent="0.45">
      <c r="D870" t="s">
        <v>1129</v>
      </c>
      <c r="E870" t="s">
        <v>2607</v>
      </c>
      <c r="F870" t="s">
        <v>290</v>
      </c>
      <c r="G870" t="s">
        <v>2606</v>
      </c>
      <c r="H870" t="s">
        <v>199</v>
      </c>
      <c r="I870" t="s">
        <v>235</v>
      </c>
      <c r="K870" t="s">
        <v>236</v>
      </c>
      <c r="Q870" t="s">
        <v>46</v>
      </c>
      <c r="V870">
        <v>2</v>
      </c>
    </row>
    <row r="871" spans="4:22" x14ac:dyDescent="0.45">
      <c r="D871" t="s">
        <v>1130</v>
      </c>
      <c r="E871" t="s">
        <v>2608</v>
      </c>
      <c r="F871" t="s">
        <v>290</v>
      </c>
      <c r="G871" t="s">
        <v>2606</v>
      </c>
      <c r="H871" t="s">
        <v>199</v>
      </c>
      <c r="I871" t="s">
        <v>235</v>
      </c>
      <c r="K871" t="s">
        <v>236</v>
      </c>
      <c r="Q871" t="s">
        <v>46</v>
      </c>
      <c r="V871">
        <v>2</v>
      </c>
    </row>
    <row r="872" spans="4:22" x14ac:dyDescent="0.45">
      <c r="D872" t="s">
        <v>1131</v>
      </c>
      <c r="E872" t="s">
        <v>2609</v>
      </c>
      <c r="F872" t="s">
        <v>290</v>
      </c>
      <c r="G872" t="s">
        <v>2606</v>
      </c>
      <c r="H872" t="s">
        <v>199</v>
      </c>
      <c r="I872" t="s">
        <v>235</v>
      </c>
      <c r="K872" t="s">
        <v>236</v>
      </c>
      <c r="Q872" t="s">
        <v>46</v>
      </c>
      <c r="V872">
        <v>2</v>
      </c>
    </row>
    <row r="873" spans="4:22" x14ac:dyDescent="0.45">
      <c r="D873" t="s">
        <v>1132</v>
      </c>
      <c r="E873" t="s">
        <v>2610</v>
      </c>
      <c r="F873" t="s">
        <v>290</v>
      </c>
      <c r="G873" t="s">
        <v>2606</v>
      </c>
      <c r="H873" t="s">
        <v>199</v>
      </c>
      <c r="I873" t="s">
        <v>235</v>
      </c>
      <c r="K873" t="s">
        <v>236</v>
      </c>
      <c r="Q873" t="s">
        <v>46</v>
      </c>
      <c r="V873">
        <v>2</v>
      </c>
    </row>
    <row r="874" spans="4:22" x14ac:dyDescent="0.45">
      <c r="D874" t="s">
        <v>1133</v>
      </c>
      <c r="E874" t="s">
        <v>2611</v>
      </c>
      <c r="F874" t="s">
        <v>290</v>
      </c>
      <c r="G874" t="s">
        <v>2606</v>
      </c>
      <c r="H874" t="s">
        <v>199</v>
      </c>
      <c r="I874" t="s">
        <v>235</v>
      </c>
      <c r="K874" t="s">
        <v>236</v>
      </c>
      <c r="Q874" t="s">
        <v>46</v>
      </c>
      <c r="V874">
        <v>2</v>
      </c>
    </row>
    <row r="875" spans="4:22" x14ac:dyDescent="0.45">
      <c r="G875" t="s">
        <v>18</v>
      </c>
      <c r="H875" t="s">
        <v>18</v>
      </c>
      <c r="J875" t="s">
        <v>18</v>
      </c>
      <c r="P875" t="s">
        <v>18</v>
      </c>
      <c r="U875" t="s">
        <v>18</v>
      </c>
    </row>
    <row r="876" spans="4:22" x14ac:dyDescent="0.45">
      <c r="D876" t="s">
        <v>1134</v>
      </c>
      <c r="E876" t="s">
        <v>2612</v>
      </c>
      <c r="F876" t="s">
        <v>290</v>
      </c>
      <c r="G876" t="s">
        <v>2613</v>
      </c>
      <c r="H876" t="s">
        <v>19</v>
      </c>
      <c r="I876" t="s">
        <v>237</v>
      </c>
      <c r="J876" t="s">
        <v>18</v>
      </c>
      <c r="K876" t="s">
        <v>102</v>
      </c>
      <c r="N876" t="s">
        <v>46</v>
      </c>
      <c r="P876" t="s">
        <v>46</v>
      </c>
      <c r="Q876" t="s">
        <v>60</v>
      </c>
      <c r="R876" t="s">
        <v>194</v>
      </c>
      <c r="U876" t="s">
        <v>194</v>
      </c>
      <c r="V876">
        <v>1</v>
      </c>
    </row>
    <row r="877" spans="4:22" x14ac:dyDescent="0.45">
      <c r="D877" t="s">
        <v>1135</v>
      </c>
      <c r="E877" t="s">
        <v>2614</v>
      </c>
      <c r="F877" t="s">
        <v>290</v>
      </c>
      <c r="G877" t="s">
        <v>2615</v>
      </c>
      <c r="H877" t="s">
        <v>19</v>
      </c>
      <c r="I877" t="s">
        <v>237</v>
      </c>
      <c r="J877" t="s">
        <v>18</v>
      </c>
      <c r="K877" t="s">
        <v>102</v>
      </c>
      <c r="N877" t="s">
        <v>46</v>
      </c>
      <c r="P877" t="s">
        <v>46</v>
      </c>
      <c r="Q877" t="s">
        <v>61</v>
      </c>
      <c r="R877" t="s">
        <v>194</v>
      </c>
      <c r="U877" t="s">
        <v>194</v>
      </c>
      <c r="V877">
        <v>1</v>
      </c>
    </row>
    <row r="878" spans="4:22" x14ac:dyDescent="0.45">
      <c r="D878" t="s">
        <v>1136</v>
      </c>
      <c r="E878" t="s">
        <v>2616</v>
      </c>
      <c r="F878" t="s">
        <v>290</v>
      </c>
      <c r="G878" t="s">
        <v>2617</v>
      </c>
      <c r="H878" t="s">
        <v>19</v>
      </c>
      <c r="I878" t="s">
        <v>237</v>
      </c>
      <c r="J878" t="s">
        <v>18</v>
      </c>
      <c r="K878" t="s">
        <v>102</v>
      </c>
      <c r="N878" t="s">
        <v>46</v>
      </c>
      <c r="P878" t="s">
        <v>46</v>
      </c>
      <c r="Q878" t="s">
        <v>63</v>
      </c>
      <c r="R878" t="s">
        <v>194</v>
      </c>
      <c r="U878" t="s">
        <v>194</v>
      </c>
      <c r="V878">
        <v>1</v>
      </c>
    </row>
    <row r="879" spans="4:22" x14ac:dyDescent="0.45">
      <c r="D879" t="s">
        <v>1137</v>
      </c>
      <c r="E879" t="s">
        <v>2618</v>
      </c>
      <c r="F879" t="s">
        <v>290</v>
      </c>
      <c r="G879" t="s">
        <v>2619</v>
      </c>
      <c r="H879" t="s">
        <v>19</v>
      </c>
      <c r="I879" t="s">
        <v>237</v>
      </c>
      <c r="J879" t="s">
        <v>18</v>
      </c>
      <c r="K879" t="s">
        <v>102</v>
      </c>
      <c r="N879" t="s">
        <v>46</v>
      </c>
      <c r="P879" t="s">
        <v>46</v>
      </c>
      <c r="Q879" t="s">
        <v>64</v>
      </c>
      <c r="R879" t="s">
        <v>194</v>
      </c>
      <c r="U879" t="s">
        <v>194</v>
      </c>
      <c r="V879">
        <v>1</v>
      </c>
    </row>
    <row r="880" spans="4:22" x14ac:dyDescent="0.45">
      <c r="D880" t="s">
        <v>1138</v>
      </c>
      <c r="E880" t="s">
        <v>2620</v>
      </c>
      <c r="F880" t="s">
        <v>290</v>
      </c>
      <c r="G880" t="s">
        <v>2621</v>
      </c>
      <c r="H880" t="s">
        <v>19</v>
      </c>
      <c r="I880" t="s">
        <v>237</v>
      </c>
      <c r="J880" t="s">
        <v>18</v>
      </c>
      <c r="K880" t="s">
        <v>102</v>
      </c>
      <c r="N880" t="s">
        <v>46</v>
      </c>
      <c r="P880" t="s">
        <v>46</v>
      </c>
      <c r="Q880" t="s">
        <v>65</v>
      </c>
      <c r="R880" t="s">
        <v>194</v>
      </c>
      <c r="U880" t="s">
        <v>194</v>
      </c>
      <c r="V880">
        <v>1</v>
      </c>
    </row>
    <row r="881" spans="4:22" x14ac:dyDescent="0.45">
      <c r="D881" t="s">
        <v>1139</v>
      </c>
      <c r="E881" t="s">
        <v>2622</v>
      </c>
      <c r="F881" t="s">
        <v>290</v>
      </c>
      <c r="G881" t="s">
        <v>2623</v>
      </c>
      <c r="H881" t="s">
        <v>19</v>
      </c>
      <c r="I881" t="s">
        <v>237</v>
      </c>
      <c r="J881" t="s">
        <v>18</v>
      </c>
      <c r="K881" t="s">
        <v>102</v>
      </c>
      <c r="N881" t="s">
        <v>46</v>
      </c>
      <c r="P881" t="s">
        <v>46</v>
      </c>
      <c r="Q881" t="s">
        <v>66</v>
      </c>
      <c r="R881" t="s">
        <v>194</v>
      </c>
      <c r="U881" t="s">
        <v>194</v>
      </c>
      <c r="V881">
        <v>1</v>
      </c>
    </row>
    <row r="882" spans="4:22" x14ac:dyDescent="0.45">
      <c r="G882" t="s">
        <v>18</v>
      </c>
      <c r="H882" t="s">
        <v>18</v>
      </c>
      <c r="J882" t="s">
        <v>18</v>
      </c>
      <c r="P882" t="s">
        <v>18</v>
      </c>
      <c r="U882" t="s">
        <v>18</v>
      </c>
    </row>
    <row r="883" spans="4:22" x14ac:dyDescent="0.45">
      <c r="D883" t="s">
        <v>1140</v>
      </c>
      <c r="E883" t="s">
        <v>2624</v>
      </c>
      <c r="F883" t="s">
        <v>290</v>
      </c>
      <c r="G883" t="s">
        <v>2625</v>
      </c>
      <c r="H883" t="s">
        <v>238</v>
      </c>
      <c r="I883" t="s">
        <v>239</v>
      </c>
      <c r="J883" t="s">
        <v>18</v>
      </c>
      <c r="P883" t="s">
        <v>18</v>
      </c>
      <c r="U883" t="s">
        <v>18</v>
      </c>
      <c r="V883">
        <v>1</v>
      </c>
    </row>
    <row r="884" spans="4:22" x14ac:dyDescent="0.45">
      <c r="D884" t="s">
        <v>1141</v>
      </c>
      <c r="E884" t="s">
        <v>2626</v>
      </c>
      <c r="F884" t="s">
        <v>290</v>
      </c>
      <c r="G884" t="s">
        <v>2625</v>
      </c>
      <c r="H884" t="s">
        <v>238</v>
      </c>
      <c r="I884" t="s">
        <v>239</v>
      </c>
      <c r="J884" t="s">
        <v>18</v>
      </c>
      <c r="P884" t="s">
        <v>18</v>
      </c>
      <c r="U884" t="s">
        <v>18</v>
      </c>
      <c r="V884">
        <v>1</v>
      </c>
    </row>
    <row r="885" spans="4:22" x14ac:dyDescent="0.45">
      <c r="D885" t="s">
        <v>1142</v>
      </c>
      <c r="E885" t="s">
        <v>2627</v>
      </c>
      <c r="F885" t="s">
        <v>290</v>
      </c>
      <c r="G885" t="s">
        <v>2628</v>
      </c>
      <c r="H885" t="s">
        <v>238</v>
      </c>
      <c r="I885" t="s">
        <v>239</v>
      </c>
      <c r="J885" t="s">
        <v>18</v>
      </c>
      <c r="P885" t="s">
        <v>18</v>
      </c>
      <c r="U885" t="s">
        <v>18</v>
      </c>
      <c r="V885">
        <v>2</v>
      </c>
    </row>
    <row r="886" spans="4:22" x14ac:dyDescent="0.45">
      <c r="D886" t="s">
        <v>1143</v>
      </c>
      <c r="E886" t="s">
        <v>2629</v>
      </c>
      <c r="F886" t="s">
        <v>290</v>
      </c>
      <c r="G886" t="s">
        <v>2630</v>
      </c>
      <c r="H886" t="s">
        <v>238</v>
      </c>
      <c r="I886" t="s">
        <v>240</v>
      </c>
      <c r="J886" t="s">
        <v>18</v>
      </c>
      <c r="P886" t="s">
        <v>18</v>
      </c>
      <c r="U886" t="s">
        <v>18</v>
      </c>
      <c r="V886">
        <v>1</v>
      </c>
    </row>
    <row r="887" spans="4:22" x14ac:dyDescent="0.45">
      <c r="D887" t="s">
        <v>1144</v>
      </c>
      <c r="E887" t="s">
        <v>2631</v>
      </c>
      <c r="F887" t="s">
        <v>290</v>
      </c>
      <c r="G887" t="s">
        <v>2632</v>
      </c>
      <c r="H887" t="s">
        <v>238</v>
      </c>
      <c r="I887" t="s">
        <v>240</v>
      </c>
      <c r="J887" t="s">
        <v>18</v>
      </c>
      <c r="P887" t="s">
        <v>18</v>
      </c>
      <c r="U887" t="s">
        <v>18</v>
      </c>
      <c r="V887">
        <v>2</v>
      </c>
    </row>
    <row r="888" spans="4:22" x14ac:dyDescent="0.45">
      <c r="D888" t="s">
        <v>1145</v>
      </c>
      <c r="E888" t="s">
        <v>2633</v>
      </c>
      <c r="F888" t="s">
        <v>290</v>
      </c>
      <c r="G888" t="s">
        <v>2634</v>
      </c>
      <c r="H888" t="s">
        <v>238</v>
      </c>
      <c r="I888" t="s">
        <v>241</v>
      </c>
      <c r="J888" t="s">
        <v>18</v>
      </c>
      <c r="P888" t="s">
        <v>18</v>
      </c>
      <c r="U888" t="s">
        <v>18</v>
      </c>
      <c r="V888">
        <v>1</v>
      </c>
    </row>
    <row r="889" spans="4:22" x14ac:dyDescent="0.45">
      <c r="D889" t="s">
        <v>1146</v>
      </c>
      <c r="E889" t="s">
        <v>2635</v>
      </c>
      <c r="F889" t="s">
        <v>290</v>
      </c>
      <c r="G889" t="s">
        <v>2636</v>
      </c>
      <c r="H889" t="s">
        <v>238</v>
      </c>
      <c r="I889" t="s">
        <v>241</v>
      </c>
      <c r="J889" t="s">
        <v>18</v>
      </c>
      <c r="P889" t="s">
        <v>18</v>
      </c>
      <c r="U889" t="s">
        <v>18</v>
      </c>
      <c r="V889">
        <v>2</v>
      </c>
    </row>
    <row r="890" spans="4:22" x14ac:dyDescent="0.45">
      <c r="D890" t="s">
        <v>1147</v>
      </c>
      <c r="E890" t="s">
        <v>2637</v>
      </c>
      <c r="F890" t="s">
        <v>290</v>
      </c>
      <c r="G890" t="s">
        <v>2638</v>
      </c>
      <c r="H890" t="s">
        <v>238</v>
      </c>
      <c r="I890" t="s">
        <v>242</v>
      </c>
      <c r="J890" t="s">
        <v>18</v>
      </c>
      <c r="P890" t="s">
        <v>18</v>
      </c>
      <c r="Q890" t="s">
        <v>63</v>
      </c>
      <c r="U890" t="s">
        <v>18</v>
      </c>
      <c r="V890">
        <v>1</v>
      </c>
    </row>
    <row r="891" spans="4:22" x14ac:dyDescent="0.45">
      <c r="D891" t="s">
        <v>1148</v>
      </c>
      <c r="E891" t="s">
        <v>2639</v>
      </c>
      <c r="F891" t="s">
        <v>290</v>
      </c>
      <c r="G891" t="s">
        <v>2640</v>
      </c>
      <c r="H891" t="s">
        <v>238</v>
      </c>
      <c r="I891" t="s">
        <v>242</v>
      </c>
      <c r="J891" t="s">
        <v>18</v>
      </c>
      <c r="P891" t="s">
        <v>18</v>
      </c>
      <c r="Q891" t="s">
        <v>64</v>
      </c>
      <c r="U891" t="s">
        <v>18</v>
      </c>
      <c r="V891">
        <v>1</v>
      </c>
    </row>
    <row r="892" spans="4:22" x14ac:dyDescent="0.45">
      <c r="D892" t="s">
        <v>1149</v>
      </c>
      <c r="E892" t="s">
        <v>2641</v>
      </c>
      <c r="F892" t="s">
        <v>290</v>
      </c>
      <c r="G892" t="s">
        <v>2642</v>
      </c>
      <c r="H892" t="s">
        <v>238</v>
      </c>
      <c r="I892" t="s">
        <v>243</v>
      </c>
      <c r="J892" t="s">
        <v>18</v>
      </c>
      <c r="P892" t="s">
        <v>18</v>
      </c>
      <c r="Q892" t="s">
        <v>63</v>
      </c>
      <c r="U892" t="s">
        <v>18</v>
      </c>
      <c r="V892">
        <v>1</v>
      </c>
    </row>
    <row r="893" spans="4:22" x14ac:dyDescent="0.45">
      <c r="D893" t="s">
        <v>1150</v>
      </c>
      <c r="E893" t="s">
        <v>2643</v>
      </c>
      <c r="F893" t="s">
        <v>290</v>
      </c>
      <c r="G893" t="s">
        <v>2644</v>
      </c>
      <c r="H893" t="s">
        <v>238</v>
      </c>
      <c r="I893" t="s">
        <v>243</v>
      </c>
      <c r="J893" t="s">
        <v>18</v>
      </c>
      <c r="P893" t="s">
        <v>18</v>
      </c>
      <c r="Q893" t="s">
        <v>64</v>
      </c>
      <c r="U893" t="s">
        <v>18</v>
      </c>
      <c r="V893">
        <v>1</v>
      </c>
    </row>
    <row r="894" spans="4:22" x14ac:dyDescent="0.45">
      <c r="D894" t="s">
        <v>1151</v>
      </c>
      <c r="E894" t="s">
        <v>2645</v>
      </c>
      <c r="F894" t="s">
        <v>290</v>
      </c>
      <c r="G894" t="s">
        <v>2646</v>
      </c>
      <c r="H894" t="s">
        <v>238</v>
      </c>
      <c r="I894" t="s">
        <v>244</v>
      </c>
      <c r="J894" t="s">
        <v>18</v>
      </c>
      <c r="P894" t="s">
        <v>18</v>
      </c>
      <c r="Q894" t="s">
        <v>245</v>
      </c>
      <c r="U894" t="s">
        <v>18</v>
      </c>
      <c r="V894">
        <v>1</v>
      </c>
    </row>
    <row r="895" spans="4:22" x14ac:dyDescent="0.45">
      <c r="D895" t="s">
        <v>1152</v>
      </c>
      <c r="E895" t="s">
        <v>2647</v>
      </c>
      <c r="F895" t="s">
        <v>290</v>
      </c>
      <c r="G895" t="s">
        <v>2648</v>
      </c>
      <c r="H895" t="s">
        <v>238</v>
      </c>
      <c r="I895" t="s">
        <v>244</v>
      </c>
      <c r="J895" t="s">
        <v>18</v>
      </c>
      <c r="P895" t="s">
        <v>18</v>
      </c>
      <c r="Q895" t="s">
        <v>64</v>
      </c>
      <c r="U895" t="s">
        <v>18</v>
      </c>
      <c r="V895">
        <v>1</v>
      </c>
    </row>
    <row r="896" spans="4:22" x14ac:dyDescent="0.45">
      <c r="G896" t="s">
        <v>18</v>
      </c>
      <c r="H896" t="s">
        <v>18</v>
      </c>
      <c r="J896" t="s">
        <v>18</v>
      </c>
      <c r="P896" t="s">
        <v>18</v>
      </c>
      <c r="U896" t="s">
        <v>18</v>
      </c>
    </row>
    <row r="897" spans="4:21" x14ac:dyDescent="0.45">
      <c r="D897" t="s">
        <v>2649</v>
      </c>
      <c r="E897" t="s">
        <v>2650</v>
      </c>
      <c r="F897" t="s">
        <v>290</v>
      </c>
      <c r="G897" t="s">
        <v>2651</v>
      </c>
      <c r="H897" t="s">
        <v>19</v>
      </c>
      <c r="I897" t="s">
        <v>246</v>
      </c>
      <c r="J897" t="s">
        <v>18</v>
      </c>
      <c r="K897" t="s">
        <v>195</v>
      </c>
      <c r="P897" t="s">
        <v>18</v>
      </c>
      <c r="R897" t="s">
        <v>194</v>
      </c>
      <c r="T897" t="s">
        <v>247</v>
      </c>
      <c r="U897" t="s">
        <v>2652</v>
      </c>
    </row>
    <row r="898" spans="4:21" x14ac:dyDescent="0.45">
      <c r="D898" t="s">
        <v>2653</v>
      </c>
      <c r="E898" t="s">
        <v>2654</v>
      </c>
      <c r="F898" t="s">
        <v>290</v>
      </c>
      <c r="G898" t="s">
        <v>2655</v>
      </c>
      <c r="H898" t="s">
        <v>19</v>
      </c>
      <c r="I898" t="s">
        <v>246</v>
      </c>
      <c r="J898" t="s">
        <v>18</v>
      </c>
      <c r="K898" t="s">
        <v>195</v>
      </c>
      <c r="P898" t="s">
        <v>18</v>
      </c>
      <c r="R898" t="s">
        <v>194</v>
      </c>
      <c r="T898" t="s">
        <v>199</v>
      </c>
      <c r="U898" t="s">
        <v>2656</v>
      </c>
    </row>
    <row r="899" spans="4:21" x14ac:dyDescent="0.45">
      <c r="D899" t="s">
        <v>2657</v>
      </c>
      <c r="E899" t="s">
        <v>2658</v>
      </c>
      <c r="F899" t="s">
        <v>290</v>
      </c>
      <c r="G899" t="s">
        <v>2659</v>
      </c>
      <c r="H899" t="s">
        <v>19</v>
      </c>
      <c r="I899" t="s">
        <v>246</v>
      </c>
      <c r="J899" t="s">
        <v>18</v>
      </c>
      <c r="K899" t="s">
        <v>195</v>
      </c>
      <c r="P899" t="s">
        <v>18</v>
      </c>
      <c r="R899" t="s">
        <v>194</v>
      </c>
      <c r="T899" t="s">
        <v>248</v>
      </c>
      <c r="U899" t="s">
        <v>2660</v>
      </c>
    </row>
    <row r="900" spans="4:21" x14ac:dyDescent="0.45">
      <c r="D900" t="s">
        <v>2661</v>
      </c>
      <c r="E900" t="s">
        <v>2662</v>
      </c>
      <c r="F900" t="s">
        <v>290</v>
      </c>
      <c r="G900" t="s">
        <v>2663</v>
      </c>
      <c r="H900" t="s">
        <v>19</v>
      </c>
      <c r="I900" t="s">
        <v>246</v>
      </c>
      <c r="J900" t="s">
        <v>18</v>
      </c>
      <c r="K900" t="s">
        <v>195</v>
      </c>
      <c r="P900" t="s">
        <v>18</v>
      </c>
      <c r="R900" t="s">
        <v>194</v>
      </c>
      <c r="T900" t="s">
        <v>249</v>
      </c>
      <c r="U900" t="s">
        <v>2664</v>
      </c>
    </row>
    <row r="901" spans="4:21" x14ac:dyDescent="0.45">
      <c r="D901" t="s">
        <v>2665</v>
      </c>
      <c r="E901" t="s">
        <v>2666</v>
      </c>
      <c r="F901" t="s">
        <v>290</v>
      </c>
      <c r="G901" t="s">
        <v>2667</v>
      </c>
      <c r="H901" t="s">
        <v>19</v>
      </c>
      <c r="I901" t="s">
        <v>246</v>
      </c>
      <c r="J901" t="s">
        <v>18</v>
      </c>
      <c r="K901" t="s">
        <v>195</v>
      </c>
      <c r="N901" t="s">
        <v>37</v>
      </c>
      <c r="P901" t="s">
        <v>37</v>
      </c>
      <c r="R901" t="s">
        <v>194</v>
      </c>
      <c r="T901" t="s">
        <v>250</v>
      </c>
      <c r="U901" t="s">
        <v>2668</v>
      </c>
    </row>
    <row r="902" spans="4:21" x14ac:dyDescent="0.45">
      <c r="D902" t="s">
        <v>2669</v>
      </c>
      <c r="E902" t="s">
        <v>2670</v>
      </c>
      <c r="F902" t="s">
        <v>290</v>
      </c>
      <c r="G902" t="s">
        <v>2671</v>
      </c>
      <c r="H902" t="s">
        <v>19</v>
      </c>
      <c r="I902" t="s">
        <v>246</v>
      </c>
      <c r="J902" t="s">
        <v>18</v>
      </c>
      <c r="K902" t="s">
        <v>21</v>
      </c>
      <c r="P902" t="s">
        <v>18</v>
      </c>
      <c r="R902" t="s">
        <v>194</v>
      </c>
      <c r="T902" t="s">
        <v>37</v>
      </c>
      <c r="U902" t="s">
        <v>2672</v>
      </c>
    </row>
    <row r="903" spans="4:21" x14ac:dyDescent="0.45">
      <c r="D903" t="s">
        <v>2673</v>
      </c>
      <c r="E903" t="s">
        <v>2674</v>
      </c>
      <c r="F903" t="s">
        <v>290</v>
      </c>
      <c r="G903" t="s">
        <v>2675</v>
      </c>
      <c r="H903" t="s">
        <v>19</v>
      </c>
      <c r="I903" t="s">
        <v>246</v>
      </c>
      <c r="J903" t="s">
        <v>18</v>
      </c>
      <c r="K903" t="s">
        <v>21</v>
      </c>
      <c r="P903" t="s">
        <v>18</v>
      </c>
      <c r="R903" t="s">
        <v>194</v>
      </c>
      <c r="T903" t="s">
        <v>248</v>
      </c>
      <c r="U903" t="s">
        <v>2660</v>
      </c>
    </row>
    <row r="904" spans="4:21" x14ac:dyDescent="0.45">
      <c r="D904" t="s">
        <v>2676</v>
      </c>
      <c r="E904" t="s">
        <v>2677</v>
      </c>
      <c r="F904" t="s">
        <v>290</v>
      </c>
      <c r="G904" t="s">
        <v>2678</v>
      </c>
      <c r="H904" t="s">
        <v>19</v>
      </c>
      <c r="I904" t="s">
        <v>246</v>
      </c>
      <c r="J904" t="s">
        <v>18</v>
      </c>
      <c r="K904" t="s">
        <v>21</v>
      </c>
      <c r="P904" t="s">
        <v>18</v>
      </c>
      <c r="R904" t="s">
        <v>194</v>
      </c>
      <c r="T904" t="s">
        <v>251</v>
      </c>
      <c r="U904" t="s">
        <v>2679</v>
      </c>
    </row>
    <row r="905" spans="4:21" x14ac:dyDescent="0.45">
      <c r="D905" t="s">
        <v>2680</v>
      </c>
      <c r="E905" t="s">
        <v>2681</v>
      </c>
      <c r="F905" t="s">
        <v>290</v>
      </c>
      <c r="G905" t="s">
        <v>2682</v>
      </c>
      <c r="H905" t="s">
        <v>19</v>
      </c>
      <c r="I905" t="s">
        <v>246</v>
      </c>
      <c r="J905" t="s">
        <v>18</v>
      </c>
      <c r="K905" t="s">
        <v>21</v>
      </c>
      <c r="P905" t="s">
        <v>18</v>
      </c>
      <c r="R905" t="s">
        <v>194</v>
      </c>
      <c r="T905" t="s">
        <v>249</v>
      </c>
      <c r="U905" t="s">
        <v>2664</v>
      </c>
    </row>
    <row r="906" spans="4:21" x14ac:dyDescent="0.45">
      <c r="D906" t="s">
        <v>2683</v>
      </c>
      <c r="E906" t="s">
        <v>2684</v>
      </c>
      <c r="F906" t="s">
        <v>290</v>
      </c>
      <c r="G906" t="s">
        <v>2685</v>
      </c>
      <c r="H906" t="s">
        <v>19</v>
      </c>
      <c r="I906" t="s">
        <v>246</v>
      </c>
      <c r="J906" t="s">
        <v>18</v>
      </c>
      <c r="K906" t="s">
        <v>21</v>
      </c>
      <c r="P906" t="s">
        <v>18</v>
      </c>
      <c r="R906" t="s">
        <v>194</v>
      </c>
      <c r="T906" t="s">
        <v>250</v>
      </c>
      <c r="U906" t="s">
        <v>2668</v>
      </c>
    </row>
    <row r="907" spans="4:21" x14ac:dyDescent="0.45">
      <c r="D907" t="s">
        <v>2686</v>
      </c>
      <c r="E907" t="s">
        <v>2687</v>
      </c>
      <c r="F907" t="s">
        <v>290</v>
      </c>
      <c r="G907" t="s">
        <v>2671</v>
      </c>
      <c r="H907" t="s">
        <v>19</v>
      </c>
      <c r="I907" t="s">
        <v>246</v>
      </c>
      <c r="J907" t="s">
        <v>18</v>
      </c>
      <c r="K907" t="s">
        <v>21</v>
      </c>
      <c r="N907" t="s">
        <v>37</v>
      </c>
      <c r="P907" t="s">
        <v>37</v>
      </c>
      <c r="R907" t="s">
        <v>194</v>
      </c>
      <c r="T907" t="s">
        <v>37</v>
      </c>
      <c r="U907" t="s">
        <v>2672</v>
      </c>
    </row>
    <row r="908" spans="4:21" x14ac:dyDescent="0.45">
      <c r="F908" t="s">
        <v>252</v>
      </c>
      <c r="G908" t="s">
        <v>18</v>
      </c>
      <c r="H908" t="s">
        <v>18</v>
      </c>
      <c r="J908" t="s">
        <v>18</v>
      </c>
      <c r="P908" t="s">
        <v>18</v>
      </c>
      <c r="U908" t="s">
        <v>18</v>
      </c>
    </row>
    <row r="909" spans="4:21" x14ac:dyDescent="0.45">
      <c r="D909" t="s">
        <v>1153</v>
      </c>
      <c r="E909" t="s">
        <v>2688</v>
      </c>
      <c r="F909" t="s">
        <v>290</v>
      </c>
      <c r="G909" t="s">
        <v>2689</v>
      </c>
      <c r="H909" t="s">
        <v>253</v>
      </c>
      <c r="I909" t="s">
        <v>254</v>
      </c>
      <c r="J909" t="s">
        <v>18</v>
      </c>
      <c r="K909" t="s">
        <v>2690</v>
      </c>
      <c r="N909" t="s">
        <v>37</v>
      </c>
      <c r="P909" t="s">
        <v>37</v>
      </c>
      <c r="T909" t="s">
        <v>203</v>
      </c>
      <c r="U909" t="s">
        <v>203</v>
      </c>
    </row>
    <row r="910" spans="4:21" x14ac:dyDescent="0.45">
      <c r="D910" t="s">
        <v>1154</v>
      </c>
      <c r="E910" t="s">
        <v>2691</v>
      </c>
      <c r="F910" t="s">
        <v>290</v>
      </c>
      <c r="G910" t="s">
        <v>2692</v>
      </c>
      <c r="H910" t="s">
        <v>253</v>
      </c>
      <c r="I910" t="s">
        <v>254</v>
      </c>
      <c r="J910" t="s">
        <v>18</v>
      </c>
      <c r="K910" t="s">
        <v>2690</v>
      </c>
      <c r="N910" t="s">
        <v>37</v>
      </c>
      <c r="P910" t="s">
        <v>37</v>
      </c>
      <c r="T910" t="s">
        <v>201</v>
      </c>
      <c r="U910" t="s">
        <v>201</v>
      </c>
    </row>
    <row r="911" spans="4:21" x14ac:dyDescent="0.45">
      <c r="D911" t="s">
        <v>1155</v>
      </c>
      <c r="E911" t="s">
        <v>2693</v>
      </c>
      <c r="F911" t="s">
        <v>290</v>
      </c>
      <c r="G911" t="s">
        <v>2694</v>
      </c>
      <c r="H911" t="s">
        <v>253</v>
      </c>
      <c r="I911" t="s">
        <v>255</v>
      </c>
      <c r="J911" t="s">
        <v>18</v>
      </c>
      <c r="K911" t="s">
        <v>2690</v>
      </c>
      <c r="N911" t="s">
        <v>37</v>
      </c>
      <c r="P911" t="s">
        <v>37</v>
      </c>
      <c r="T911" t="s">
        <v>256</v>
      </c>
      <c r="U911" t="s">
        <v>256</v>
      </c>
    </row>
    <row r="912" spans="4:21" x14ac:dyDescent="0.45">
      <c r="D912" t="s">
        <v>1156</v>
      </c>
      <c r="E912" t="s">
        <v>2695</v>
      </c>
      <c r="F912" t="s">
        <v>290</v>
      </c>
      <c r="G912" t="s">
        <v>2694</v>
      </c>
      <c r="H912" t="s">
        <v>253</v>
      </c>
      <c r="I912" t="s">
        <v>255</v>
      </c>
      <c r="J912" t="s">
        <v>18</v>
      </c>
      <c r="K912" t="s">
        <v>2690</v>
      </c>
      <c r="N912" t="s">
        <v>60</v>
      </c>
      <c r="P912" t="s">
        <v>60</v>
      </c>
      <c r="T912" t="s">
        <v>256</v>
      </c>
      <c r="U912" t="s">
        <v>256</v>
      </c>
    </row>
    <row r="913" spans="4:21" x14ac:dyDescent="0.45">
      <c r="D913" t="s">
        <v>1157</v>
      </c>
      <c r="E913" t="s">
        <v>2696</v>
      </c>
      <c r="F913" t="s">
        <v>290</v>
      </c>
      <c r="G913" t="s">
        <v>2694</v>
      </c>
      <c r="H913" t="s">
        <v>253</v>
      </c>
      <c r="I913" t="s">
        <v>255</v>
      </c>
      <c r="J913" t="s">
        <v>18</v>
      </c>
      <c r="K913" t="s">
        <v>2690</v>
      </c>
      <c r="N913" t="s">
        <v>257</v>
      </c>
      <c r="P913" t="s">
        <v>257</v>
      </c>
      <c r="T913" t="s">
        <v>256</v>
      </c>
      <c r="U913" t="s">
        <v>256</v>
      </c>
    </row>
    <row r="914" spans="4:21" x14ac:dyDescent="0.45">
      <c r="D914" t="s">
        <v>1158</v>
      </c>
      <c r="E914" t="s">
        <v>2697</v>
      </c>
      <c r="F914" t="s">
        <v>290</v>
      </c>
      <c r="G914" t="s">
        <v>2694</v>
      </c>
      <c r="H914" t="s">
        <v>253</v>
      </c>
      <c r="I914" t="s">
        <v>255</v>
      </c>
      <c r="J914" t="s">
        <v>18</v>
      </c>
      <c r="K914" t="s">
        <v>2690</v>
      </c>
      <c r="N914" t="s">
        <v>61</v>
      </c>
      <c r="P914" t="s">
        <v>61</v>
      </c>
      <c r="T914" t="s">
        <v>256</v>
      </c>
      <c r="U914" t="s">
        <v>256</v>
      </c>
    </row>
    <row r="915" spans="4:21" x14ac:dyDescent="0.45">
      <c r="D915" t="s">
        <v>1159</v>
      </c>
      <c r="E915" t="s">
        <v>2698</v>
      </c>
      <c r="F915" t="s">
        <v>290</v>
      </c>
      <c r="G915" t="s">
        <v>2694</v>
      </c>
      <c r="H915" t="s">
        <v>253</v>
      </c>
      <c r="I915" t="s">
        <v>255</v>
      </c>
      <c r="J915" t="s">
        <v>18</v>
      </c>
      <c r="K915" t="s">
        <v>2690</v>
      </c>
      <c r="N915" t="s">
        <v>62</v>
      </c>
      <c r="P915" t="s">
        <v>62</v>
      </c>
      <c r="T915" t="s">
        <v>256</v>
      </c>
      <c r="U915" t="s">
        <v>256</v>
      </c>
    </row>
    <row r="916" spans="4:21" x14ac:dyDescent="0.45">
      <c r="D916" t="s">
        <v>1160</v>
      </c>
      <c r="E916" t="s">
        <v>2699</v>
      </c>
      <c r="F916" t="s">
        <v>290</v>
      </c>
      <c r="G916" t="s">
        <v>2694</v>
      </c>
      <c r="H916" t="s">
        <v>253</v>
      </c>
      <c r="I916" t="s">
        <v>255</v>
      </c>
      <c r="J916" t="s">
        <v>18</v>
      </c>
      <c r="K916" t="s">
        <v>2690</v>
      </c>
      <c r="N916" t="s">
        <v>63</v>
      </c>
      <c r="P916" t="s">
        <v>63</v>
      </c>
      <c r="T916" t="s">
        <v>256</v>
      </c>
      <c r="U916" t="s">
        <v>256</v>
      </c>
    </row>
    <row r="917" spans="4:21" x14ac:dyDescent="0.45">
      <c r="D917" t="s">
        <v>1161</v>
      </c>
      <c r="E917" t="s">
        <v>2700</v>
      </c>
      <c r="F917" t="s">
        <v>290</v>
      </c>
      <c r="G917" t="s">
        <v>2694</v>
      </c>
      <c r="H917" t="s">
        <v>253</v>
      </c>
      <c r="I917" t="s">
        <v>255</v>
      </c>
      <c r="J917" t="s">
        <v>18</v>
      </c>
      <c r="K917" t="s">
        <v>2690</v>
      </c>
      <c r="N917" t="s">
        <v>64</v>
      </c>
      <c r="P917" t="s">
        <v>64</v>
      </c>
      <c r="T917" t="s">
        <v>256</v>
      </c>
      <c r="U917" t="s">
        <v>256</v>
      </c>
    </row>
    <row r="918" spans="4:21" x14ac:dyDescent="0.45">
      <c r="D918" t="s">
        <v>1162</v>
      </c>
      <c r="E918" t="s">
        <v>2701</v>
      </c>
      <c r="F918" t="s">
        <v>290</v>
      </c>
      <c r="G918" t="s">
        <v>2694</v>
      </c>
      <c r="H918" t="s">
        <v>253</v>
      </c>
      <c r="I918" t="s">
        <v>255</v>
      </c>
      <c r="J918" t="s">
        <v>18</v>
      </c>
      <c r="K918" t="s">
        <v>2690</v>
      </c>
      <c r="N918" t="s">
        <v>66</v>
      </c>
      <c r="P918" t="s">
        <v>66</v>
      </c>
      <c r="T918" t="s">
        <v>256</v>
      </c>
      <c r="U918" t="s">
        <v>256</v>
      </c>
    </row>
    <row r="919" spans="4:21" x14ac:dyDescent="0.45">
      <c r="D919" t="s">
        <v>1163</v>
      </c>
      <c r="E919" t="s">
        <v>2702</v>
      </c>
      <c r="F919" t="s">
        <v>290</v>
      </c>
      <c r="G919" t="s">
        <v>2694</v>
      </c>
      <c r="H919" t="s">
        <v>253</v>
      </c>
      <c r="I919" t="s">
        <v>255</v>
      </c>
      <c r="J919" t="s">
        <v>18</v>
      </c>
      <c r="K919" t="s">
        <v>2690</v>
      </c>
      <c r="N919" t="s">
        <v>65</v>
      </c>
      <c r="P919" t="s">
        <v>65</v>
      </c>
      <c r="T919" t="s">
        <v>256</v>
      </c>
      <c r="U919" t="s">
        <v>256</v>
      </c>
    </row>
    <row r="920" spans="4:21" x14ac:dyDescent="0.45">
      <c r="D920" t="s">
        <v>1164</v>
      </c>
      <c r="E920" t="s">
        <v>2703</v>
      </c>
      <c r="F920" t="s">
        <v>290</v>
      </c>
      <c r="G920" t="s">
        <v>2704</v>
      </c>
      <c r="H920" t="s">
        <v>253</v>
      </c>
      <c r="I920" t="s">
        <v>258</v>
      </c>
      <c r="J920" t="s">
        <v>18</v>
      </c>
      <c r="K920" t="s">
        <v>2690</v>
      </c>
      <c r="N920" t="s">
        <v>37</v>
      </c>
      <c r="P920" t="s">
        <v>37</v>
      </c>
      <c r="T920" t="s">
        <v>256</v>
      </c>
      <c r="U920" t="s">
        <v>256</v>
      </c>
    </row>
    <row r="921" spans="4:21" x14ac:dyDescent="0.45">
      <c r="D921" t="s">
        <v>1165</v>
      </c>
      <c r="E921" t="s">
        <v>2705</v>
      </c>
      <c r="F921" t="s">
        <v>290</v>
      </c>
      <c r="G921" t="s">
        <v>2704</v>
      </c>
      <c r="H921" t="s">
        <v>253</v>
      </c>
      <c r="I921" t="s">
        <v>258</v>
      </c>
      <c r="J921" t="s">
        <v>18</v>
      </c>
      <c r="K921" t="s">
        <v>2690</v>
      </c>
      <c r="N921" t="s">
        <v>259</v>
      </c>
      <c r="P921" t="s">
        <v>259</v>
      </c>
      <c r="T921" t="s">
        <v>256</v>
      </c>
      <c r="U921" t="s">
        <v>256</v>
      </c>
    </row>
    <row r="922" spans="4:21" x14ac:dyDescent="0.45">
      <c r="D922" t="s">
        <v>1166</v>
      </c>
      <c r="E922" t="s">
        <v>2706</v>
      </c>
      <c r="F922" t="s">
        <v>290</v>
      </c>
      <c r="G922" t="s">
        <v>2704</v>
      </c>
      <c r="H922" t="s">
        <v>253</v>
      </c>
      <c r="I922" t="s">
        <v>258</v>
      </c>
      <c r="J922" t="s">
        <v>18</v>
      </c>
      <c r="K922" t="s">
        <v>2690</v>
      </c>
      <c r="N922" t="s">
        <v>260</v>
      </c>
      <c r="P922" t="s">
        <v>260</v>
      </c>
      <c r="T922" t="s">
        <v>256</v>
      </c>
      <c r="U922" t="s">
        <v>256</v>
      </c>
    </row>
    <row r="923" spans="4:21" x14ac:dyDescent="0.45">
      <c r="D923" t="s">
        <v>1167</v>
      </c>
      <c r="E923" t="s">
        <v>2707</v>
      </c>
      <c r="F923" t="s">
        <v>290</v>
      </c>
      <c r="G923" t="s">
        <v>2704</v>
      </c>
      <c r="H923" t="s">
        <v>253</v>
      </c>
      <c r="I923" t="s">
        <v>258</v>
      </c>
      <c r="J923" t="s">
        <v>18</v>
      </c>
      <c r="K923" t="s">
        <v>2690</v>
      </c>
      <c r="N923" t="s">
        <v>261</v>
      </c>
      <c r="P923" t="s">
        <v>261</v>
      </c>
      <c r="T923" t="s">
        <v>256</v>
      </c>
      <c r="U923" t="s">
        <v>256</v>
      </c>
    </row>
    <row r="924" spans="4:21" x14ac:dyDescent="0.45">
      <c r="D924" t="s">
        <v>1168</v>
      </c>
      <c r="E924" t="s">
        <v>2708</v>
      </c>
      <c r="F924" t="s">
        <v>290</v>
      </c>
      <c r="G924" t="s">
        <v>2704</v>
      </c>
      <c r="H924" t="s">
        <v>253</v>
      </c>
      <c r="I924" t="s">
        <v>258</v>
      </c>
      <c r="J924" t="s">
        <v>18</v>
      </c>
      <c r="K924" t="s">
        <v>2690</v>
      </c>
      <c r="N924" t="s">
        <v>262</v>
      </c>
      <c r="P924" t="s">
        <v>262</v>
      </c>
      <c r="T924" t="s">
        <v>256</v>
      </c>
      <c r="U924" t="s">
        <v>256</v>
      </c>
    </row>
    <row r="925" spans="4:21" x14ac:dyDescent="0.45">
      <c r="D925" t="s">
        <v>1169</v>
      </c>
      <c r="E925" t="s">
        <v>2709</v>
      </c>
      <c r="F925" t="s">
        <v>290</v>
      </c>
      <c r="G925" t="s">
        <v>2704</v>
      </c>
      <c r="H925" t="s">
        <v>253</v>
      </c>
      <c r="I925" t="s">
        <v>258</v>
      </c>
      <c r="J925" t="s">
        <v>18</v>
      </c>
      <c r="K925" t="s">
        <v>2690</v>
      </c>
      <c r="N925" t="s">
        <v>263</v>
      </c>
      <c r="P925" t="s">
        <v>263</v>
      </c>
      <c r="T925" t="s">
        <v>256</v>
      </c>
      <c r="U925" t="s">
        <v>256</v>
      </c>
    </row>
    <row r="926" spans="4:21" x14ac:dyDescent="0.45">
      <c r="D926" t="s">
        <v>1170</v>
      </c>
      <c r="E926" t="s">
        <v>2710</v>
      </c>
      <c r="F926" t="s">
        <v>290</v>
      </c>
      <c r="G926" t="s">
        <v>2704</v>
      </c>
      <c r="H926" t="s">
        <v>253</v>
      </c>
      <c r="I926" t="s">
        <v>258</v>
      </c>
      <c r="J926" t="s">
        <v>18</v>
      </c>
      <c r="K926" t="s">
        <v>2690</v>
      </c>
      <c r="N926" t="s">
        <v>264</v>
      </c>
      <c r="P926" t="s">
        <v>264</v>
      </c>
      <c r="T926" t="s">
        <v>256</v>
      </c>
      <c r="U926" t="s">
        <v>256</v>
      </c>
    </row>
    <row r="927" spans="4:21" x14ac:dyDescent="0.45">
      <c r="D927" t="s">
        <v>1171</v>
      </c>
      <c r="E927" t="s">
        <v>2711</v>
      </c>
      <c r="F927" t="s">
        <v>290</v>
      </c>
      <c r="G927" t="s">
        <v>2704</v>
      </c>
      <c r="H927" t="s">
        <v>253</v>
      </c>
      <c r="I927" t="s">
        <v>258</v>
      </c>
      <c r="J927" t="s">
        <v>18</v>
      </c>
      <c r="K927" t="s">
        <v>2690</v>
      </c>
      <c r="N927" t="s">
        <v>265</v>
      </c>
      <c r="P927" t="s">
        <v>265</v>
      </c>
      <c r="T927" t="s">
        <v>256</v>
      </c>
      <c r="U927" t="s">
        <v>256</v>
      </c>
    </row>
    <row r="928" spans="4:21" x14ac:dyDescent="0.45">
      <c r="D928" t="s">
        <v>1172</v>
      </c>
      <c r="E928" t="s">
        <v>2712</v>
      </c>
      <c r="F928" t="s">
        <v>290</v>
      </c>
      <c r="G928" t="s">
        <v>2704</v>
      </c>
      <c r="H928" t="s">
        <v>253</v>
      </c>
      <c r="I928" t="s">
        <v>258</v>
      </c>
      <c r="J928" t="s">
        <v>18</v>
      </c>
      <c r="K928" t="s">
        <v>2690</v>
      </c>
      <c r="N928" t="s">
        <v>266</v>
      </c>
      <c r="P928" t="s">
        <v>266</v>
      </c>
      <c r="T928" t="s">
        <v>256</v>
      </c>
      <c r="U928" t="s">
        <v>256</v>
      </c>
    </row>
    <row r="929" spans="4:21" x14ac:dyDescent="0.45">
      <c r="D929" t="s">
        <v>1173</v>
      </c>
      <c r="E929" t="s">
        <v>2713</v>
      </c>
      <c r="F929" t="s">
        <v>290</v>
      </c>
      <c r="G929" t="s">
        <v>2704</v>
      </c>
      <c r="H929" t="s">
        <v>253</v>
      </c>
      <c r="I929" t="s">
        <v>258</v>
      </c>
      <c r="J929" t="s">
        <v>18</v>
      </c>
      <c r="K929" t="s">
        <v>2690</v>
      </c>
      <c r="N929" t="s">
        <v>30</v>
      </c>
      <c r="P929" t="s">
        <v>30</v>
      </c>
      <c r="T929" t="s">
        <v>256</v>
      </c>
      <c r="U929" t="s">
        <v>256</v>
      </c>
    </row>
    <row r="930" spans="4:21" x14ac:dyDescent="0.45">
      <c r="D930" t="s">
        <v>1174</v>
      </c>
      <c r="E930" t="s">
        <v>2714</v>
      </c>
      <c r="F930" t="s">
        <v>290</v>
      </c>
      <c r="G930" t="s">
        <v>2704</v>
      </c>
      <c r="H930" t="s">
        <v>253</v>
      </c>
      <c r="I930" t="s">
        <v>258</v>
      </c>
      <c r="J930" t="s">
        <v>18</v>
      </c>
      <c r="K930" t="s">
        <v>2690</v>
      </c>
      <c r="N930" t="s">
        <v>267</v>
      </c>
      <c r="P930" t="s">
        <v>267</v>
      </c>
      <c r="T930" t="s">
        <v>256</v>
      </c>
      <c r="U930" t="s">
        <v>256</v>
      </c>
    </row>
    <row r="931" spans="4:21" x14ac:dyDescent="0.45">
      <c r="D931" t="s">
        <v>1175</v>
      </c>
      <c r="E931" t="s">
        <v>2715</v>
      </c>
      <c r="F931" t="s">
        <v>290</v>
      </c>
      <c r="G931" t="s">
        <v>2704</v>
      </c>
      <c r="H931" t="s">
        <v>253</v>
      </c>
      <c r="I931" t="s">
        <v>258</v>
      </c>
      <c r="J931" t="s">
        <v>18</v>
      </c>
      <c r="K931" t="s">
        <v>2690</v>
      </c>
      <c r="N931" t="s">
        <v>268</v>
      </c>
      <c r="P931" t="s">
        <v>268</v>
      </c>
      <c r="T931" t="s">
        <v>256</v>
      </c>
      <c r="U931" t="s">
        <v>256</v>
      </c>
    </row>
    <row r="932" spans="4:21" x14ac:dyDescent="0.45">
      <c r="D932" t="s">
        <v>1176</v>
      </c>
      <c r="E932" t="s">
        <v>2716</v>
      </c>
      <c r="F932" t="s">
        <v>290</v>
      </c>
      <c r="G932" t="s">
        <v>2704</v>
      </c>
      <c r="H932" t="s">
        <v>253</v>
      </c>
      <c r="I932" t="s">
        <v>258</v>
      </c>
      <c r="J932" t="s">
        <v>18</v>
      </c>
      <c r="K932" t="s">
        <v>2690</v>
      </c>
      <c r="N932" t="s">
        <v>269</v>
      </c>
      <c r="P932" t="s">
        <v>269</v>
      </c>
      <c r="T932" t="s">
        <v>256</v>
      </c>
      <c r="U932" t="s">
        <v>256</v>
      </c>
    </row>
    <row r="933" spans="4:21" x14ac:dyDescent="0.45">
      <c r="D933" t="s">
        <v>1177</v>
      </c>
      <c r="E933" t="s">
        <v>2717</v>
      </c>
      <c r="F933" t="s">
        <v>290</v>
      </c>
      <c r="G933" t="s">
        <v>2704</v>
      </c>
      <c r="H933" t="s">
        <v>253</v>
      </c>
      <c r="I933" t="s">
        <v>258</v>
      </c>
      <c r="J933" t="s">
        <v>18</v>
      </c>
      <c r="K933" t="s">
        <v>2690</v>
      </c>
      <c r="N933" t="s">
        <v>270</v>
      </c>
      <c r="P933" t="s">
        <v>270</v>
      </c>
      <c r="T933" t="s">
        <v>256</v>
      </c>
      <c r="U933" t="s">
        <v>256</v>
      </c>
    </row>
    <row r="934" spans="4:21" x14ac:dyDescent="0.45">
      <c r="D934" t="s">
        <v>1178</v>
      </c>
      <c r="E934" t="s">
        <v>2718</v>
      </c>
      <c r="F934" t="s">
        <v>290</v>
      </c>
      <c r="G934" t="s">
        <v>2704</v>
      </c>
      <c r="H934" t="s">
        <v>253</v>
      </c>
      <c r="I934" t="s">
        <v>258</v>
      </c>
      <c r="J934" t="s">
        <v>18</v>
      </c>
      <c r="K934" t="s">
        <v>2690</v>
      </c>
      <c r="N934" t="s">
        <v>271</v>
      </c>
      <c r="P934" t="s">
        <v>271</v>
      </c>
      <c r="T934" t="s">
        <v>256</v>
      </c>
      <c r="U934" t="s">
        <v>256</v>
      </c>
    </row>
    <row r="935" spans="4:21" x14ac:dyDescent="0.45">
      <c r="D935" t="s">
        <v>1179</v>
      </c>
      <c r="E935" t="s">
        <v>2719</v>
      </c>
      <c r="F935" t="s">
        <v>290</v>
      </c>
      <c r="G935" t="s">
        <v>2720</v>
      </c>
      <c r="H935" t="s">
        <v>253</v>
      </c>
      <c r="I935" t="s">
        <v>272</v>
      </c>
      <c r="J935" t="s">
        <v>18</v>
      </c>
      <c r="K935" t="s">
        <v>2690</v>
      </c>
      <c r="N935" t="s">
        <v>60</v>
      </c>
      <c r="P935" t="s">
        <v>60</v>
      </c>
      <c r="T935" t="s">
        <v>256</v>
      </c>
      <c r="U935" t="s">
        <v>256</v>
      </c>
    </row>
    <row r="936" spans="4:21" x14ac:dyDescent="0.45">
      <c r="D936" t="s">
        <v>1180</v>
      </c>
      <c r="E936" t="s">
        <v>2721</v>
      </c>
      <c r="F936" t="s">
        <v>290</v>
      </c>
      <c r="G936" t="s">
        <v>2720</v>
      </c>
      <c r="H936" t="s">
        <v>253</v>
      </c>
      <c r="I936" t="s">
        <v>272</v>
      </c>
      <c r="J936" t="s">
        <v>18</v>
      </c>
      <c r="K936" t="s">
        <v>2690</v>
      </c>
      <c r="N936" t="s">
        <v>257</v>
      </c>
      <c r="P936" t="s">
        <v>257</v>
      </c>
      <c r="T936" t="s">
        <v>256</v>
      </c>
      <c r="U936" t="s">
        <v>256</v>
      </c>
    </row>
    <row r="937" spans="4:21" x14ac:dyDescent="0.45">
      <c r="D937" t="s">
        <v>1181</v>
      </c>
      <c r="E937" t="s">
        <v>2722</v>
      </c>
      <c r="F937" t="s">
        <v>290</v>
      </c>
      <c r="G937" t="s">
        <v>2720</v>
      </c>
      <c r="H937" t="s">
        <v>253</v>
      </c>
      <c r="I937" t="s">
        <v>272</v>
      </c>
      <c r="J937" t="s">
        <v>18</v>
      </c>
      <c r="K937" t="s">
        <v>2690</v>
      </c>
      <c r="N937" t="s">
        <v>61</v>
      </c>
      <c r="P937" t="s">
        <v>61</v>
      </c>
      <c r="T937" t="s">
        <v>256</v>
      </c>
      <c r="U937" t="s">
        <v>256</v>
      </c>
    </row>
    <row r="938" spans="4:21" x14ac:dyDescent="0.45">
      <c r="D938" t="s">
        <v>1182</v>
      </c>
      <c r="E938" t="s">
        <v>2723</v>
      </c>
      <c r="F938" t="s">
        <v>290</v>
      </c>
      <c r="G938" t="s">
        <v>2720</v>
      </c>
      <c r="H938" t="s">
        <v>253</v>
      </c>
      <c r="I938" t="s">
        <v>272</v>
      </c>
      <c r="J938" t="s">
        <v>18</v>
      </c>
      <c r="K938" t="s">
        <v>2690</v>
      </c>
      <c r="N938" t="s">
        <v>62</v>
      </c>
      <c r="P938" t="s">
        <v>62</v>
      </c>
      <c r="T938" t="s">
        <v>256</v>
      </c>
      <c r="U938" t="s">
        <v>256</v>
      </c>
    </row>
    <row r="939" spans="4:21" x14ac:dyDescent="0.45">
      <c r="D939" t="s">
        <v>1183</v>
      </c>
      <c r="E939" t="s">
        <v>2724</v>
      </c>
      <c r="F939" t="s">
        <v>290</v>
      </c>
      <c r="G939" t="s">
        <v>2720</v>
      </c>
      <c r="H939" t="s">
        <v>253</v>
      </c>
      <c r="I939" t="s">
        <v>272</v>
      </c>
      <c r="J939" t="s">
        <v>18</v>
      </c>
      <c r="K939" t="s">
        <v>2690</v>
      </c>
      <c r="N939" t="s">
        <v>63</v>
      </c>
      <c r="P939" t="s">
        <v>63</v>
      </c>
      <c r="T939" t="s">
        <v>256</v>
      </c>
      <c r="U939" t="s">
        <v>256</v>
      </c>
    </row>
    <row r="940" spans="4:21" x14ac:dyDescent="0.45">
      <c r="D940" t="s">
        <v>1184</v>
      </c>
      <c r="E940" t="s">
        <v>2725</v>
      </c>
      <c r="F940" t="s">
        <v>290</v>
      </c>
      <c r="G940" t="s">
        <v>2720</v>
      </c>
      <c r="H940" t="s">
        <v>253</v>
      </c>
      <c r="I940" t="s">
        <v>272</v>
      </c>
      <c r="J940" t="s">
        <v>18</v>
      </c>
      <c r="K940" t="s">
        <v>2690</v>
      </c>
      <c r="N940" t="s">
        <v>64</v>
      </c>
      <c r="P940" t="s">
        <v>64</v>
      </c>
      <c r="T940" t="s">
        <v>256</v>
      </c>
      <c r="U940" t="s">
        <v>256</v>
      </c>
    </row>
    <row r="941" spans="4:21" x14ac:dyDescent="0.45">
      <c r="D941" t="s">
        <v>1185</v>
      </c>
      <c r="E941" t="s">
        <v>2726</v>
      </c>
      <c r="F941" t="s">
        <v>290</v>
      </c>
      <c r="G941" t="s">
        <v>2720</v>
      </c>
      <c r="H941" t="s">
        <v>253</v>
      </c>
      <c r="I941" t="s">
        <v>272</v>
      </c>
      <c r="J941" t="s">
        <v>18</v>
      </c>
      <c r="K941" t="s">
        <v>2690</v>
      </c>
      <c r="N941" t="s">
        <v>66</v>
      </c>
      <c r="P941" t="s">
        <v>66</v>
      </c>
      <c r="T941" t="s">
        <v>256</v>
      </c>
      <c r="U941" t="s">
        <v>256</v>
      </c>
    </row>
    <row r="942" spans="4:21" x14ac:dyDescent="0.45">
      <c r="D942" t="s">
        <v>1186</v>
      </c>
      <c r="E942" t="s">
        <v>2727</v>
      </c>
      <c r="F942" t="s">
        <v>290</v>
      </c>
      <c r="G942" t="s">
        <v>2720</v>
      </c>
      <c r="H942" t="s">
        <v>253</v>
      </c>
      <c r="I942" t="s">
        <v>272</v>
      </c>
      <c r="J942" t="s">
        <v>18</v>
      </c>
      <c r="K942" t="s">
        <v>2690</v>
      </c>
      <c r="N942" t="s">
        <v>65</v>
      </c>
      <c r="P942" t="s">
        <v>65</v>
      </c>
      <c r="T942" t="s">
        <v>256</v>
      </c>
      <c r="U942" t="s">
        <v>256</v>
      </c>
    </row>
    <row r="943" spans="4:21" x14ac:dyDescent="0.45">
      <c r="D943" t="s">
        <v>1187</v>
      </c>
      <c r="E943" t="s">
        <v>2728</v>
      </c>
      <c r="F943" t="s">
        <v>290</v>
      </c>
      <c r="G943" t="s">
        <v>2720</v>
      </c>
      <c r="H943" t="s">
        <v>253</v>
      </c>
      <c r="I943" t="s">
        <v>272</v>
      </c>
      <c r="J943" t="s">
        <v>18</v>
      </c>
      <c r="K943" t="s">
        <v>2690</v>
      </c>
      <c r="N943" t="s">
        <v>273</v>
      </c>
      <c r="P943" t="s">
        <v>273</v>
      </c>
      <c r="T943" t="s">
        <v>256</v>
      </c>
      <c r="U943" t="s">
        <v>256</v>
      </c>
    </row>
    <row r="944" spans="4:21" x14ac:dyDescent="0.45">
      <c r="D944" t="s">
        <v>1188</v>
      </c>
      <c r="E944" t="s">
        <v>2729</v>
      </c>
      <c r="F944" t="s">
        <v>290</v>
      </c>
      <c r="G944" t="s">
        <v>2720</v>
      </c>
      <c r="H944" t="s">
        <v>253</v>
      </c>
      <c r="I944" t="s">
        <v>272</v>
      </c>
      <c r="J944" t="s">
        <v>18</v>
      </c>
      <c r="K944" t="s">
        <v>2690</v>
      </c>
      <c r="N944" t="s">
        <v>274</v>
      </c>
      <c r="P944" t="s">
        <v>274</v>
      </c>
      <c r="T944" t="s">
        <v>256</v>
      </c>
      <c r="U944" t="s">
        <v>256</v>
      </c>
    </row>
    <row r="945" spans="4:21" x14ac:dyDescent="0.45">
      <c r="D945" t="s">
        <v>1189</v>
      </c>
      <c r="E945" t="s">
        <v>2730</v>
      </c>
      <c r="F945" t="s">
        <v>290</v>
      </c>
      <c r="G945" t="s">
        <v>2720</v>
      </c>
      <c r="H945" t="s">
        <v>253</v>
      </c>
      <c r="I945" t="s">
        <v>272</v>
      </c>
      <c r="J945" t="s">
        <v>18</v>
      </c>
      <c r="K945" t="s">
        <v>2690</v>
      </c>
      <c r="N945" t="s">
        <v>275</v>
      </c>
      <c r="P945" t="s">
        <v>275</v>
      </c>
      <c r="T945" t="s">
        <v>256</v>
      </c>
      <c r="U945" t="s">
        <v>256</v>
      </c>
    </row>
    <row r="946" spans="4:21" x14ac:dyDescent="0.45">
      <c r="D946" t="s">
        <v>1190</v>
      </c>
      <c r="E946" t="s">
        <v>2731</v>
      </c>
      <c r="F946" t="s">
        <v>290</v>
      </c>
      <c r="G946" t="s">
        <v>2720</v>
      </c>
      <c r="H946" t="s">
        <v>253</v>
      </c>
      <c r="I946" t="s">
        <v>272</v>
      </c>
      <c r="J946" t="s">
        <v>18</v>
      </c>
      <c r="K946" t="s">
        <v>2690</v>
      </c>
      <c r="N946" t="s">
        <v>259</v>
      </c>
      <c r="P946" t="s">
        <v>259</v>
      </c>
      <c r="T946" t="s">
        <v>256</v>
      </c>
      <c r="U946" t="s">
        <v>256</v>
      </c>
    </row>
    <row r="947" spans="4:21" x14ac:dyDescent="0.45">
      <c r="D947" t="s">
        <v>1191</v>
      </c>
      <c r="E947" t="s">
        <v>2732</v>
      </c>
      <c r="F947" t="s">
        <v>290</v>
      </c>
      <c r="G947" t="s">
        <v>2720</v>
      </c>
      <c r="H947" t="s">
        <v>253</v>
      </c>
      <c r="I947" t="s">
        <v>272</v>
      </c>
      <c r="J947" t="s">
        <v>18</v>
      </c>
      <c r="K947" t="s">
        <v>2690</v>
      </c>
      <c r="N947" t="s">
        <v>260</v>
      </c>
      <c r="P947" t="s">
        <v>260</v>
      </c>
      <c r="T947" t="s">
        <v>256</v>
      </c>
      <c r="U947" t="s">
        <v>256</v>
      </c>
    </row>
    <row r="948" spans="4:21" x14ac:dyDescent="0.45">
      <c r="D948" t="s">
        <v>1192</v>
      </c>
      <c r="E948" t="s">
        <v>2733</v>
      </c>
      <c r="F948" t="s">
        <v>290</v>
      </c>
      <c r="G948" t="s">
        <v>2720</v>
      </c>
      <c r="H948" t="s">
        <v>253</v>
      </c>
      <c r="I948" t="s">
        <v>272</v>
      </c>
      <c r="J948" t="s">
        <v>18</v>
      </c>
      <c r="K948" t="s">
        <v>2690</v>
      </c>
      <c r="N948" t="s">
        <v>261</v>
      </c>
      <c r="P948" t="s">
        <v>261</v>
      </c>
      <c r="T948" t="s">
        <v>256</v>
      </c>
      <c r="U948" t="s">
        <v>256</v>
      </c>
    </row>
    <row r="949" spans="4:21" x14ac:dyDescent="0.45">
      <c r="D949" t="s">
        <v>1193</v>
      </c>
      <c r="E949" t="s">
        <v>2734</v>
      </c>
      <c r="F949" t="s">
        <v>290</v>
      </c>
      <c r="G949" t="s">
        <v>2720</v>
      </c>
      <c r="H949" t="s">
        <v>253</v>
      </c>
      <c r="I949" t="s">
        <v>272</v>
      </c>
      <c r="J949" t="s">
        <v>18</v>
      </c>
      <c r="K949" t="s">
        <v>2690</v>
      </c>
      <c r="N949" t="s">
        <v>262</v>
      </c>
      <c r="P949" t="s">
        <v>262</v>
      </c>
      <c r="T949" t="s">
        <v>256</v>
      </c>
      <c r="U949" t="s">
        <v>256</v>
      </c>
    </row>
    <row r="950" spans="4:21" x14ac:dyDescent="0.45">
      <c r="D950" t="s">
        <v>1194</v>
      </c>
      <c r="E950" t="s">
        <v>2735</v>
      </c>
      <c r="F950" t="s">
        <v>290</v>
      </c>
      <c r="G950" t="s">
        <v>2720</v>
      </c>
      <c r="H950" t="s">
        <v>253</v>
      </c>
      <c r="I950" t="s">
        <v>272</v>
      </c>
      <c r="J950" t="s">
        <v>18</v>
      </c>
      <c r="K950" t="s">
        <v>2690</v>
      </c>
      <c r="N950" t="s">
        <v>263</v>
      </c>
      <c r="P950" t="s">
        <v>263</v>
      </c>
      <c r="T950" t="s">
        <v>256</v>
      </c>
      <c r="U950" t="s">
        <v>256</v>
      </c>
    </row>
    <row r="951" spans="4:21" x14ac:dyDescent="0.45">
      <c r="D951" t="s">
        <v>1195</v>
      </c>
      <c r="E951" t="s">
        <v>2736</v>
      </c>
      <c r="F951" t="s">
        <v>290</v>
      </c>
      <c r="G951" t="s">
        <v>2720</v>
      </c>
      <c r="H951" t="s">
        <v>253</v>
      </c>
      <c r="I951" t="s">
        <v>272</v>
      </c>
      <c r="J951" t="s">
        <v>18</v>
      </c>
      <c r="K951" t="s">
        <v>2690</v>
      </c>
      <c r="N951" t="s">
        <v>264</v>
      </c>
      <c r="P951" t="s">
        <v>264</v>
      </c>
      <c r="T951" t="s">
        <v>256</v>
      </c>
      <c r="U951" t="s">
        <v>256</v>
      </c>
    </row>
    <row r="952" spans="4:21" x14ac:dyDescent="0.45">
      <c r="D952" t="s">
        <v>1196</v>
      </c>
      <c r="E952" t="s">
        <v>2737</v>
      </c>
      <c r="F952" t="s">
        <v>290</v>
      </c>
      <c r="G952" t="s">
        <v>2720</v>
      </c>
      <c r="H952" t="s">
        <v>253</v>
      </c>
      <c r="I952" t="s">
        <v>272</v>
      </c>
      <c r="J952" t="s">
        <v>18</v>
      </c>
      <c r="K952" t="s">
        <v>2690</v>
      </c>
      <c r="N952" t="s">
        <v>265</v>
      </c>
      <c r="P952" t="s">
        <v>265</v>
      </c>
      <c r="T952" t="s">
        <v>256</v>
      </c>
      <c r="U952" t="s">
        <v>256</v>
      </c>
    </row>
    <row r="953" spans="4:21" x14ac:dyDescent="0.45">
      <c r="D953" t="s">
        <v>1197</v>
      </c>
      <c r="E953" t="s">
        <v>2738</v>
      </c>
      <c r="F953" t="s">
        <v>290</v>
      </c>
      <c r="G953" t="s">
        <v>2720</v>
      </c>
      <c r="H953" t="s">
        <v>253</v>
      </c>
      <c r="I953" t="s">
        <v>272</v>
      </c>
      <c r="J953" t="s">
        <v>18</v>
      </c>
      <c r="K953" t="s">
        <v>2690</v>
      </c>
      <c r="N953" t="s">
        <v>266</v>
      </c>
      <c r="P953" t="s">
        <v>266</v>
      </c>
      <c r="T953" t="s">
        <v>256</v>
      </c>
      <c r="U953" t="s">
        <v>256</v>
      </c>
    </row>
    <row r="954" spans="4:21" x14ac:dyDescent="0.45">
      <c r="D954" t="s">
        <v>1198</v>
      </c>
      <c r="E954" t="s">
        <v>2739</v>
      </c>
      <c r="F954" t="s">
        <v>290</v>
      </c>
      <c r="G954" t="s">
        <v>2720</v>
      </c>
      <c r="H954" t="s">
        <v>253</v>
      </c>
      <c r="I954" t="s">
        <v>272</v>
      </c>
      <c r="J954" t="s">
        <v>18</v>
      </c>
      <c r="K954" t="s">
        <v>2690</v>
      </c>
      <c r="N954" t="s">
        <v>30</v>
      </c>
      <c r="P954" t="s">
        <v>30</v>
      </c>
      <c r="T954" t="s">
        <v>256</v>
      </c>
      <c r="U954" t="s">
        <v>256</v>
      </c>
    </row>
    <row r="955" spans="4:21" x14ac:dyDescent="0.45">
      <c r="D955" t="s">
        <v>1199</v>
      </c>
      <c r="E955" t="s">
        <v>2740</v>
      </c>
      <c r="F955" t="s">
        <v>290</v>
      </c>
      <c r="G955" t="s">
        <v>2720</v>
      </c>
      <c r="H955" t="s">
        <v>253</v>
      </c>
      <c r="I955" t="s">
        <v>272</v>
      </c>
      <c r="J955" t="s">
        <v>18</v>
      </c>
      <c r="K955" t="s">
        <v>2690</v>
      </c>
      <c r="N955" t="s">
        <v>267</v>
      </c>
      <c r="P955" t="s">
        <v>267</v>
      </c>
      <c r="T955" t="s">
        <v>256</v>
      </c>
      <c r="U955" t="s">
        <v>256</v>
      </c>
    </row>
    <row r="956" spans="4:21" x14ac:dyDescent="0.45">
      <c r="D956" t="s">
        <v>1200</v>
      </c>
      <c r="E956" t="s">
        <v>2741</v>
      </c>
      <c r="F956" t="s">
        <v>290</v>
      </c>
      <c r="G956" t="s">
        <v>2720</v>
      </c>
      <c r="H956" t="s">
        <v>253</v>
      </c>
      <c r="I956" t="s">
        <v>272</v>
      </c>
      <c r="J956" t="s">
        <v>18</v>
      </c>
      <c r="K956" t="s">
        <v>2690</v>
      </c>
      <c r="N956" t="s">
        <v>268</v>
      </c>
      <c r="P956" t="s">
        <v>268</v>
      </c>
      <c r="T956" t="s">
        <v>256</v>
      </c>
      <c r="U956" t="s">
        <v>256</v>
      </c>
    </row>
    <row r="957" spans="4:21" x14ac:dyDescent="0.45">
      <c r="D957" t="s">
        <v>1201</v>
      </c>
      <c r="E957" t="s">
        <v>2742</v>
      </c>
      <c r="F957" t="s">
        <v>290</v>
      </c>
      <c r="G957" t="s">
        <v>2720</v>
      </c>
      <c r="H957" t="s">
        <v>253</v>
      </c>
      <c r="I957" t="s">
        <v>272</v>
      </c>
      <c r="J957" t="s">
        <v>18</v>
      </c>
      <c r="K957" t="s">
        <v>2690</v>
      </c>
      <c r="N957" t="s">
        <v>269</v>
      </c>
      <c r="P957" t="s">
        <v>269</v>
      </c>
      <c r="T957" t="s">
        <v>256</v>
      </c>
      <c r="U957" t="s">
        <v>256</v>
      </c>
    </row>
    <row r="958" spans="4:21" x14ac:dyDescent="0.45">
      <c r="D958" t="s">
        <v>1202</v>
      </c>
      <c r="E958" t="s">
        <v>2743</v>
      </c>
      <c r="F958" t="s">
        <v>290</v>
      </c>
      <c r="G958" t="s">
        <v>2720</v>
      </c>
      <c r="H958" t="s">
        <v>253</v>
      </c>
      <c r="I958" t="s">
        <v>272</v>
      </c>
      <c r="J958" t="s">
        <v>18</v>
      </c>
      <c r="K958" t="s">
        <v>2690</v>
      </c>
      <c r="N958" t="s">
        <v>270</v>
      </c>
      <c r="P958" t="s">
        <v>270</v>
      </c>
      <c r="T958" t="s">
        <v>256</v>
      </c>
      <c r="U958" t="s">
        <v>256</v>
      </c>
    </row>
    <row r="959" spans="4:21" x14ac:dyDescent="0.45">
      <c r="D959" t="s">
        <v>1203</v>
      </c>
      <c r="E959" t="s">
        <v>2744</v>
      </c>
      <c r="F959" t="s">
        <v>290</v>
      </c>
      <c r="G959" t="s">
        <v>2720</v>
      </c>
      <c r="H959" t="s">
        <v>253</v>
      </c>
      <c r="I959" t="s">
        <v>272</v>
      </c>
      <c r="J959" t="s">
        <v>18</v>
      </c>
      <c r="K959" t="s">
        <v>2690</v>
      </c>
      <c r="N959" t="s">
        <v>271</v>
      </c>
      <c r="P959" t="s">
        <v>271</v>
      </c>
      <c r="T959" t="s">
        <v>256</v>
      </c>
      <c r="U959" t="s">
        <v>256</v>
      </c>
    </row>
    <row r="960" spans="4:21" x14ac:dyDescent="0.45">
      <c r="D960" t="s">
        <v>2745</v>
      </c>
      <c r="E960" t="s">
        <v>2746</v>
      </c>
      <c r="F960" t="s">
        <v>290</v>
      </c>
      <c r="G960" t="s">
        <v>2747</v>
      </c>
      <c r="H960" t="s">
        <v>253</v>
      </c>
      <c r="I960" t="s">
        <v>276</v>
      </c>
      <c r="J960" t="s">
        <v>18</v>
      </c>
      <c r="K960" t="s">
        <v>2690</v>
      </c>
      <c r="P960" t="s">
        <v>18</v>
      </c>
      <c r="T960" t="s">
        <v>256</v>
      </c>
      <c r="U960" t="s">
        <v>256</v>
      </c>
    </row>
    <row r="961" spans="4:21" x14ac:dyDescent="0.45">
      <c r="D961" t="s">
        <v>2748</v>
      </c>
      <c r="E961" t="s">
        <v>2749</v>
      </c>
      <c r="F961" t="s">
        <v>290</v>
      </c>
      <c r="G961" t="s">
        <v>2750</v>
      </c>
      <c r="H961" t="s">
        <v>253</v>
      </c>
      <c r="I961" t="s">
        <v>277</v>
      </c>
      <c r="J961" t="s">
        <v>18</v>
      </c>
      <c r="K961" t="s">
        <v>2690</v>
      </c>
      <c r="P961" t="s">
        <v>18</v>
      </c>
      <c r="T961" t="s">
        <v>256</v>
      </c>
      <c r="U961" t="s">
        <v>256</v>
      </c>
    </row>
    <row r="962" spans="4:21" x14ac:dyDescent="0.45">
      <c r="D962" t="s">
        <v>2751</v>
      </c>
      <c r="E962" t="s">
        <v>2752</v>
      </c>
      <c r="F962" t="s">
        <v>290</v>
      </c>
      <c r="G962" t="s">
        <v>2753</v>
      </c>
      <c r="H962" t="s">
        <v>253</v>
      </c>
      <c r="I962" t="s">
        <v>278</v>
      </c>
      <c r="J962" t="s">
        <v>18</v>
      </c>
      <c r="K962" t="s">
        <v>2690</v>
      </c>
      <c r="P962" t="s">
        <v>18</v>
      </c>
      <c r="T962" t="s">
        <v>256</v>
      </c>
      <c r="U962" t="s">
        <v>256</v>
      </c>
    </row>
    <row r="963" spans="4:21" x14ac:dyDescent="0.45">
      <c r="D963" t="s">
        <v>1204</v>
      </c>
      <c r="E963" t="s">
        <v>2754</v>
      </c>
      <c r="F963" t="s">
        <v>290</v>
      </c>
      <c r="G963" t="s">
        <v>2755</v>
      </c>
      <c r="H963" t="s">
        <v>253</v>
      </c>
      <c r="I963" t="s">
        <v>279</v>
      </c>
      <c r="J963" t="s">
        <v>18</v>
      </c>
      <c r="K963" t="s">
        <v>2690</v>
      </c>
      <c r="P963" t="s">
        <v>18</v>
      </c>
      <c r="T963" t="s">
        <v>203</v>
      </c>
      <c r="U963" t="s">
        <v>203</v>
      </c>
    </row>
    <row r="964" spans="4:21" x14ac:dyDescent="0.45">
      <c r="D964" t="s">
        <v>1205</v>
      </c>
      <c r="E964" t="s">
        <v>2756</v>
      </c>
      <c r="F964" t="s">
        <v>290</v>
      </c>
      <c r="G964" t="s">
        <v>2757</v>
      </c>
      <c r="H964" t="s">
        <v>253</v>
      </c>
      <c r="I964" t="s">
        <v>279</v>
      </c>
      <c r="J964" t="s">
        <v>18</v>
      </c>
      <c r="K964" t="s">
        <v>2690</v>
      </c>
      <c r="P964" t="s">
        <v>18</v>
      </c>
      <c r="T964" t="s">
        <v>201</v>
      </c>
      <c r="U964" t="s">
        <v>201</v>
      </c>
    </row>
    <row r="965" spans="4:21" x14ac:dyDescent="0.45">
      <c r="D965" t="s">
        <v>1206</v>
      </c>
      <c r="E965" t="s">
        <v>2758</v>
      </c>
      <c r="F965" t="s">
        <v>290</v>
      </c>
      <c r="G965" t="s">
        <v>2759</v>
      </c>
      <c r="H965" t="s">
        <v>253</v>
      </c>
      <c r="I965" t="s">
        <v>279</v>
      </c>
      <c r="J965" t="s">
        <v>18</v>
      </c>
      <c r="K965" t="s">
        <v>2690</v>
      </c>
      <c r="P965" t="s">
        <v>18</v>
      </c>
      <c r="T965" t="s">
        <v>256</v>
      </c>
      <c r="U965" t="s">
        <v>256</v>
      </c>
    </row>
    <row r="966" spans="4:21" x14ac:dyDescent="0.45">
      <c r="D966" t="s">
        <v>1207</v>
      </c>
      <c r="E966" t="s">
        <v>2760</v>
      </c>
      <c r="F966" t="s">
        <v>290</v>
      </c>
      <c r="G966" t="s">
        <v>2761</v>
      </c>
      <c r="H966" t="s">
        <v>253</v>
      </c>
      <c r="I966" t="s">
        <v>280</v>
      </c>
      <c r="J966" t="s">
        <v>18</v>
      </c>
      <c r="P966" t="s">
        <v>18</v>
      </c>
      <c r="T966" t="s">
        <v>256</v>
      </c>
      <c r="U966" t="s">
        <v>256</v>
      </c>
    </row>
    <row r="967" spans="4:21" x14ac:dyDescent="0.45">
      <c r="D967" t="s">
        <v>1208</v>
      </c>
      <c r="E967" t="s">
        <v>2762</v>
      </c>
      <c r="F967" t="s">
        <v>290</v>
      </c>
      <c r="G967" t="s">
        <v>2763</v>
      </c>
      <c r="H967" t="s">
        <v>253</v>
      </c>
      <c r="I967" t="s">
        <v>280</v>
      </c>
      <c r="J967" t="s">
        <v>18</v>
      </c>
      <c r="P967" t="s">
        <v>18</v>
      </c>
      <c r="T967" t="s">
        <v>201</v>
      </c>
      <c r="U967" t="s">
        <v>201</v>
      </c>
    </row>
    <row r="968" spans="4:21" x14ac:dyDescent="0.45">
      <c r="D968" t="s">
        <v>1209</v>
      </c>
      <c r="E968" t="s">
        <v>2764</v>
      </c>
      <c r="F968" t="s">
        <v>290</v>
      </c>
      <c r="G968" t="s">
        <v>2765</v>
      </c>
      <c r="H968" t="s">
        <v>253</v>
      </c>
      <c r="I968" t="s">
        <v>280</v>
      </c>
      <c r="J968" t="s">
        <v>18</v>
      </c>
      <c r="P968" t="s">
        <v>18</v>
      </c>
      <c r="T968" t="s">
        <v>203</v>
      </c>
      <c r="U968" t="s">
        <v>203</v>
      </c>
    </row>
    <row r="969" spans="4:21" x14ac:dyDescent="0.45">
      <c r="D969" t="s">
        <v>1210</v>
      </c>
      <c r="E969" t="s">
        <v>2766</v>
      </c>
      <c r="F969" t="s">
        <v>290</v>
      </c>
      <c r="G969" t="s">
        <v>2767</v>
      </c>
      <c r="H969" t="s">
        <v>253</v>
      </c>
      <c r="I969" t="s">
        <v>281</v>
      </c>
      <c r="J969" t="s">
        <v>18</v>
      </c>
      <c r="P969" t="s">
        <v>18</v>
      </c>
      <c r="T969" t="s">
        <v>256</v>
      </c>
      <c r="U969" t="s">
        <v>256</v>
      </c>
    </row>
    <row r="970" spans="4:21" x14ac:dyDescent="0.45">
      <c r="D970" t="s">
        <v>1211</v>
      </c>
      <c r="E970" t="s">
        <v>2768</v>
      </c>
      <c r="F970" t="s">
        <v>290</v>
      </c>
      <c r="G970" t="s">
        <v>2769</v>
      </c>
      <c r="H970" t="s">
        <v>253</v>
      </c>
      <c r="I970" t="s">
        <v>281</v>
      </c>
      <c r="J970" t="s">
        <v>18</v>
      </c>
      <c r="P970" t="s">
        <v>18</v>
      </c>
      <c r="T970" t="s">
        <v>201</v>
      </c>
      <c r="U970" t="s">
        <v>201</v>
      </c>
    </row>
    <row r="971" spans="4:21" x14ac:dyDescent="0.45">
      <c r="D971" t="s">
        <v>1212</v>
      </c>
      <c r="E971" t="s">
        <v>2770</v>
      </c>
      <c r="F971" t="s">
        <v>290</v>
      </c>
      <c r="G971" t="s">
        <v>2771</v>
      </c>
      <c r="H971" t="s">
        <v>253</v>
      </c>
      <c r="I971" t="s">
        <v>281</v>
      </c>
      <c r="J971" t="s">
        <v>18</v>
      </c>
      <c r="P971" t="s">
        <v>18</v>
      </c>
      <c r="T971" t="s">
        <v>203</v>
      </c>
      <c r="U971" t="s">
        <v>203</v>
      </c>
    </row>
    <row r="972" spans="4:21" x14ac:dyDescent="0.45">
      <c r="D972" t="s">
        <v>1213</v>
      </c>
      <c r="E972" t="s">
        <v>2772</v>
      </c>
      <c r="F972" t="s">
        <v>290</v>
      </c>
      <c r="G972" t="s">
        <v>2773</v>
      </c>
      <c r="H972" t="s">
        <v>253</v>
      </c>
      <c r="I972" t="s">
        <v>282</v>
      </c>
      <c r="J972" t="s">
        <v>18</v>
      </c>
      <c r="N972" t="s">
        <v>60</v>
      </c>
      <c r="P972" t="s">
        <v>60</v>
      </c>
    </row>
    <row r="973" spans="4:21" x14ac:dyDescent="0.45">
      <c r="D973" t="s">
        <v>1214</v>
      </c>
      <c r="E973" t="s">
        <v>2774</v>
      </c>
      <c r="F973" t="s">
        <v>290</v>
      </c>
      <c r="G973" t="s">
        <v>2773</v>
      </c>
      <c r="H973" t="s">
        <v>253</v>
      </c>
      <c r="I973" t="s">
        <v>282</v>
      </c>
      <c r="J973" t="s">
        <v>18</v>
      </c>
      <c r="N973" t="s">
        <v>257</v>
      </c>
      <c r="P973" t="s">
        <v>257</v>
      </c>
    </row>
    <row r="974" spans="4:21" x14ac:dyDescent="0.45">
      <c r="D974" t="s">
        <v>1215</v>
      </c>
      <c r="E974" t="s">
        <v>2775</v>
      </c>
      <c r="F974" t="s">
        <v>290</v>
      </c>
      <c r="G974" t="s">
        <v>2773</v>
      </c>
      <c r="H974" t="s">
        <v>253</v>
      </c>
      <c r="I974" t="s">
        <v>282</v>
      </c>
      <c r="J974" t="s">
        <v>18</v>
      </c>
      <c r="N974" t="s">
        <v>61</v>
      </c>
      <c r="P974" t="s">
        <v>61</v>
      </c>
    </row>
    <row r="975" spans="4:21" x14ac:dyDescent="0.45">
      <c r="D975" t="s">
        <v>1216</v>
      </c>
      <c r="E975" t="s">
        <v>2776</v>
      </c>
      <c r="F975" t="s">
        <v>290</v>
      </c>
      <c r="G975" t="s">
        <v>2773</v>
      </c>
      <c r="H975" t="s">
        <v>253</v>
      </c>
      <c r="I975" t="s">
        <v>282</v>
      </c>
      <c r="J975" t="s">
        <v>18</v>
      </c>
      <c r="N975" t="s">
        <v>62</v>
      </c>
      <c r="P975" t="s">
        <v>62</v>
      </c>
    </row>
    <row r="976" spans="4:21" x14ac:dyDescent="0.45">
      <c r="D976" t="s">
        <v>1217</v>
      </c>
      <c r="E976" t="s">
        <v>2777</v>
      </c>
      <c r="F976" t="s">
        <v>290</v>
      </c>
      <c r="G976" t="s">
        <v>2773</v>
      </c>
      <c r="H976" t="s">
        <v>253</v>
      </c>
      <c r="I976" t="s">
        <v>282</v>
      </c>
      <c r="J976" t="s">
        <v>18</v>
      </c>
      <c r="N976" t="s">
        <v>63</v>
      </c>
      <c r="P976" t="s">
        <v>63</v>
      </c>
    </row>
    <row r="977" spans="4:21" x14ac:dyDescent="0.45">
      <c r="D977" t="s">
        <v>1218</v>
      </c>
      <c r="E977" t="s">
        <v>2778</v>
      </c>
      <c r="F977" t="s">
        <v>290</v>
      </c>
      <c r="G977" t="s">
        <v>2773</v>
      </c>
      <c r="H977" t="s">
        <v>253</v>
      </c>
      <c r="I977" t="s">
        <v>282</v>
      </c>
      <c r="J977" t="s">
        <v>18</v>
      </c>
      <c r="N977" t="s">
        <v>64</v>
      </c>
      <c r="P977" t="s">
        <v>64</v>
      </c>
    </row>
    <row r="978" spans="4:21" x14ac:dyDescent="0.45">
      <c r="D978" t="s">
        <v>1219</v>
      </c>
      <c r="E978" t="s">
        <v>2779</v>
      </c>
      <c r="F978" t="s">
        <v>290</v>
      </c>
      <c r="G978" t="s">
        <v>2773</v>
      </c>
      <c r="H978" t="s">
        <v>253</v>
      </c>
      <c r="I978" t="s">
        <v>282</v>
      </c>
      <c r="J978" t="s">
        <v>18</v>
      </c>
      <c r="N978" t="s">
        <v>66</v>
      </c>
      <c r="P978" t="s">
        <v>66</v>
      </c>
    </row>
    <row r="979" spans="4:21" x14ac:dyDescent="0.45">
      <c r="D979" t="s">
        <v>1220</v>
      </c>
      <c r="E979" t="s">
        <v>2780</v>
      </c>
      <c r="F979" t="s">
        <v>290</v>
      </c>
      <c r="G979" t="s">
        <v>2773</v>
      </c>
      <c r="H979" t="s">
        <v>253</v>
      </c>
      <c r="I979" t="s">
        <v>282</v>
      </c>
      <c r="J979" t="s">
        <v>18</v>
      </c>
      <c r="N979" t="s">
        <v>65</v>
      </c>
      <c r="P979" t="s">
        <v>65</v>
      </c>
    </row>
    <row r="980" spans="4:21" x14ac:dyDescent="0.45">
      <c r="D980" t="s">
        <v>1221</v>
      </c>
      <c r="E980" t="s">
        <v>2781</v>
      </c>
      <c r="F980" t="s">
        <v>290</v>
      </c>
      <c r="G980" t="s">
        <v>2773</v>
      </c>
      <c r="H980" t="s">
        <v>253</v>
      </c>
      <c r="I980" t="s">
        <v>282</v>
      </c>
      <c r="J980" t="s">
        <v>18</v>
      </c>
      <c r="N980" t="s">
        <v>259</v>
      </c>
      <c r="P980" t="s">
        <v>259</v>
      </c>
      <c r="U980" t="s">
        <v>18</v>
      </c>
    </row>
    <row r="981" spans="4:21" x14ac:dyDescent="0.45">
      <c r="D981" t="s">
        <v>1222</v>
      </c>
      <c r="E981" t="s">
        <v>2782</v>
      </c>
      <c r="F981" t="s">
        <v>290</v>
      </c>
      <c r="G981" t="s">
        <v>2773</v>
      </c>
      <c r="H981" t="s">
        <v>253</v>
      </c>
      <c r="I981" t="s">
        <v>282</v>
      </c>
      <c r="J981" t="s">
        <v>18</v>
      </c>
      <c r="N981" t="s">
        <v>260</v>
      </c>
      <c r="P981" t="s">
        <v>260</v>
      </c>
      <c r="U981" t="s">
        <v>18</v>
      </c>
    </row>
    <row r="982" spans="4:21" x14ac:dyDescent="0.45">
      <c r="D982" t="s">
        <v>1223</v>
      </c>
      <c r="E982" t="s">
        <v>2783</v>
      </c>
      <c r="F982" t="s">
        <v>290</v>
      </c>
      <c r="G982" t="s">
        <v>2773</v>
      </c>
      <c r="H982" t="s">
        <v>253</v>
      </c>
      <c r="I982" t="s">
        <v>282</v>
      </c>
      <c r="J982" t="s">
        <v>18</v>
      </c>
      <c r="N982" t="s">
        <v>261</v>
      </c>
      <c r="P982" t="s">
        <v>261</v>
      </c>
      <c r="U982" t="s">
        <v>18</v>
      </c>
    </row>
    <row r="983" spans="4:21" x14ac:dyDescent="0.45">
      <c r="D983" t="s">
        <v>1224</v>
      </c>
      <c r="E983" t="s">
        <v>2784</v>
      </c>
      <c r="F983" t="s">
        <v>290</v>
      </c>
      <c r="G983" t="s">
        <v>2773</v>
      </c>
      <c r="H983" t="s">
        <v>253</v>
      </c>
      <c r="I983" t="s">
        <v>282</v>
      </c>
      <c r="J983" t="s">
        <v>18</v>
      </c>
      <c r="N983" t="s">
        <v>262</v>
      </c>
      <c r="P983" t="s">
        <v>262</v>
      </c>
      <c r="U983" t="s">
        <v>18</v>
      </c>
    </row>
    <row r="984" spans="4:21" x14ac:dyDescent="0.45">
      <c r="D984" t="s">
        <v>1225</v>
      </c>
      <c r="E984" t="s">
        <v>2785</v>
      </c>
      <c r="F984" t="s">
        <v>290</v>
      </c>
      <c r="G984" t="s">
        <v>2773</v>
      </c>
      <c r="H984" t="s">
        <v>253</v>
      </c>
      <c r="I984" t="s">
        <v>282</v>
      </c>
      <c r="J984" t="s">
        <v>18</v>
      </c>
      <c r="N984" t="s">
        <v>263</v>
      </c>
      <c r="P984" t="s">
        <v>263</v>
      </c>
      <c r="U984" t="s">
        <v>18</v>
      </c>
    </row>
    <row r="985" spans="4:21" x14ac:dyDescent="0.45">
      <c r="D985" t="s">
        <v>1226</v>
      </c>
      <c r="E985" t="s">
        <v>2786</v>
      </c>
      <c r="F985" t="s">
        <v>290</v>
      </c>
      <c r="G985" t="s">
        <v>2773</v>
      </c>
      <c r="H985" t="s">
        <v>253</v>
      </c>
      <c r="I985" t="s">
        <v>282</v>
      </c>
      <c r="J985" t="s">
        <v>18</v>
      </c>
      <c r="N985" t="s">
        <v>264</v>
      </c>
      <c r="P985" t="s">
        <v>264</v>
      </c>
      <c r="U985" t="s">
        <v>18</v>
      </c>
    </row>
    <row r="986" spans="4:21" x14ac:dyDescent="0.45">
      <c r="D986" t="s">
        <v>1227</v>
      </c>
      <c r="E986" t="s">
        <v>2787</v>
      </c>
      <c r="F986" t="s">
        <v>290</v>
      </c>
      <c r="G986" t="s">
        <v>2773</v>
      </c>
      <c r="H986" t="s">
        <v>253</v>
      </c>
      <c r="I986" t="s">
        <v>282</v>
      </c>
      <c r="J986" t="s">
        <v>18</v>
      </c>
      <c r="N986" t="s">
        <v>265</v>
      </c>
      <c r="P986" t="s">
        <v>265</v>
      </c>
      <c r="U986" t="s">
        <v>18</v>
      </c>
    </row>
    <row r="987" spans="4:21" x14ac:dyDescent="0.45">
      <c r="D987" t="s">
        <v>1228</v>
      </c>
      <c r="E987" t="s">
        <v>2788</v>
      </c>
      <c r="F987" t="s">
        <v>290</v>
      </c>
      <c r="G987" t="s">
        <v>2773</v>
      </c>
      <c r="H987" t="s">
        <v>253</v>
      </c>
      <c r="I987" t="s">
        <v>282</v>
      </c>
      <c r="J987" t="s">
        <v>18</v>
      </c>
      <c r="N987" t="s">
        <v>266</v>
      </c>
      <c r="P987" t="s">
        <v>266</v>
      </c>
      <c r="U987" t="s">
        <v>18</v>
      </c>
    </row>
    <row r="988" spans="4:21" x14ac:dyDescent="0.45">
      <c r="D988" t="s">
        <v>1229</v>
      </c>
      <c r="E988" t="s">
        <v>2789</v>
      </c>
      <c r="F988" t="s">
        <v>290</v>
      </c>
      <c r="G988" t="s">
        <v>2773</v>
      </c>
      <c r="H988" t="s">
        <v>253</v>
      </c>
      <c r="I988" t="s">
        <v>282</v>
      </c>
      <c r="J988" t="s">
        <v>18</v>
      </c>
      <c r="N988" t="s">
        <v>30</v>
      </c>
      <c r="P988" t="s">
        <v>30</v>
      </c>
      <c r="U988" t="s">
        <v>18</v>
      </c>
    </row>
    <row r="989" spans="4:21" x14ac:dyDescent="0.45">
      <c r="D989" t="s">
        <v>1230</v>
      </c>
      <c r="E989" t="s">
        <v>2790</v>
      </c>
      <c r="F989" t="s">
        <v>290</v>
      </c>
      <c r="G989" t="s">
        <v>2773</v>
      </c>
      <c r="H989" t="s">
        <v>253</v>
      </c>
      <c r="I989" t="s">
        <v>282</v>
      </c>
      <c r="J989" t="s">
        <v>18</v>
      </c>
      <c r="N989" t="s">
        <v>267</v>
      </c>
      <c r="P989" t="s">
        <v>267</v>
      </c>
      <c r="U989" t="s">
        <v>18</v>
      </c>
    </row>
    <row r="990" spans="4:21" x14ac:dyDescent="0.45">
      <c r="D990" t="s">
        <v>1231</v>
      </c>
      <c r="E990" t="s">
        <v>2791</v>
      </c>
      <c r="F990" t="s">
        <v>290</v>
      </c>
      <c r="G990" t="s">
        <v>2773</v>
      </c>
      <c r="H990" t="s">
        <v>253</v>
      </c>
      <c r="I990" t="s">
        <v>282</v>
      </c>
      <c r="J990" t="s">
        <v>18</v>
      </c>
      <c r="N990" t="s">
        <v>268</v>
      </c>
      <c r="P990" t="s">
        <v>268</v>
      </c>
      <c r="U990" t="s">
        <v>18</v>
      </c>
    </row>
    <row r="991" spans="4:21" x14ac:dyDescent="0.45">
      <c r="D991" t="s">
        <v>1232</v>
      </c>
      <c r="E991" t="s">
        <v>2792</v>
      </c>
      <c r="F991" t="s">
        <v>290</v>
      </c>
      <c r="G991" t="s">
        <v>2773</v>
      </c>
      <c r="H991" t="s">
        <v>253</v>
      </c>
      <c r="I991" t="s">
        <v>282</v>
      </c>
      <c r="J991" t="s">
        <v>18</v>
      </c>
      <c r="N991" t="s">
        <v>269</v>
      </c>
      <c r="P991" t="s">
        <v>269</v>
      </c>
      <c r="U991" t="s">
        <v>18</v>
      </c>
    </row>
    <row r="992" spans="4:21" x14ac:dyDescent="0.45">
      <c r="D992" t="s">
        <v>1233</v>
      </c>
      <c r="E992" t="s">
        <v>2793</v>
      </c>
      <c r="F992" t="s">
        <v>290</v>
      </c>
      <c r="G992" t="s">
        <v>2773</v>
      </c>
      <c r="H992" t="s">
        <v>253</v>
      </c>
      <c r="I992" t="s">
        <v>282</v>
      </c>
      <c r="J992" t="s">
        <v>18</v>
      </c>
      <c r="N992" t="s">
        <v>270</v>
      </c>
      <c r="P992" t="s">
        <v>270</v>
      </c>
      <c r="U992" t="s">
        <v>18</v>
      </c>
    </row>
    <row r="993" spans="4:21" x14ac:dyDescent="0.45">
      <c r="D993" t="s">
        <v>1234</v>
      </c>
      <c r="E993" t="s">
        <v>2794</v>
      </c>
      <c r="F993" t="s">
        <v>290</v>
      </c>
      <c r="G993" t="s">
        <v>2773</v>
      </c>
      <c r="H993" t="s">
        <v>253</v>
      </c>
      <c r="I993" t="s">
        <v>282</v>
      </c>
      <c r="J993" t="s">
        <v>18</v>
      </c>
      <c r="N993" t="s">
        <v>271</v>
      </c>
      <c r="P993" t="s">
        <v>271</v>
      </c>
      <c r="U993" t="s">
        <v>18</v>
      </c>
    </row>
    <row r="994" spans="4:21" x14ac:dyDescent="0.45">
      <c r="D994" t="s">
        <v>1235</v>
      </c>
      <c r="E994" t="s">
        <v>2795</v>
      </c>
      <c r="F994" t="s">
        <v>290</v>
      </c>
      <c r="G994" t="s">
        <v>2796</v>
      </c>
      <c r="H994" t="s">
        <v>253</v>
      </c>
      <c r="I994" t="s">
        <v>34</v>
      </c>
      <c r="J994" t="s">
        <v>18</v>
      </c>
      <c r="K994" t="s">
        <v>2690</v>
      </c>
      <c r="N994" t="s">
        <v>37</v>
      </c>
      <c r="P994" t="s">
        <v>37</v>
      </c>
      <c r="T994" t="s">
        <v>256</v>
      </c>
      <c r="U994" t="s">
        <v>256</v>
      </c>
    </row>
    <row r="995" spans="4:21" x14ac:dyDescent="0.45">
      <c r="D995" t="s">
        <v>1236</v>
      </c>
      <c r="E995" t="s">
        <v>2797</v>
      </c>
      <c r="F995" t="s">
        <v>290</v>
      </c>
      <c r="G995" t="s">
        <v>2798</v>
      </c>
      <c r="H995" t="s">
        <v>253</v>
      </c>
      <c r="I995" t="s">
        <v>283</v>
      </c>
      <c r="J995" t="s">
        <v>18</v>
      </c>
      <c r="K995" t="s">
        <v>2690</v>
      </c>
      <c r="N995" t="s">
        <v>37</v>
      </c>
      <c r="P995" t="s">
        <v>37</v>
      </c>
      <c r="T995" t="s">
        <v>256</v>
      </c>
      <c r="U995" t="s">
        <v>256</v>
      </c>
    </row>
    <row r="996" spans="4:21" x14ac:dyDescent="0.45">
      <c r="D996" t="s">
        <v>1237</v>
      </c>
      <c r="E996" t="s">
        <v>2799</v>
      </c>
      <c r="F996" t="s">
        <v>290</v>
      </c>
      <c r="G996" t="s">
        <v>2800</v>
      </c>
      <c r="H996" t="s">
        <v>253</v>
      </c>
      <c r="I996" t="s">
        <v>284</v>
      </c>
      <c r="J996" t="s">
        <v>18</v>
      </c>
      <c r="K996" t="s">
        <v>2690</v>
      </c>
      <c r="N996" t="s">
        <v>37</v>
      </c>
      <c r="P996" t="s">
        <v>37</v>
      </c>
      <c r="T996" t="s">
        <v>256</v>
      </c>
      <c r="U996" t="s">
        <v>256</v>
      </c>
    </row>
    <row r="997" spans="4:21" x14ac:dyDescent="0.45">
      <c r="D997" t="s">
        <v>1238</v>
      </c>
      <c r="E997" t="s">
        <v>2801</v>
      </c>
      <c r="F997" t="s">
        <v>290</v>
      </c>
      <c r="G997" t="s">
        <v>2802</v>
      </c>
      <c r="H997" t="s">
        <v>253</v>
      </c>
      <c r="I997" t="s">
        <v>285</v>
      </c>
      <c r="J997" t="s">
        <v>18</v>
      </c>
      <c r="K997" t="s">
        <v>2690</v>
      </c>
      <c r="N997" t="s">
        <v>37</v>
      </c>
      <c r="P997" t="s">
        <v>37</v>
      </c>
      <c r="T997" t="s">
        <v>256</v>
      </c>
      <c r="U997" t="s">
        <v>256</v>
      </c>
    </row>
    <row r="998" spans="4:21" x14ac:dyDescent="0.45">
      <c r="D998" t="s">
        <v>1239</v>
      </c>
      <c r="E998" t="s">
        <v>2803</v>
      </c>
      <c r="F998" t="s">
        <v>290</v>
      </c>
      <c r="G998" t="s">
        <v>2804</v>
      </c>
      <c r="H998" t="s">
        <v>253</v>
      </c>
      <c r="I998" t="s">
        <v>254</v>
      </c>
      <c r="J998" t="s">
        <v>18</v>
      </c>
      <c r="K998" t="s">
        <v>2690</v>
      </c>
      <c r="N998" t="s">
        <v>37</v>
      </c>
      <c r="P998" t="s">
        <v>37</v>
      </c>
      <c r="T998" t="s">
        <v>256</v>
      </c>
      <c r="U998" t="s">
        <v>256</v>
      </c>
    </row>
    <row r="999" spans="4:21" x14ac:dyDescent="0.45">
      <c r="D999" t="s">
        <v>1240</v>
      </c>
      <c r="E999" t="s">
        <v>286</v>
      </c>
      <c r="F999" t="s">
        <v>290</v>
      </c>
      <c r="G999" t="s">
        <v>2805</v>
      </c>
      <c r="J999" t="s">
        <v>18</v>
      </c>
      <c r="P999" t="s">
        <v>18</v>
      </c>
      <c r="T999" t="s">
        <v>287</v>
      </c>
      <c r="U999" t="s">
        <v>287</v>
      </c>
    </row>
    <row r="1000" spans="4:21" x14ac:dyDescent="0.45">
      <c r="D1000" t="s">
        <v>1241</v>
      </c>
      <c r="E1000" t="s">
        <v>288</v>
      </c>
      <c r="F1000" t="s">
        <v>290</v>
      </c>
      <c r="G1000" t="s">
        <v>2806</v>
      </c>
      <c r="J1000" t="s">
        <v>18</v>
      </c>
      <c r="P1000" t="s">
        <v>18</v>
      </c>
      <c r="T1000" t="s">
        <v>289</v>
      </c>
      <c r="U1000" t="s">
        <v>289</v>
      </c>
    </row>
    <row r="1001" spans="4:21" x14ac:dyDescent="0.45">
      <c r="F1001" t="s">
        <v>252</v>
      </c>
      <c r="G1001" t="s">
        <v>18</v>
      </c>
      <c r="H1001" t="s">
        <v>18</v>
      </c>
      <c r="J1001" t="s">
        <v>18</v>
      </c>
      <c r="P1001" t="s">
        <v>18</v>
      </c>
      <c r="U1001" t="s">
        <v>18</v>
      </c>
    </row>
    <row r="1002" spans="4:21" x14ac:dyDescent="0.45">
      <c r="D1002" t="s">
        <v>1242</v>
      </c>
      <c r="E1002" t="s">
        <v>2807</v>
      </c>
      <c r="F1002" t="s">
        <v>290</v>
      </c>
      <c r="G1002" t="s">
        <v>2808</v>
      </c>
      <c r="H1002" t="s">
        <v>253</v>
      </c>
      <c r="I1002" t="s">
        <v>34</v>
      </c>
      <c r="K1002" t="s">
        <v>2690</v>
      </c>
    </row>
    <row r="1003" spans="4:21" x14ac:dyDescent="0.45">
      <c r="D1003" t="s">
        <v>1243</v>
      </c>
      <c r="E1003" t="s">
        <v>2809</v>
      </c>
      <c r="F1003" t="s">
        <v>290</v>
      </c>
      <c r="G1003" t="s">
        <v>2810</v>
      </c>
      <c r="H1003" t="s">
        <v>253</v>
      </c>
      <c r="I1003" t="s">
        <v>283</v>
      </c>
      <c r="K1003" t="s">
        <v>2690</v>
      </c>
    </row>
    <row r="1004" spans="4:21" x14ac:dyDescent="0.45">
      <c r="D1004" t="s">
        <v>1244</v>
      </c>
      <c r="E1004" t="s">
        <v>2811</v>
      </c>
      <c r="F1004" t="s">
        <v>290</v>
      </c>
      <c r="G1004" t="s">
        <v>2812</v>
      </c>
      <c r="H1004" t="s">
        <v>253</v>
      </c>
      <c r="I1004" t="s">
        <v>284</v>
      </c>
      <c r="K1004" t="s">
        <v>2690</v>
      </c>
    </row>
    <row r="1005" spans="4:21" x14ac:dyDescent="0.45">
      <c r="D1005" t="s">
        <v>1245</v>
      </c>
      <c r="E1005" t="s">
        <v>2813</v>
      </c>
      <c r="F1005" t="s">
        <v>290</v>
      </c>
      <c r="G1005" t="s">
        <v>2814</v>
      </c>
      <c r="H1005" t="s">
        <v>253</v>
      </c>
      <c r="I1005" t="s">
        <v>285</v>
      </c>
      <c r="K1005" t="s">
        <v>2690</v>
      </c>
    </row>
    <row r="1006" spans="4:21" x14ac:dyDescent="0.45">
      <c r="D1006" t="s">
        <v>1246</v>
      </c>
      <c r="E1006" t="s">
        <v>2815</v>
      </c>
      <c r="F1006" t="s">
        <v>290</v>
      </c>
      <c r="G1006" t="s">
        <v>2816</v>
      </c>
      <c r="H1006" t="s">
        <v>253</v>
      </c>
      <c r="I1006" t="s">
        <v>291</v>
      </c>
      <c r="K1006" t="s">
        <v>2690</v>
      </c>
    </row>
    <row r="1007" spans="4:21" x14ac:dyDescent="0.45">
      <c r="D1007" t="s">
        <v>1247</v>
      </c>
      <c r="E1007" t="s">
        <v>2817</v>
      </c>
      <c r="F1007" t="s">
        <v>290</v>
      </c>
      <c r="G1007" t="s">
        <v>2808</v>
      </c>
      <c r="H1007" t="s">
        <v>253</v>
      </c>
      <c r="I1007" t="s">
        <v>34</v>
      </c>
      <c r="K1007" t="s">
        <v>2690</v>
      </c>
    </row>
    <row r="1008" spans="4:21" x14ac:dyDescent="0.45">
      <c r="D1008" t="s">
        <v>1248</v>
      </c>
      <c r="E1008" t="s">
        <v>2818</v>
      </c>
      <c r="F1008" t="s">
        <v>290</v>
      </c>
      <c r="G1008" t="s">
        <v>2810</v>
      </c>
      <c r="H1008" t="s">
        <v>253</v>
      </c>
      <c r="I1008" t="s">
        <v>283</v>
      </c>
      <c r="K1008" t="s">
        <v>2690</v>
      </c>
    </row>
    <row r="1009" spans="4:21" x14ac:dyDescent="0.45">
      <c r="D1009" t="s">
        <v>1249</v>
      </c>
      <c r="E1009" t="s">
        <v>2819</v>
      </c>
      <c r="F1009" t="s">
        <v>290</v>
      </c>
      <c r="G1009" t="s">
        <v>2812</v>
      </c>
      <c r="H1009" t="s">
        <v>253</v>
      </c>
      <c r="I1009" t="s">
        <v>284</v>
      </c>
      <c r="K1009" t="s">
        <v>2690</v>
      </c>
    </row>
    <row r="1010" spans="4:21" x14ac:dyDescent="0.45">
      <c r="D1010" t="s">
        <v>1250</v>
      </c>
      <c r="E1010" t="s">
        <v>2820</v>
      </c>
      <c r="F1010" t="s">
        <v>290</v>
      </c>
      <c r="G1010" t="s">
        <v>2814</v>
      </c>
      <c r="H1010" t="s">
        <v>253</v>
      </c>
      <c r="I1010" t="s">
        <v>285</v>
      </c>
      <c r="K1010" t="s">
        <v>2690</v>
      </c>
    </row>
    <row r="1011" spans="4:21" x14ac:dyDescent="0.45">
      <c r="D1011" t="s">
        <v>1251</v>
      </c>
      <c r="E1011" t="s">
        <v>2821</v>
      </c>
      <c r="F1011" t="s">
        <v>290</v>
      </c>
      <c r="G1011" t="s">
        <v>2816</v>
      </c>
      <c r="H1011" t="s">
        <v>253</v>
      </c>
      <c r="I1011" t="s">
        <v>291</v>
      </c>
      <c r="K1011" t="s">
        <v>2690</v>
      </c>
    </row>
    <row r="1012" spans="4:21" x14ac:dyDescent="0.45">
      <c r="D1012" t="s">
        <v>1252</v>
      </c>
      <c r="E1012" t="s">
        <v>2822</v>
      </c>
      <c r="F1012" t="s">
        <v>290</v>
      </c>
      <c r="G1012" t="s">
        <v>2808</v>
      </c>
      <c r="H1012" t="s">
        <v>253</v>
      </c>
      <c r="I1012" t="s">
        <v>34</v>
      </c>
      <c r="K1012" t="s">
        <v>2690</v>
      </c>
    </row>
    <row r="1013" spans="4:21" x14ac:dyDescent="0.45">
      <c r="D1013" t="s">
        <v>1253</v>
      </c>
      <c r="E1013" t="s">
        <v>2823</v>
      </c>
      <c r="F1013" t="s">
        <v>290</v>
      </c>
      <c r="G1013" t="s">
        <v>2810</v>
      </c>
      <c r="H1013" t="s">
        <v>253</v>
      </c>
      <c r="I1013" t="s">
        <v>283</v>
      </c>
      <c r="K1013" t="s">
        <v>2690</v>
      </c>
    </row>
    <row r="1014" spans="4:21" x14ac:dyDescent="0.45">
      <c r="D1014" t="s">
        <v>1254</v>
      </c>
      <c r="E1014" t="s">
        <v>2824</v>
      </c>
      <c r="F1014" t="s">
        <v>290</v>
      </c>
      <c r="G1014" t="s">
        <v>2812</v>
      </c>
      <c r="H1014" t="s">
        <v>253</v>
      </c>
      <c r="I1014" t="s">
        <v>284</v>
      </c>
      <c r="K1014" t="s">
        <v>2690</v>
      </c>
    </row>
    <row r="1015" spans="4:21" x14ac:dyDescent="0.45">
      <c r="D1015" t="s">
        <v>1255</v>
      </c>
      <c r="E1015" t="s">
        <v>2825</v>
      </c>
      <c r="F1015" t="s">
        <v>290</v>
      </c>
      <c r="G1015" t="s">
        <v>2814</v>
      </c>
      <c r="H1015" t="s">
        <v>253</v>
      </c>
      <c r="I1015" t="s">
        <v>285</v>
      </c>
      <c r="K1015" t="s">
        <v>2690</v>
      </c>
    </row>
    <row r="1016" spans="4:21" x14ac:dyDescent="0.45">
      <c r="D1016" t="s">
        <v>1256</v>
      </c>
      <c r="E1016" t="s">
        <v>2826</v>
      </c>
      <c r="F1016" t="s">
        <v>290</v>
      </c>
      <c r="G1016" t="s">
        <v>2816</v>
      </c>
      <c r="H1016" t="s">
        <v>253</v>
      </c>
      <c r="I1016" t="s">
        <v>291</v>
      </c>
      <c r="K1016" t="s">
        <v>2690</v>
      </c>
    </row>
    <row r="1017" spans="4:21" x14ac:dyDescent="0.45">
      <c r="F1017" t="s">
        <v>292</v>
      </c>
      <c r="G1017" t="s">
        <v>18</v>
      </c>
      <c r="H1017" t="s">
        <v>18</v>
      </c>
      <c r="J1017" t="s">
        <v>18</v>
      </c>
      <c r="P1017" t="s">
        <v>18</v>
      </c>
      <c r="U1017" t="s">
        <v>18</v>
      </c>
    </row>
    <row r="1018" spans="4:21" x14ac:dyDescent="0.45">
      <c r="D1018" t="s">
        <v>60</v>
      </c>
      <c r="E1018" t="s">
        <v>2827</v>
      </c>
      <c r="F1018" t="s">
        <v>290</v>
      </c>
      <c r="G1018" t="s">
        <v>2828</v>
      </c>
      <c r="H1018" t="s">
        <v>253</v>
      </c>
      <c r="I1018" t="s">
        <v>29</v>
      </c>
      <c r="J1018" t="s">
        <v>18</v>
      </c>
      <c r="K1018" t="s">
        <v>96</v>
      </c>
      <c r="N1018" t="s">
        <v>46</v>
      </c>
      <c r="P1018" t="s">
        <v>46</v>
      </c>
      <c r="Q1018" t="s">
        <v>60</v>
      </c>
      <c r="U1018" t="s">
        <v>18</v>
      </c>
    </row>
    <row r="1019" spans="4:21" x14ac:dyDescent="0.45">
      <c r="D1019" t="s">
        <v>257</v>
      </c>
      <c r="E1019" t="s">
        <v>2829</v>
      </c>
      <c r="F1019" t="s">
        <v>290</v>
      </c>
      <c r="G1019" t="s">
        <v>2830</v>
      </c>
      <c r="H1019" t="s">
        <v>253</v>
      </c>
      <c r="I1019" t="s">
        <v>29</v>
      </c>
      <c r="J1019" t="s">
        <v>18</v>
      </c>
      <c r="K1019" t="s">
        <v>96</v>
      </c>
      <c r="N1019" t="s">
        <v>46</v>
      </c>
      <c r="P1019" t="s">
        <v>46</v>
      </c>
      <c r="Q1019" t="s">
        <v>257</v>
      </c>
      <c r="U1019" t="s">
        <v>18</v>
      </c>
    </row>
    <row r="1020" spans="4:21" x14ac:dyDescent="0.45">
      <c r="D1020" t="s">
        <v>61</v>
      </c>
      <c r="E1020" t="s">
        <v>2831</v>
      </c>
      <c r="F1020" t="s">
        <v>290</v>
      </c>
      <c r="G1020" t="s">
        <v>2832</v>
      </c>
      <c r="H1020" t="s">
        <v>253</v>
      </c>
      <c r="I1020" t="s">
        <v>29</v>
      </c>
      <c r="J1020" t="s">
        <v>18</v>
      </c>
      <c r="K1020" t="s">
        <v>96</v>
      </c>
      <c r="N1020" t="s">
        <v>46</v>
      </c>
      <c r="P1020" t="s">
        <v>46</v>
      </c>
      <c r="Q1020" t="s">
        <v>61</v>
      </c>
      <c r="U1020" t="s">
        <v>18</v>
      </c>
    </row>
    <row r="1021" spans="4:21" x14ac:dyDescent="0.45">
      <c r="D1021" t="s">
        <v>62</v>
      </c>
      <c r="E1021" t="s">
        <v>2833</v>
      </c>
      <c r="F1021" t="s">
        <v>290</v>
      </c>
      <c r="G1021" t="s">
        <v>2834</v>
      </c>
      <c r="H1021" t="s">
        <v>253</v>
      </c>
      <c r="I1021" t="s">
        <v>29</v>
      </c>
      <c r="J1021" t="s">
        <v>18</v>
      </c>
      <c r="K1021" t="s">
        <v>96</v>
      </c>
      <c r="N1021" t="s">
        <v>46</v>
      </c>
      <c r="P1021" t="s">
        <v>46</v>
      </c>
      <c r="Q1021" t="s">
        <v>62</v>
      </c>
      <c r="U1021" t="s">
        <v>18</v>
      </c>
    </row>
    <row r="1022" spans="4:21" x14ac:dyDescent="0.45">
      <c r="D1022" t="s">
        <v>1257</v>
      </c>
      <c r="E1022" t="s">
        <v>2835</v>
      </c>
      <c r="F1022" t="s">
        <v>290</v>
      </c>
      <c r="G1022" t="s">
        <v>2836</v>
      </c>
      <c r="H1022" t="s">
        <v>253</v>
      </c>
      <c r="I1022" t="s">
        <v>29</v>
      </c>
      <c r="J1022" t="s">
        <v>18</v>
      </c>
      <c r="K1022" t="s">
        <v>96</v>
      </c>
      <c r="N1022" t="s">
        <v>46</v>
      </c>
      <c r="P1022" t="s">
        <v>46</v>
      </c>
      <c r="Q1022" t="s">
        <v>21</v>
      </c>
      <c r="U1022" t="s">
        <v>18</v>
      </c>
    </row>
    <row r="1023" spans="4:21" x14ac:dyDescent="0.45">
      <c r="D1023" t="s">
        <v>166</v>
      </c>
      <c r="E1023" t="s">
        <v>2837</v>
      </c>
      <c r="F1023" t="s">
        <v>290</v>
      </c>
      <c r="G1023" t="s">
        <v>2838</v>
      </c>
      <c r="H1023" t="s">
        <v>253</v>
      </c>
      <c r="I1023" t="s">
        <v>29</v>
      </c>
      <c r="J1023" t="s">
        <v>18</v>
      </c>
      <c r="K1023" t="s">
        <v>96</v>
      </c>
      <c r="N1023" t="s">
        <v>46</v>
      </c>
      <c r="P1023" t="s">
        <v>46</v>
      </c>
      <c r="Q1023" t="s">
        <v>166</v>
      </c>
      <c r="U1023" t="s">
        <v>18</v>
      </c>
    </row>
    <row r="1024" spans="4:21" x14ac:dyDescent="0.45">
      <c r="F1024" t="s">
        <v>293</v>
      </c>
      <c r="G1024" t="s">
        <v>18</v>
      </c>
      <c r="J1024" t="s">
        <v>18</v>
      </c>
      <c r="P1024" t="s">
        <v>18</v>
      </c>
      <c r="U1024" t="s">
        <v>18</v>
      </c>
    </row>
    <row r="1025" spans="4:21" x14ac:dyDescent="0.45">
      <c r="F1025" t="s">
        <v>294</v>
      </c>
      <c r="G1025" t="s">
        <v>18</v>
      </c>
      <c r="J1025" t="s">
        <v>18</v>
      </c>
      <c r="P1025" t="s">
        <v>18</v>
      </c>
      <c r="U1025" t="s">
        <v>18</v>
      </c>
    </row>
    <row r="1026" spans="4:21" x14ac:dyDescent="0.45">
      <c r="D1026" t="s">
        <v>60</v>
      </c>
      <c r="E1026" t="s">
        <v>2839</v>
      </c>
      <c r="F1026" t="s">
        <v>290</v>
      </c>
      <c r="G1026" t="s">
        <v>2840</v>
      </c>
      <c r="H1026" t="s">
        <v>253</v>
      </c>
      <c r="I1026" t="s">
        <v>295</v>
      </c>
      <c r="J1026" t="s">
        <v>18</v>
      </c>
      <c r="N1026" t="s">
        <v>46</v>
      </c>
      <c r="P1026" t="s">
        <v>46</v>
      </c>
      <c r="Q1026" t="s">
        <v>60</v>
      </c>
      <c r="U1026" t="s">
        <v>18</v>
      </c>
    </row>
    <row r="1027" spans="4:21" x14ac:dyDescent="0.45">
      <c r="D1027" t="s">
        <v>257</v>
      </c>
      <c r="E1027" t="s">
        <v>2841</v>
      </c>
      <c r="F1027" t="s">
        <v>290</v>
      </c>
      <c r="G1027" t="s">
        <v>2842</v>
      </c>
      <c r="H1027" t="s">
        <v>253</v>
      </c>
      <c r="I1027" t="s">
        <v>295</v>
      </c>
      <c r="J1027" t="s">
        <v>18</v>
      </c>
      <c r="N1027" t="s">
        <v>46</v>
      </c>
      <c r="P1027" t="s">
        <v>46</v>
      </c>
      <c r="Q1027" t="s">
        <v>257</v>
      </c>
      <c r="U1027" t="s">
        <v>18</v>
      </c>
    </row>
    <row r="1028" spans="4:21" x14ac:dyDescent="0.45">
      <c r="D1028" t="s">
        <v>61</v>
      </c>
      <c r="E1028" t="s">
        <v>2843</v>
      </c>
      <c r="F1028" t="s">
        <v>290</v>
      </c>
      <c r="G1028" t="s">
        <v>2844</v>
      </c>
      <c r="H1028" t="s">
        <v>253</v>
      </c>
      <c r="I1028" t="s">
        <v>295</v>
      </c>
      <c r="J1028" t="s">
        <v>18</v>
      </c>
      <c r="N1028" t="s">
        <v>46</v>
      </c>
      <c r="P1028" t="s">
        <v>46</v>
      </c>
      <c r="Q1028" t="s">
        <v>61</v>
      </c>
      <c r="U1028" t="s">
        <v>18</v>
      </c>
    </row>
    <row r="1029" spans="4:21" x14ac:dyDescent="0.45">
      <c r="D1029" t="s">
        <v>62</v>
      </c>
      <c r="E1029" t="s">
        <v>2845</v>
      </c>
      <c r="F1029" t="s">
        <v>290</v>
      </c>
      <c r="G1029" t="s">
        <v>2846</v>
      </c>
      <c r="H1029" t="s">
        <v>253</v>
      </c>
      <c r="I1029" t="s">
        <v>295</v>
      </c>
      <c r="J1029" t="s">
        <v>18</v>
      </c>
      <c r="N1029" t="s">
        <v>46</v>
      </c>
      <c r="P1029" t="s">
        <v>46</v>
      </c>
      <c r="Q1029" t="s">
        <v>62</v>
      </c>
      <c r="U1029" t="s">
        <v>18</v>
      </c>
    </row>
    <row r="1030" spans="4:21" x14ac:dyDescent="0.45">
      <c r="D1030" t="s">
        <v>63</v>
      </c>
      <c r="E1030" t="s">
        <v>2847</v>
      </c>
      <c r="F1030" t="s">
        <v>290</v>
      </c>
      <c r="G1030" t="s">
        <v>2848</v>
      </c>
      <c r="H1030" t="s">
        <v>253</v>
      </c>
      <c r="I1030" t="s">
        <v>295</v>
      </c>
      <c r="J1030" t="s">
        <v>18</v>
      </c>
      <c r="N1030" t="s">
        <v>46</v>
      </c>
      <c r="P1030" t="s">
        <v>46</v>
      </c>
      <c r="Q1030" t="s">
        <v>63</v>
      </c>
      <c r="U1030" t="s">
        <v>18</v>
      </c>
    </row>
    <row r="1031" spans="4:21" x14ac:dyDescent="0.45">
      <c r="D1031" t="s">
        <v>64</v>
      </c>
      <c r="E1031" t="s">
        <v>2849</v>
      </c>
      <c r="F1031" t="s">
        <v>290</v>
      </c>
      <c r="G1031" t="s">
        <v>2850</v>
      </c>
      <c r="H1031" t="s">
        <v>253</v>
      </c>
      <c r="I1031" t="s">
        <v>295</v>
      </c>
      <c r="J1031" t="s">
        <v>18</v>
      </c>
      <c r="N1031" t="s">
        <v>46</v>
      </c>
      <c r="P1031" t="s">
        <v>46</v>
      </c>
      <c r="Q1031" t="s">
        <v>64</v>
      </c>
      <c r="U1031" t="s">
        <v>18</v>
      </c>
    </row>
    <row r="1032" spans="4:21" x14ac:dyDescent="0.45">
      <c r="D1032" t="s">
        <v>65</v>
      </c>
      <c r="E1032" t="s">
        <v>2851</v>
      </c>
      <c r="F1032" t="s">
        <v>290</v>
      </c>
      <c r="G1032" t="s">
        <v>2852</v>
      </c>
      <c r="H1032" t="s">
        <v>253</v>
      </c>
      <c r="I1032" t="s">
        <v>295</v>
      </c>
      <c r="J1032" t="s">
        <v>18</v>
      </c>
      <c r="N1032" t="s">
        <v>46</v>
      </c>
      <c r="P1032" t="s">
        <v>46</v>
      </c>
      <c r="Q1032" t="s">
        <v>65</v>
      </c>
      <c r="U1032" t="s">
        <v>18</v>
      </c>
    </row>
    <row r="1033" spans="4:21" x14ac:dyDescent="0.45">
      <c r="D1033" t="s">
        <v>66</v>
      </c>
      <c r="E1033" t="s">
        <v>2853</v>
      </c>
      <c r="F1033" t="s">
        <v>290</v>
      </c>
      <c r="G1033" t="s">
        <v>2854</v>
      </c>
      <c r="H1033" t="s">
        <v>253</v>
      </c>
      <c r="I1033" t="s">
        <v>295</v>
      </c>
      <c r="J1033" t="s">
        <v>18</v>
      </c>
      <c r="N1033" t="s">
        <v>46</v>
      </c>
      <c r="P1033" t="s">
        <v>46</v>
      </c>
      <c r="Q1033" t="s">
        <v>66</v>
      </c>
      <c r="U1033" t="s">
        <v>18</v>
      </c>
    </row>
    <row r="1034" spans="4:21" x14ac:dyDescent="0.45">
      <c r="D1034" t="s">
        <v>1257</v>
      </c>
      <c r="E1034" t="s">
        <v>2855</v>
      </c>
      <c r="F1034" t="s">
        <v>290</v>
      </c>
      <c r="G1034" t="s">
        <v>2856</v>
      </c>
      <c r="H1034" t="s">
        <v>253</v>
      </c>
      <c r="I1034" t="s">
        <v>295</v>
      </c>
      <c r="J1034" t="s">
        <v>18</v>
      </c>
      <c r="N1034" t="s">
        <v>46</v>
      </c>
      <c r="P1034" t="s">
        <v>46</v>
      </c>
      <c r="Q1034" t="s">
        <v>21</v>
      </c>
      <c r="U1034" t="s">
        <v>18</v>
      </c>
    </row>
    <row r="1035" spans="4:21" x14ac:dyDescent="0.45">
      <c r="G1035" t="s">
        <v>18</v>
      </c>
      <c r="H1035" t="s">
        <v>18</v>
      </c>
      <c r="J1035" t="s">
        <v>18</v>
      </c>
      <c r="P1035" t="s">
        <v>18</v>
      </c>
      <c r="U1035" t="s">
        <v>18</v>
      </c>
    </row>
    <row r="1036" spans="4:21" x14ac:dyDescent="0.45">
      <c r="D1036" t="s">
        <v>264</v>
      </c>
      <c r="E1036" t="s">
        <v>2786</v>
      </c>
      <c r="F1036" t="s">
        <v>290</v>
      </c>
      <c r="G1036" t="s">
        <v>2857</v>
      </c>
      <c r="H1036" t="s">
        <v>253</v>
      </c>
      <c r="I1036" t="s">
        <v>282</v>
      </c>
      <c r="J1036" t="s">
        <v>18</v>
      </c>
      <c r="O1036" t="s">
        <v>264</v>
      </c>
      <c r="P1036" t="s">
        <v>264</v>
      </c>
      <c r="T1036" t="s">
        <v>296</v>
      </c>
      <c r="U1036" t="s">
        <v>296</v>
      </c>
    </row>
    <row r="1037" spans="4:21" x14ac:dyDescent="0.45">
      <c r="D1037" t="s">
        <v>263</v>
      </c>
      <c r="E1037" t="s">
        <v>2785</v>
      </c>
      <c r="F1037" t="s">
        <v>290</v>
      </c>
      <c r="G1037" t="s">
        <v>2857</v>
      </c>
      <c r="H1037" t="s">
        <v>253</v>
      </c>
      <c r="I1037" t="s">
        <v>282</v>
      </c>
      <c r="J1037" t="s">
        <v>18</v>
      </c>
      <c r="O1037" t="s">
        <v>263</v>
      </c>
      <c r="P1037" t="s">
        <v>263</v>
      </c>
      <c r="T1037" t="s">
        <v>296</v>
      </c>
      <c r="U1037" t="s">
        <v>296</v>
      </c>
    </row>
    <row r="1038" spans="4:21" x14ac:dyDescent="0.45">
      <c r="D1038" t="s">
        <v>265</v>
      </c>
      <c r="E1038" t="s">
        <v>2787</v>
      </c>
      <c r="F1038" t="s">
        <v>290</v>
      </c>
      <c r="G1038" t="s">
        <v>2857</v>
      </c>
      <c r="H1038" t="s">
        <v>253</v>
      </c>
      <c r="I1038" t="s">
        <v>282</v>
      </c>
      <c r="J1038" t="s">
        <v>18</v>
      </c>
      <c r="O1038" t="s">
        <v>265</v>
      </c>
      <c r="P1038" t="s">
        <v>265</v>
      </c>
      <c r="T1038" t="s">
        <v>296</v>
      </c>
      <c r="U1038" t="s">
        <v>296</v>
      </c>
    </row>
    <row r="1039" spans="4:21" x14ac:dyDescent="0.45">
      <c r="D1039" t="s">
        <v>261</v>
      </c>
      <c r="E1039" t="s">
        <v>2783</v>
      </c>
      <c r="F1039" t="s">
        <v>290</v>
      </c>
      <c r="G1039" t="s">
        <v>2857</v>
      </c>
      <c r="H1039" t="s">
        <v>253</v>
      </c>
      <c r="I1039" t="s">
        <v>282</v>
      </c>
      <c r="J1039" t="s">
        <v>18</v>
      </c>
      <c r="O1039" t="s">
        <v>261</v>
      </c>
      <c r="P1039" t="s">
        <v>261</v>
      </c>
      <c r="T1039" t="s">
        <v>296</v>
      </c>
      <c r="U1039" t="s">
        <v>296</v>
      </c>
    </row>
    <row r="1040" spans="4:21" x14ac:dyDescent="0.45">
      <c r="D1040" t="s">
        <v>266</v>
      </c>
      <c r="E1040" t="s">
        <v>2788</v>
      </c>
      <c r="F1040" t="s">
        <v>290</v>
      </c>
      <c r="G1040" t="s">
        <v>2857</v>
      </c>
      <c r="H1040" t="s">
        <v>253</v>
      </c>
      <c r="I1040" t="s">
        <v>282</v>
      </c>
      <c r="J1040" t="s">
        <v>18</v>
      </c>
      <c r="O1040" t="s">
        <v>266</v>
      </c>
      <c r="P1040" t="s">
        <v>266</v>
      </c>
      <c r="T1040" t="s">
        <v>296</v>
      </c>
      <c r="U1040" t="s">
        <v>296</v>
      </c>
    </row>
    <row r="1041" spans="4:21" x14ac:dyDescent="0.45">
      <c r="D1041" t="s">
        <v>259</v>
      </c>
      <c r="E1041" t="s">
        <v>2781</v>
      </c>
      <c r="F1041" t="s">
        <v>290</v>
      </c>
      <c r="G1041" t="s">
        <v>2857</v>
      </c>
      <c r="H1041" t="s">
        <v>253</v>
      </c>
      <c r="I1041" t="s">
        <v>282</v>
      </c>
      <c r="J1041" t="s">
        <v>18</v>
      </c>
      <c r="O1041" t="s">
        <v>259</v>
      </c>
      <c r="P1041" t="s">
        <v>259</v>
      </c>
      <c r="T1041" t="s">
        <v>296</v>
      </c>
      <c r="U1041" t="s">
        <v>296</v>
      </c>
    </row>
    <row r="1042" spans="4:21" x14ac:dyDescent="0.45">
      <c r="D1042" t="s">
        <v>260</v>
      </c>
      <c r="E1042" t="s">
        <v>2782</v>
      </c>
      <c r="F1042" t="s">
        <v>290</v>
      </c>
      <c r="G1042" t="s">
        <v>2857</v>
      </c>
      <c r="H1042" t="s">
        <v>253</v>
      </c>
      <c r="I1042" t="s">
        <v>282</v>
      </c>
      <c r="J1042" t="s">
        <v>18</v>
      </c>
      <c r="O1042" t="s">
        <v>260</v>
      </c>
      <c r="P1042" t="s">
        <v>260</v>
      </c>
      <c r="T1042" t="s">
        <v>296</v>
      </c>
      <c r="U1042" t="s">
        <v>296</v>
      </c>
    </row>
    <row r="1043" spans="4:21" x14ac:dyDescent="0.45">
      <c r="D1043" t="s">
        <v>271</v>
      </c>
      <c r="E1043" t="s">
        <v>2794</v>
      </c>
      <c r="F1043" t="s">
        <v>290</v>
      </c>
      <c r="G1043" t="s">
        <v>2857</v>
      </c>
      <c r="H1043" t="s">
        <v>253</v>
      </c>
      <c r="I1043" t="s">
        <v>282</v>
      </c>
      <c r="J1043" t="s">
        <v>18</v>
      </c>
      <c r="O1043" t="s">
        <v>271</v>
      </c>
      <c r="P1043" t="s">
        <v>271</v>
      </c>
      <c r="T1043" t="s">
        <v>296</v>
      </c>
      <c r="U1043" t="s">
        <v>296</v>
      </c>
    </row>
    <row r="1044" spans="4:21" x14ac:dyDescent="0.45">
      <c r="D1044" t="s">
        <v>270</v>
      </c>
      <c r="E1044" t="s">
        <v>2793</v>
      </c>
      <c r="F1044" t="s">
        <v>290</v>
      </c>
      <c r="G1044" t="s">
        <v>2857</v>
      </c>
      <c r="H1044" t="s">
        <v>253</v>
      </c>
      <c r="I1044" t="s">
        <v>282</v>
      </c>
      <c r="J1044" t="s">
        <v>18</v>
      </c>
      <c r="O1044" t="s">
        <v>270</v>
      </c>
      <c r="P1044" t="s">
        <v>270</v>
      </c>
      <c r="T1044" t="s">
        <v>296</v>
      </c>
      <c r="U1044" t="s">
        <v>296</v>
      </c>
    </row>
    <row r="1045" spans="4:21" x14ac:dyDescent="0.45">
      <c r="D1045" t="s">
        <v>267</v>
      </c>
      <c r="E1045" t="s">
        <v>2790</v>
      </c>
      <c r="F1045" t="s">
        <v>290</v>
      </c>
      <c r="G1045" t="s">
        <v>2857</v>
      </c>
      <c r="H1045" t="s">
        <v>253</v>
      </c>
      <c r="I1045" t="s">
        <v>282</v>
      </c>
      <c r="J1045" t="s">
        <v>18</v>
      </c>
      <c r="O1045" t="s">
        <v>267</v>
      </c>
      <c r="P1045" t="s">
        <v>267</v>
      </c>
      <c r="T1045" t="s">
        <v>296</v>
      </c>
      <c r="U1045" t="s">
        <v>296</v>
      </c>
    </row>
    <row r="1046" spans="4:21" x14ac:dyDescent="0.45">
      <c r="D1046" t="s">
        <v>262</v>
      </c>
      <c r="E1046" t="s">
        <v>2784</v>
      </c>
      <c r="F1046" t="s">
        <v>290</v>
      </c>
      <c r="G1046" t="s">
        <v>2857</v>
      </c>
      <c r="H1046" t="s">
        <v>253</v>
      </c>
      <c r="I1046" t="s">
        <v>282</v>
      </c>
      <c r="J1046" t="s">
        <v>18</v>
      </c>
      <c r="O1046" t="s">
        <v>262</v>
      </c>
      <c r="P1046" t="s">
        <v>262</v>
      </c>
      <c r="T1046" t="s">
        <v>296</v>
      </c>
      <c r="U1046" t="s">
        <v>296</v>
      </c>
    </row>
    <row r="1047" spans="4:21" x14ac:dyDescent="0.45">
      <c r="D1047" t="s">
        <v>268</v>
      </c>
      <c r="E1047" t="s">
        <v>2791</v>
      </c>
      <c r="F1047" t="s">
        <v>290</v>
      </c>
      <c r="G1047" t="s">
        <v>2857</v>
      </c>
      <c r="H1047" t="s">
        <v>253</v>
      </c>
      <c r="I1047" t="s">
        <v>282</v>
      </c>
      <c r="J1047" t="s">
        <v>18</v>
      </c>
      <c r="O1047" t="s">
        <v>268</v>
      </c>
      <c r="P1047" t="s">
        <v>268</v>
      </c>
      <c r="T1047" t="s">
        <v>296</v>
      </c>
      <c r="U1047" t="s">
        <v>296</v>
      </c>
    </row>
    <row r="1048" spans="4:21" x14ac:dyDescent="0.45">
      <c r="D1048" t="s">
        <v>269</v>
      </c>
      <c r="E1048" t="s">
        <v>2792</v>
      </c>
      <c r="F1048" t="s">
        <v>290</v>
      </c>
      <c r="G1048" t="s">
        <v>2857</v>
      </c>
      <c r="H1048" t="s">
        <v>253</v>
      </c>
      <c r="I1048" t="s">
        <v>282</v>
      </c>
      <c r="J1048" t="s">
        <v>18</v>
      </c>
      <c r="O1048" t="s">
        <v>269</v>
      </c>
      <c r="P1048" t="s">
        <v>269</v>
      </c>
      <c r="T1048" t="s">
        <v>296</v>
      </c>
      <c r="U1048" t="s">
        <v>296</v>
      </c>
    </row>
    <row r="1049" spans="4:21" x14ac:dyDescent="0.45">
      <c r="D1049" t="s">
        <v>30</v>
      </c>
      <c r="E1049" t="s">
        <v>2789</v>
      </c>
      <c r="F1049" t="s">
        <v>290</v>
      </c>
      <c r="G1049" t="s">
        <v>2857</v>
      </c>
      <c r="H1049" t="s">
        <v>253</v>
      </c>
      <c r="I1049" t="s">
        <v>282</v>
      </c>
      <c r="J1049" t="s">
        <v>18</v>
      </c>
      <c r="O1049" t="s">
        <v>30</v>
      </c>
      <c r="P1049" t="s">
        <v>30</v>
      </c>
      <c r="T1049" t="s">
        <v>296</v>
      </c>
      <c r="U1049" t="s">
        <v>296</v>
      </c>
    </row>
    <row r="1050" spans="4:21" x14ac:dyDescent="0.45">
      <c r="G1050" t="s">
        <v>18</v>
      </c>
      <c r="H1050" t="s">
        <v>18</v>
      </c>
      <c r="J1050" t="s">
        <v>18</v>
      </c>
      <c r="P1050" t="s">
        <v>18</v>
      </c>
      <c r="U1050" t="s">
        <v>18</v>
      </c>
    </row>
    <row r="1051" spans="4:21" x14ac:dyDescent="0.45">
      <c r="D1051" t="s">
        <v>1258</v>
      </c>
      <c r="E1051" t="s">
        <v>2858</v>
      </c>
      <c r="F1051" t="s">
        <v>290</v>
      </c>
      <c r="H1051" t="s">
        <v>253</v>
      </c>
    </row>
    <row r="1052" spans="4:21" x14ac:dyDescent="0.45">
      <c r="D1052" t="s">
        <v>1259</v>
      </c>
      <c r="E1052" t="s">
        <v>2859</v>
      </c>
      <c r="F1052" t="s">
        <v>290</v>
      </c>
      <c r="H1052" t="s">
        <v>253</v>
      </c>
    </row>
    <row r="1053" spans="4:21" x14ac:dyDescent="0.45">
      <c r="D1053" t="s">
        <v>1260</v>
      </c>
      <c r="E1053" t="s">
        <v>2860</v>
      </c>
      <c r="F1053" t="s">
        <v>290</v>
      </c>
      <c r="H1053" t="s">
        <v>253</v>
      </c>
    </row>
    <row r="1054" spans="4:21" x14ac:dyDescent="0.45">
      <c r="D1054" t="s">
        <v>1261</v>
      </c>
      <c r="E1054" t="s">
        <v>2861</v>
      </c>
      <c r="F1054" t="s">
        <v>290</v>
      </c>
      <c r="H1054" t="s">
        <v>253</v>
      </c>
    </row>
    <row r="1055" spans="4:21" x14ac:dyDescent="0.45">
      <c r="D1055" t="s">
        <v>1262</v>
      </c>
      <c r="E1055" t="s">
        <v>2862</v>
      </c>
      <c r="F1055" t="s">
        <v>290</v>
      </c>
      <c r="H1055" t="s">
        <v>253</v>
      </c>
    </row>
    <row r="1056" spans="4:21" x14ac:dyDescent="0.45">
      <c r="D1056" t="s">
        <v>1263</v>
      </c>
      <c r="E1056" t="s">
        <v>2863</v>
      </c>
      <c r="F1056" t="s">
        <v>290</v>
      </c>
      <c r="H1056" t="s">
        <v>253</v>
      </c>
    </row>
    <row r="1057" spans="4:8" x14ac:dyDescent="0.45">
      <c r="D1057" t="s">
        <v>1264</v>
      </c>
      <c r="E1057" t="s">
        <v>2864</v>
      </c>
      <c r="F1057" t="s">
        <v>290</v>
      </c>
      <c r="H1057" t="s">
        <v>253</v>
      </c>
    </row>
    <row r="1058" spans="4:8" x14ac:dyDescent="0.45">
      <c r="D1058" t="s">
        <v>1265</v>
      </c>
      <c r="E1058" t="s">
        <v>2865</v>
      </c>
      <c r="F1058" t="s">
        <v>290</v>
      </c>
      <c r="H1058" t="s">
        <v>253</v>
      </c>
    </row>
    <row r="1059" spans="4:8" x14ac:dyDescent="0.45">
      <c r="D1059" t="s">
        <v>1266</v>
      </c>
      <c r="E1059" t="s">
        <v>2866</v>
      </c>
      <c r="F1059" t="s">
        <v>290</v>
      </c>
      <c r="H1059" t="s">
        <v>253</v>
      </c>
    </row>
    <row r="1060" spans="4:8" x14ac:dyDescent="0.45">
      <c r="D1060" t="s">
        <v>1267</v>
      </c>
      <c r="E1060" t="s">
        <v>2867</v>
      </c>
      <c r="F1060" t="s">
        <v>290</v>
      </c>
      <c r="H1060" t="s">
        <v>253</v>
      </c>
    </row>
    <row r="1061" spans="4:8" x14ac:dyDescent="0.45">
      <c r="D1061" t="s">
        <v>1268</v>
      </c>
      <c r="E1061" t="s">
        <v>2868</v>
      </c>
      <c r="F1061" t="s">
        <v>290</v>
      </c>
      <c r="H1061" t="s">
        <v>253</v>
      </c>
    </row>
    <row r="1062" spans="4:8" x14ac:dyDescent="0.45">
      <c r="D1062" t="s">
        <v>1269</v>
      </c>
      <c r="E1062" t="s">
        <v>2869</v>
      </c>
      <c r="F1062" t="s">
        <v>290</v>
      </c>
      <c r="H1062" t="s">
        <v>253</v>
      </c>
    </row>
    <row r="1063" spans="4:8" x14ac:dyDescent="0.45">
      <c r="H1063" t="s">
        <v>253</v>
      </c>
    </row>
    <row r="1064" spans="4:8" x14ac:dyDescent="0.45">
      <c r="D1064" t="s">
        <v>1258</v>
      </c>
      <c r="E1064" t="s">
        <v>2870</v>
      </c>
      <c r="F1064" t="s">
        <v>290</v>
      </c>
      <c r="H1064" t="s">
        <v>253</v>
      </c>
    </row>
    <row r="1065" spans="4:8" x14ac:dyDescent="0.45">
      <c r="D1065" t="s">
        <v>1267</v>
      </c>
      <c r="E1065" t="s">
        <v>2871</v>
      </c>
      <c r="F1065" t="s">
        <v>290</v>
      </c>
      <c r="H1065" t="s">
        <v>253</v>
      </c>
    </row>
    <row r="1066" spans="4:8" x14ac:dyDescent="0.45">
      <c r="D1066" t="s">
        <v>1266</v>
      </c>
      <c r="E1066" t="s">
        <v>2872</v>
      </c>
      <c r="F1066" t="s">
        <v>290</v>
      </c>
      <c r="H1066" t="s">
        <v>253</v>
      </c>
    </row>
    <row r="1067" spans="4:8" x14ac:dyDescent="0.45">
      <c r="D1067" t="s">
        <v>1263</v>
      </c>
      <c r="E1067" t="s">
        <v>2873</v>
      </c>
      <c r="F1067" t="s">
        <v>290</v>
      </c>
      <c r="H1067" t="s">
        <v>253</v>
      </c>
    </row>
    <row r="1068" spans="4:8" x14ac:dyDescent="0.45">
      <c r="D1068" t="s">
        <v>1265</v>
      </c>
      <c r="E1068" t="s">
        <v>2874</v>
      </c>
      <c r="F1068" t="s">
        <v>290</v>
      </c>
      <c r="H1068" t="s">
        <v>253</v>
      </c>
    </row>
    <row r="1069" spans="4:8" x14ac:dyDescent="0.45">
      <c r="D1069" t="s">
        <v>1264</v>
      </c>
      <c r="E1069" t="s">
        <v>2875</v>
      </c>
      <c r="F1069" t="s">
        <v>290</v>
      </c>
      <c r="H1069" t="s">
        <v>253</v>
      </c>
    </row>
    <row r="1070" spans="4:8" x14ac:dyDescent="0.45">
      <c r="D1070" t="s">
        <v>1259</v>
      </c>
      <c r="E1070" t="s">
        <v>2876</v>
      </c>
      <c r="F1070" t="s">
        <v>290</v>
      </c>
      <c r="H1070" t="s">
        <v>253</v>
      </c>
    </row>
    <row r="1071" spans="4:8" x14ac:dyDescent="0.45">
      <c r="D1071" t="s">
        <v>1262</v>
      </c>
      <c r="E1071" t="s">
        <v>2877</v>
      </c>
      <c r="F1071" t="s">
        <v>290</v>
      </c>
      <c r="H1071" t="s">
        <v>253</v>
      </c>
    </row>
    <row r="1072" spans="4:8" x14ac:dyDescent="0.45">
      <c r="D1072" t="s">
        <v>1268</v>
      </c>
      <c r="E1072" t="s">
        <v>2878</v>
      </c>
      <c r="F1072" t="s">
        <v>290</v>
      </c>
      <c r="H1072" t="s">
        <v>253</v>
      </c>
    </row>
    <row r="1073" spans="4:21" x14ac:dyDescent="0.45">
      <c r="D1073" t="s">
        <v>1261</v>
      </c>
      <c r="E1073" t="s">
        <v>2879</v>
      </c>
      <c r="F1073" t="s">
        <v>290</v>
      </c>
      <c r="H1073" t="s">
        <v>253</v>
      </c>
    </row>
    <row r="1074" spans="4:21" x14ac:dyDescent="0.45">
      <c r="D1074" t="s">
        <v>1260</v>
      </c>
      <c r="E1074" t="s">
        <v>2880</v>
      </c>
      <c r="F1074" t="s">
        <v>290</v>
      </c>
      <c r="H1074" t="s">
        <v>253</v>
      </c>
    </row>
    <row r="1075" spans="4:21" x14ac:dyDescent="0.45">
      <c r="E1075" t="s">
        <v>293</v>
      </c>
    </row>
    <row r="1076" spans="4:21" x14ac:dyDescent="0.45">
      <c r="D1076" t="s">
        <v>1270</v>
      </c>
      <c r="E1076" t="s">
        <v>297</v>
      </c>
      <c r="F1076" t="s">
        <v>290</v>
      </c>
      <c r="H1076" t="s">
        <v>253</v>
      </c>
    </row>
    <row r="1077" spans="4:21" x14ac:dyDescent="0.45">
      <c r="D1077" t="s">
        <v>1271</v>
      </c>
      <c r="E1077" t="s">
        <v>2881</v>
      </c>
      <c r="F1077" t="s">
        <v>290</v>
      </c>
      <c r="H1077" t="s">
        <v>253</v>
      </c>
    </row>
    <row r="1078" spans="4:21" x14ac:dyDescent="0.45">
      <c r="G1078" t="s">
        <v>18</v>
      </c>
      <c r="H1078" t="s">
        <v>18</v>
      </c>
      <c r="J1078" t="s">
        <v>18</v>
      </c>
      <c r="P1078" t="s">
        <v>18</v>
      </c>
      <c r="U1078" t="s">
        <v>18</v>
      </c>
    </row>
    <row r="1079" spans="4:21" x14ac:dyDescent="0.45">
      <c r="D1079" t="s">
        <v>1272</v>
      </c>
      <c r="E1079" t="s">
        <v>2882</v>
      </c>
      <c r="F1079" t="s">
        <v>290</v>
      </c>
      <c r="G1079" t="s">
        <v>2883</v>
      </c>
      <c r="H1079" t="s">
        <v>19</v>
      </c>
      <c r="I1079" t="s">
        <v>298</v>
      </c>
      <c r="J1079" t="s">
        <v>18</v>
      </c>
      <c r="M1079" t="s">
        <v>28</v>
      </c>
      <c r="P1079" t="s">
        <v>28</v>
      </c>
      <c r="Q1079" t="s">
        <v>101</v>
      </c>
      <c r="U1079" t="s">
        <v>18</v>
      </c>
    </row>
    <row r="1080" spans="4:21" x14ac:dyDescent="0.45">
      <c r="D1080" t="s">
        <v>1273</v>
      </c>
      <c r="E1080" t="s">
        <v>2884</v>
      </c>
      <c r="F1080" t="s">
        <v>290</v>
      </c>
      <c r="G1080" t="s">
        <v>2885</v>
      </c>
      <c r="H1080" t="s">
        <v>19</v>
      </c>
      <c r="I1080" t="s">
        <v>298</v>
      </c>
      <c r="J1080" t="s">
        <v>18</v>
      </c>
      <c r="M1080" t="s">
        <v>28</v>
      </c>
      <c r="P1080" t="s">
        <v>28</v>
      </c>
      <c r="Q1080" t="s">
        <v>63</v>
      </c>
      <c r="U1080" t="s">
        <v>18</v>
      </c>
    </row>
    <row r="1081" spans="4:21" x14ac:dyDescent="0.45">
      <c r="D1081" t="s">
        <v>1274</v>
      </c>
      <c r="E1081" t="s">
        <v>2886</v>
      </c>
      <c r="F1081" t="s">
        <v>290</v>
      </c>
      <c r="G1081" t="s">
        <v>2887</v>
      </c>
      <c r="H1081" t="s">
        <v>19</v>
      </c>
      <c r="I1081" t="s">
        <v>298</v>
      </c>
      <c r="J1081" t="s">
        <v>18</v>
      </c>
      <c r="M1081" t="s">
        <v>28</v>
      </c>
      <c r="P1081" t="s">
        <v>28</v>
      </c>
      <c r="Q1081" t="s">
        <v>64</v>
      </c>
      <c r="U1081" t="s">
        <v>18</v>
      </c>
    </row>
    <row r="1082" spans="4:21" x14ac:dyDescent="0.45">
      <c r="G1082" t="s">
        <v>18</v>
      </c>
      <c r="H1082" t="s">
        <v>18</v>
      </c>
      <c r="J1082" t="s">
        <v>18</v>
      </c>
      <c r="P1082" t="s">
        <v>18</v>
      </c>
      <c r="U1082" t="s">
        <v>18</v>
      </c>
    </row>
    <row r="1083" spans="4:21" x14ac:dyDescent="0.45">
      <c r="D1083" t="s">
        <v>1275</v>
      </c>
      <c r="E1083" t="s">
        <v>31</v>
      </c>
      <c r="F1083" t="s">
        <v>290</v>
      </c>
      <c r="G1083" t="s">
        <v>2888</v>
      </c>
      <c r="H1083" t="s">
        <v>19</v>
      </c>
      <c r="I1083" t="s">
        <v>299</v>
      </c>
      <c r="J1083" t="s">
        <v>18</v>
      </c>
      <c r="P1083" t="s">
        <v>18</v>
      </c>
      <c r="U1083" t="s">
        <v>18</v>
      </c>
    </row>
    <row r="1084" spans="4:21" x14ac:dyDescent="0.45">
      <c r="D1084" t="s">
        <v>1276</v>
      </c>
      <c r="E1084" t="s">
        <v>300</v>
      </c>
      <c r="F1084" t="s">
        <v>290</v>
      </c>
      <c r="G1084" t="s">
        <v>2889</v>
      </c>
      <c r="H1084" t="s">
        <v>19</v>
      </c>
      <c r="I1084" t="s">
        <v>58</v>
      </c>
      <c r="J1084" t="s">
        <v>18</v>
      </c>
      <c r="N1084" t="s">
        <v>26</v>
      </c>
      <c r="P1084" t="s">
        <v>26</v>
      </c>
      <c r="U1084" t="s">
        <v>18</v>
      </c>
    </row>
    <row r="1085" spans="4:21" x14ac:dyDescent="0.45">
      <c r="D1085" t="s">
        <v>1277</v>
      </c>
      <c r="E1085" t="s">
        <v>58</v>
      </c>
      <c r="F1085" t="s">
        <v>290</v>
      </c>
      <c r="G1085" t="s">
        <v>2889</v>
      </c>
      <c r="H1085" t="s">
        <v>19</v>
      </c>
      <c r="I1085" t="s">
        <v>58</v>
      </c>
      <c r="J1085" t="s">
        <v>18</v>
      </c>
      <c r="P1085" t="s">
        <v>18</v>
      </c>
      <c r="U1085" t="s">
        <v>18</v>
      </c>
    </row>
    <row r="1086" spans="4:21" x14ac:dyDescent="0.45">
      <c r="D1086" t="s">
        <v>1278</v>
      </c>
      <c r="E1086" t="s">
        <v>301</v>
      </c>
      <c r="F1086" t="s">
        <v>290</v>
      </c>
      <c r="G1086" t="s">
        <v>2890</v>
      </c>
      <c r="H1086" t="s">
        <v>19</v>
      </c>
      <c r="I1086" t="s">
        <v>302</v>
      </c>
      <c r="J1086" t="s">
        <v>18</v>
      </c>
      <c r="P1086" t="s">
        <v>18</v>
      </c>
      <c r="U1086" t="s">
        <v>18</v>
      </c>
    </row>
    <row r="1087" spans="4:21" x14ac:dyDescent="0.45">
      <c r="D1087" t="s">
        <v>1279</v>
      </c>
      <c r="E1087" t="s">
        <v>168</v>
      </c>
      <c r="F1087" t="s">
        <v>290</v>
      </c>
      <c r="G1087" t="s">
        <v>2891</v>
      </c>
      <c r="H1087" t="s">
        <v>19</v>
      </c>
      <c r="I1087" t="s">
        <v>168</v>
      </c>
      <c r="J1087" t="s">
        <v>18</v>
      </c>
      <c r="P1087" t="s">
        <v>18</v>
      </c>
      <c r="U1087" t="s">
        <v>18</v>
      </c>
    </row>
    <row r="1088" spans="4:21" x14ac:dyDescent="0.45">
      <c r="D1088" t="s">
        <v>1280</v>
      </c>
      <c r="E1088" t="s">
        <v>303</v>
      </c>
      <c r="F1088" t="s">
        <v>290</v>
      </c>
      <c r="G1088" t="s">
        <v>2892</v>
      </c>
      <c r="H1088" t="s">
        <v>19</v>
      </c>
      <c r="I1088" t="s">
        <v>304</v>
      </c>
      <c r="J1088" t="s">
        <v>18</v>
      </c>
      <c r="P1088" t="s">
        <v>18</v>
      </c>
      <c r="U1088" t="s">
        <v>18</v>
      </c>
    </row>
    <row r="1089" spans="4:22" x14ac:dyDescent="0.45">
      <c r="D1089" t="s">
        <v>1281</v>
      </c>
      <c r="E1089" t="s">
        <v>304</v>
      </c>
      <c r="F1089" t="s">
        <v>290</v>
      </c>
      <c r="G1089" t="s">
        <v>2892</v>
      </c>
      <c r="H1089" t="s">
        <v>19</v>
      </c>
      <c r="I1089" t="s">
        <v>304</v>
      </c>
      <c r="J1089" t="s">
        <v>18</v>
      </c>
      <c r="P1089" t="s">
        <v>18</v>
      </c>
      <c r="U1089" t="s">
        <v>18</v>
      </c>
    </row>
    <row r="1090" spans="4:22" x14ac:dyDescent="0.45">
      <c r="D1090" t="s">
        <v>1282</v>
      </c>
      <c r="E1090" t="s">
        <v>305</v>
      </c>
      <c r="F1090" t="s">
        <v>290</v>
      </c>
      <c r="G1090" t="s">
        <v>2893</v>
      </c>
      <c r="H1090" t="s">
        <v>19</v>
      </c>
      <c r="I1090" t="s">
        <v>306</v>
      </c>
      <c r="J1090" t="s">
        <v>18</v>
      </c>
      <c r="P1090" t="s">
        <v>18</v>
      </c>
      <c r="U1090" t="s">
        <v>18</v>
      </c>
    </row>
    <row r="1091" spans="4:22" x14ac:dyDescent="0.45">
      <c r="D1091" t="s">
        <v>1283</v>
      </c>
      <c r="E1091" t="s">
        <v>2894</v>
      </c>
      <c r="F1091" t="s">
        <v>290</v>
      </c>
      <c r="G1091" t="s">
        <v>2895</v>
      </c>
      <c r="H1091" t="s">
        <v>19</v>
      </c>
      <c r="I1091" t="s">
        <v>307</v>
      </c>
      <c r="J1091" t="s">
        <v>18</v>
      </c>
      <c r="N1091" t="s">
        <v>46</v>
      </c>
      <c r="P1091" t="s">
        <v>46</v>
      </c>
      <c r="Q1091" t="s">
        <v>101</v>
      </c>
      <c r="U1091" t="s">
        <v>18</v>
      </c>
      <c r="V1091">
        <v>1</v>
      </c>
    </row>
    <row r="1092" spans="4:22" x14ac:dyDescent="0.45">
      <c r="D1092" t="s">
        <v>1284</v>
      </c>
      <c r="E1092" t="s">
        <v>2896</v>
      </c>
      <c r="F1092" t="s">
        <v>290</v>
      </c>
      <c r="G1092" t="s">
        <v>2897</v>
      </c>
      <c r="H1092" t="s">
        <v>19</v>
      </c>
      <c r="I1092" t="s">
        <v>308</v>
      </c>
      <c r="J1092" t="s">
        <v>18</v>
      </c>
      <c r="N1092" t="s">
        <v>46</v>
      </c>
      <c r="P1092" t="s">
        <v>46</v>
      </c>
      <c r="Q1092" t="s">
        <v>101</v>
      </c>
      <c r="U1092" t="s">
        <v>18</v>
      </c>
      <c r="V1092">
        <v>1</v>
      </c>
    </row>
    <row r="1093" spans="4:22" x14ac:dyDescent="0.45">
      <c r="D1093" t="s">
        <v>1285</v>
      </c>
      <c r="E1093" t="s">
        <v>2898</v>
      </c>
      <c r="F1093" t="s">
        <v>290</v>
      </c>
      <c r="G1093" t="s">
        <v>2899</v>
      </c>
      <c r="H1093" t="s">
        <v>19</v>
      </c>
      <c r="I1093" t="s">
        <v>193</v>
      </c>
      <c r="J1093" t="s">
        <v>18</v>
      </c>
      <c r="N1093" t="s">
        <v>46</v>
      </c>
      <c r="P1093" t="s">
        <v>46</v>
      </c>
      <c r="Q1093" t="s">
        <v>101</v>
      </c>
      <c r="U1093" t="s">
        <v>18</v>
      </c>
      <c r="V1093">
        <v>1</v>
      </c>
    </row>
    <row r="1094" spans="4:22" x14ac:dyDescent="0.45">
      <c r="G1094" t="s">
        <v>18</v>
      </c>
      <c r="H1094" t="s">
        <v>18</v>
      </c>
      <c r="J1094" t="s">
        <v>18</v>
      </c>
      <c r="P1094" t="s">
        <v>18</v>
      </c>
      <c r="U1094" t="s">
        <v>18</v>
      </c>
    </row>
    <row r="1095" spans="4:22" x14ac:dyDescent="0.45">
      <c r="D1095" t="s">
        <v>1286</v>
      </c>
      <c r="E1095" t="s">
        <v>2900</v>
      </c>
      <c r="F1095" t="s">
        <v>290</v>
      </c>
      <c r="G1095" t="s">
        <v>2901</v>
      </c>
      <c r="H1095" t="s">
        <v>19</v>
      </c>
      <c r="I1095" t="s">
        <v>309</v>
      </c>
      <c r="J1095" t="s">
        <v>59</v>
      </c>
      <c r="P1095" t="s">
        <v>18</v>
      </c>
      <c r="Q1095" t="s">
        <v>181</v>
      </c>
      <c r="T1095">
        <v>2019</v>
      </c>
      <c r="U1095" t="s">
        <v>2902</v>
      </c>
      <c r="V1095">
        <v>1</v>
      </c>
    </row>
    <row r="1096" spans="4:22" x14ac:dyDescent="0.45">
      <c r="D1096" t="s">
        <v>1287</v>
      </c>
      <c r="E1096" t="s">
        <v>2903</v>
      </c>
      <c r="F1096" t="s">
        <v>290</v>
      </c>
      <c r="G1096" t="s">
        <v>2904</v>
      </c>
      <c r="H1096" t="s">
        <v>19</v>
      </c>
      <c r="I1096" t="s">
        <v>309</v>
      </c>
      <c r="J1096" t="s">
        <v>59</v>
      </c>
      <c r="P1096" t="s">
        <v>18</v>
      </c>
      <c r="Q1096" t="s">
        <v>60</v>
      </c>
      <c r="T1096">
        <v>2019</v>
      </c>
      <c r="U1096" t="s">
        <v>2902</v>
      </c>
      <c r="V1096">
        <v>1</v>
      </c>
    </row>
    <row r="1097" spans="4:22" x14ac:dyDescent="0.45">
      <c r="D1097" t="s">
        <v>1288</v>
      </c>
      <c r="E1097" t="s">
        <v>2905</v>
      </c>
      <c r="F1097" t="s">
        <v>290</v>
      </c>
      <c r="G1097" t="s">
        <v>2906</v>
      </c>
      <c r="H1097" t="s">
        <v>19</v>
      </c>
      <c r="I1097" t="s">
        <v>309</v>
      </c>
      <c r="J1097" t="s">
        <v>59</v>
      </c>
      <c r="P1097" t="s">
        <v>18</v>
      </c>
      <c r="Q1097" t="s">
        <v>61</v>
      </c>
      <c r="T1097">
        <v>2019</v>
      </c>
      <c r="U1097" t="s">
        <v>2902</v>
      </c>
      <c r="V1097">
        <v>1</v>
      </c>
    </row>
    <row r="1098" spans="4:22" x14ac:dyDescent="0.45">
      <c r="D1098" t="s">
        <v>1289</v>
      </c>
      <c r="E1098" t="s">
        <v>2907</v>
      </c>
      <c r="F1098" t="s">
        <v>290</v>
      </c>
      <c r="G1098" t="s">
        <v>2908</v>
      </c>
      <c r="H1098" t="s">
        <v>19</v>
      </c>
      <c r="I1098" t="s">
        <v>309</v>
      </c>
      <c r="J1098" t="s">
        <v>59</v>
      </c>
      <c r="P1098" t="s">
        <v>18</v>
      </c>
      <c r="Q1098" t="s">
        <v>113</v>
      </c>
      <c r="T1098">
        <v>2019</v>
      </c>
      <c r="U1098" t="s">
        <v>2902</v>
      </c>
      <c r="V1098">
        <v>1</v>
      </c>
    </row>
    <row r="1099" spans="4:22" x14ac:dyDescent="0.45">
      <c r="D1099" t="s">
        <v>1290</v>
      </c>
      <c r="E1099" t="s">
        <v>2909</v>
      </c>
      <c r="F1099" t="s">
        <v>290</v>
      </c>
      <c r="G1099" t="s">
        <v>2910</v>
      </c>
      <c r="H1099" t="s">
        <v>19</v>
      </c>
      <c r="I1099" t="s">
        <v>309</v>
      </c>
      <c r="J1099" t="s">
        <v>59</v>
      </c>
      <c r="P1099" t="s">
        <v>18</v>
      </c>
      <c r="Q1099" t="s">
        <v>63</v>
      </c>
      <c r="T1099">
        <v>2019</v>
      </c>
      <c r="U1099" t="s">
        <v>2902</v>
      </c>
      <c r="V1099">
        <v>1</v>
      </c>
    </row>
    <row r="1100" spans="4:22" x14ac:dyDescent="0.45">
      <c r="D1100" t="s">
        <v>1291</v>
      </c>
      <c r="E1100" t="s">
        <v>2911</v>
      </c>
      <c r="F1100" t="s">
        <v>290</v>
      </c>
      <c r="G1100" t="s">
        <v>2912</v>
      </c>
      <c r="H1100" t="s">
        <v>19</v>
      </c>
      <c r="I1100" t="s">
        <v>309</v>
      </c>
      <c r="J1100" t="s">
        <v>59</v>
      </c>
      <c r="P1100" t="s">
        <v>18</v>
      </c>
      <c r="Q1100" t="s">
        <v>64</v>
      </c>
      <c r="T1100">
        <v>2019</v>
      </c>
      <c r="U1100" t="s">
        <v>2902</v>
      </c>
      <c r="V1100">
        <v>1</v>
      </c>
    </row>
    <row r="1101" spans="4:22" x14ac:dyDescent="0.45">
      <c r="D1101" t="s">
        <v>1292</v>
      </c>
      <c r="E1101" t="s">
        <v>2913</v>
      </c>
      <c r="F1101" t="s">
        <v>290</v>
      </c>
      <c r="G1101" t="s">
        <v>2914</v>
      </c>
      <c r="H1101" t="s">
        <v>19</v>
      </c>
      <c r="I1101" t="s">
        <v>309</v>
      </c>
      <c r="J1101" t="s">
        <v>59</v>
      </c>
      <c r="P1101" t="s">
        <v>18</v>
      </c>
      <c r="Q1101" t="s">
        <v>66</v>
      </c>
      <c r="T1101">
        <v>2019</v>
      </c>
      <c r="U1101" t="s">
        <v>2902</v>
      </c>
      <c r="V1101">
        <v>1</v>
      </c>
    </row>
    <row r="1102" spans="4:22" x14ac:dyDescent="0.45">
      <c r="D1102" t="s">
        <v>1293</v>
      </c>
      <c r="E1102" t="s">
        <v>2915</v>
      </c>
      <c r="F1102" t="s">
        <v>290</v>
      </c>
      <c r="G1102" t="s">
        <v>2916</v>
      </c>
      <c r="H1102" t="s">
        <v>19</v>
      </c>
      <c r="I1102" t="s">
        <v>309</v>
      </c>
      <c r="J1102" t="s">
        <v>59</v>
      </c>
      <c r="P1102" t="s">
        <v>18</v>
      </c>
      <c r="Q1102" t="s">
        <v>65</v>
      </c>
      <c r="T1102">
        <v>2019</v>
      </c>
      <c r="U1102" t="s">
        <v>2902</v>
      </c>
      <c r="V1102">
        <v>1</v>
      </c>
    </row>
    <row r="1103" spans="4:22" x14ac:dyDescent="0.45">
      <c r="D1103" t="s">
        <v>1294</v>
      </c>
      <c r="E1103" t="s">
        <v>2917</v>
      </c>
      <c r="F1103" t="s">
        <v>290</v>
      </c>
      <c r="G1103" t="s">
        <v>2918</v>
      </c>
      <c r="H1103" t="s">
        <v>19</v>
      </c>
      <c r="I1103" t="s">
        <v>309</v>
      </c>
      <c r="J1103" t="s">
        <v>59</v>
      </c>
      <c r="P1103" t="s">
        <v>18</v>
      </c>
      <c r="Q1103" t="s">
        <v>180</v>
      </c>
      <c r="T1103">
        <v>2019</v>
      </c>
      <c r="U1103" t="s">
        <v>2902</v>
      </c>
      <c r="V1103">
        <v>1</v>
      </c>
    </row>
    <row r="1104" spans="4:22" x14ac:dyDescent="0.45">
      <c r="D1104" t="s">
        <v>1295</v>
      </c>
      <c r="E1104" t="s">
        <v>2919</v>
      </c>
      <c r="F1104" t="s">
        <v>290</v>
      </c>
      <c r="G1104" t="s">
        <v>2920</v>
      </c>
      <c r="H1104" t="s">
        <v>19</v>
      </c>
      <c r="I1104" t="s">
        <v>309</v>
      </c>
      <c r="J1104" t="s">
        <v>59</v>
      </c>
      <c r="P1104" t="s">
        <v>18</v>
      </c>
      <c r="Q1104" t="s">
        <v>170</v>
      </c>
      <c r="T1104">
        <v>2019</v>
      </c>
      <c r="U1104" t="s">
        <v>2902</v>
      </c>
      <c r="V1104">
        <v>1</v>
      </c>
    </row>
    <row r="1105" spans="4:22" x14ac:dyDescent="0.45">
      <c r="D1105" t="s">
        <v>1296</v>
      </c>
      <c r="E1105" t="s">
        <v>2921</v>
      </c>
      <c r="F1105" t="s">
        <v>290</v>
      </c>
      <c r="G1105" t="s">
        <v>2922</v>
      </c>
      <c r="H1105" t="s">
        <v>19</v>
      </c>
      <c r="I1105" t="s">
        <v>309</v>
      </c>
      <c r="J1105" t="s">
        <v>59</v>
      </c>
      <c r="P1105" t="s">
        <v>18</v>
      </c>
      <c r="Q1105" t="s">
        <v>171</v>
      </c>
      <c r="T1105">
        <v>2019</v>
      </c>
      <c r="U1105" t="s">
        <v>2902</v>
      </c>
      <c r="V1105">
        <v>1</v>
      </c>
    </row>
    <row r="1106" spans="4:22" x14ac:dyDescent="0.45">
      <c r="D1106" t="s">
        <v>1297</v>
      </c>
      <c r="E1106" t="s">
        <v>2923</v>
      </c>
      <c r="F1106" t="s">
        <v>290</v>
      </c>
      <c r="G1106" t="s">
        <v>2924</v>
      </c>
      <c r="H1106" t="s">
        <v>19</v>
      </c>
      <c r="I1106" t="s">
        <v>309</v>
      </c>
      <c r="J1106" t="s">
        <v>59</v>
      </c>
      <c r="P1106" t="s">
        <v>18</v>
      </c>
      <c r="Q1106" t="s">
        <v>172</v>
      </c>
      <c r="T1106">
        <v>2019</v>
      </c>
      <c r="U1106" t="s">
        <v>2902</v>
      </c>
      <c r="V1106">
        <v>1</v>
      </c>
    </row>
    <row r="1107" spans="4:22" x14ac:dyDescent="0.45">
      <c r="D1107" t="s">
        <v>1298</v>
      </c>
      <c r="E1107" t="s">
        <v>2925</v>
      </c>
      <c r="F1107" t="s">
        <v>290</v>
      </c>
      <c r="G1107" t="s">
        <v>2926</v>
      </c>
      <c r="H1107" t="s">
        <v>19</v>
      </c>
      <c r="I1107" t="s">
        <v>309</v>
      </c>
      <c r="J1107" t="s">
        <v>59</v>
      </c>
      <c r="P1107" t="s">
        <v>18</v>
      </c>
      <c r="Q1107" t="s">
        <v>173</v>
      </c>
      <c r="T1107">
        <v>2019</v>
      </c>
      <c r="U1107" t="s">
        <v>2902</v>
      </c>
      <c r="V1107">
        <v>1</v>
      </c>
    </row>
    <row r="1108" spans="4:22" x14ac:dyDescent="0.45">
      <c r="D1108" t="s">
        <v>1299</v>
      </c>
      <c r="E1108" t="s">
        <v>2927</v>
      </c>
      <c r="F1108" t="s">
        <v>290</v>
      </c>
      <c r="G1108" t="s">
        <v>2928</v>
      </c>
      <c r="H1108" t="s">
        <v>19</v>
      </c>
      <c r="I1108" t="s">
        <v>309</v>
      </c>
      <c r="J1108" t="s">
        <v>59</v>
      </c>
      <c r="P1108" t="s">
        <v>18</v>
      </c>
      <c r="Q1108" t="s">
        <v>160</v>
      </c>
      <c r="T1108">
        <v>2019</v>
      </c>
      <c r="U1108" t="s">
        <v>2902</v>
      </c>
      <c r="V1108">
        <v>1</v>
      </c>
    </row>
    <row r="1109" spans="4:22" x14ac:dyDescent="0.45">
      <c r="D1109" t="s">
        <v>1300</v>
      </c>
      <c r="E1109" t="s">
        <v>2929</v>
      </c>
      <c r="F1109" t="s">
        <v>290</v>
      </c>
      <c r="G1109" t="s">
        <v>2930</v>
      </c>
      <c r="H1109" t="s">
        <v>19</v>
      </c>
      <c r="I1109" t="s">
        <v>309</v>
      </c>
      <c r="J1109" t="s">
        <v>59</v>
      </c>
      <c r="P1109" t="s">
        <v>18</v>
      </c>
      <c r="Q1109" t="s">
        <v>162</v>
      </c>
      <c r="T1109">
        <v>2019</v>
      </c>
      <c r="U1109" t="s">
        <v>2902</v>
      </c>
      <c r="V1109">
        <v>1</v>
      </c>
    </row>
    <row r="1110" spans="4:22" x14ac:dyDescent="0.45">
      <c r="D1110" t="s">
        <v>1301</v>
      </c>
      <c r="E1110" t="s">
        <v>2931</v>
      </c>
      <c r="F1110" t="s">
        <v>290</v>
      </c>
      <c r="G1110" t="s">
        <v>2932</v>
      </c>
      <c r="H1110" t="s">
        <v>19</v>
      </c>
      <c r="I1110" t="s">
        <v>309</v>
      </c>
      <c r="J1110" t="s">
        <v>59</v>
      </c>
      <c r="P1110" t="s">
        <v>18</v>
      </c>
      <c r="Q1110" t="s">
        <v>310</v>
      </c>
      <c r="T1110">
        <v>2019</v>
      </c>
      <c r="U1110" t="s">
        <v>2902</v>
      </c>
      <c r="V1110">
        <v>1</v>
      </c>
    </row>
    <row r="1111" spans="4:22" x14ac:dyDescent="0.45">
      <c r="D1111" t="s">
        <v>1302</v>
      </c>
      <c r="E1111" t="s">
        <v>2933</v>
      </c>
      <c r="F1111" t="s">
        <v>290</v>
      </c>
      <c r="G1111" t="s">
        <v>2934</v>
      </c>
      <c r="H1111" t="s">
        <v>19</v>
      </c>
      <c r="I1111" t="s">
        <v>309</v>
      </c>
      <c r="J1111" t="s">
        <v>59</v>
      </c>
      <c r="P1111" t="s">
        <v>18</v>
      </c>
      <c r="Q1111" t="s">
        <v>311</v>
      </c>
      <c r="T1111">
        <v>2019</v>
      </c>
      <c r="U1111" t="s">
        <v>2902</v>
      </c>
      <c r="V1111">
        <v>1</v>
      </c>
    </row>
    <row r="1112" spans="4:22" x14ac:dyDescent="0.45">
      <c r="D1112" t="s">
        <v>1303</v>
      </c>
      <c r="E1112" t="s">
        <v>2935</v>
      </c>
      <c r="F1112" t="s">
        <v>290</v>
      </c>
      <c r="G1112" t="s">
        <v>2936</v>
      </c>
      <c r="H1112" t="s">
        <v>19</v>
      </c>
      <c r="I1112" t="s">
        <v>309</v>
      </c>
      <c r="J1112" t="s">
        <v>59</v>
      </c>
      <c r="P1112" t="s">
        <v>18</v>
      </c>
      <c r="Q1112" t="s">
        <v>312</v>
      </c>
      <c r="T1112">
        <v>2019</v>
      </c>
      <c r="U1112" t="s">
        <v>2902</v>
      </c>
      <c r="V1112">
        <v>1</v>
      </c>
    </row>
    <row r="1113" spans="4:22" x14ac:dyDescent="0.45">
      <c r="D1113" t="s">
        <v>1304</v>
      </c>
      <c r="E1113" t="s">
        <v>2937</v>
      </c>
      <c r="F1113" t="s">
        <v>290</v>
      </c>
      <c r="G1113" t="s">
        <v>2938</v>
      </c>
      <c r="H1113" t="s">
        <v>19</v>
      </c>
      <c r="I1113" t="s">
        <v>309</v>
      </c>
      <c r="J1113" t="s">
        <v>59</v>
      </c>
      <c r="P1113" t="s">
        <v>18</v>
      </c>
      <c r="Q1113" t="s">
        <v>313</v>
      </c>
      <c r="T1113">
        <v>2019</v>
      </c>
      <c r="U1113" t="s">
        <v>2902</v>
      </c>
      <c r="V1113">
        <v>1</v>
      </c>
    </row>
    <row r="1114" spans="4:22" x14ac:dyDescent="0.45">
      <c r="G1114" t="s">
        <v>18</v>
      </c>
      <c r="H1114" t="s">
        <v>18</v>
      </c>
      <c r="J1114" t="s">
        <v>18</v>
      </c>
      <c r="P1114" t="s">
        <v>18</v>
      </c>
      <c r="U1114" t="s">
        <v>18</v>
      </c>
    </row>
    <row r="1115" spans="4:22" x14ac:dyDescent="0.45">
      <c r="D1115" t="s">
        <v>1305</v>
      </c>
      <c r="E1115" t="s">
        <v>2939</v>
      </c>
      <c r="F1115" t="s">
        <v>290</v>
      </c>
      <c r="G1115" t="s">
        <v>2940</v>
      </c>
      <c r="H1115" t="s">
        <v>19</v>
      </c>
      <c r="J1115" t="s">
        <v>18</v>
      </c>
      <c r="P1115" t="s">
        <v>18</v>
      </c>
      <c r="U1115" t="s">
        <v>18</v>
      </c>
    </row>
    <row r="1116" spans="4:22" x14ac:dyDescent="0.45">
      <c r="D1116" t="s">
        <v>1306</v>
      </c>
      <c r="E1116" t="s">
        <v>2941</v>
      </c>
      <c r="F1116" t="s">
        <v>290</v>
      </c>
      <c r="G1116" t="s">
        <v>2940</v>
      </c>
      <c r="H1116" t="s">
        <v>19</v>
      </c>
      <c r="J1116" t="s">
        <v>18</v>
      </c>
      <c r="P1116" t="s">
        <v>18</v>
      </c>
      <c r="U1116" t="s">
        <v>18</v>
      </c>
    </row>
    <row r="1117" spans="4:22" x14ac:dyDescent="0.45">
      <c r="H1117" t="s">
        <v>18</v>
      </c>
      <c r="J1117" t="s">
        <v>18</v>
      </c>
      <c r="P1117" t="s">
        <v>18</v>
      </c>
      <c r="U1117" t="s">
        <v>18</v>
      </c>
    </row>
    <row r="1118" spans="4:22" x14ac:dyDescent="0.45">
      <c r="D1118" t="s">
        <v>1307</v>
      </c>
      <c r="E1118">
        <v>0</v>
      </c>
      <c r="F1118" t="s">
        <v>290</v>
      </c>
      <c r="G1118" t="s">
        <v>2942</v>
      </c>
      <c r="H1118" t="s">
        <v>19</v>
      </c>
      <c r="I1118" t="s">
        <v>314</v>
      </c>
      <c r="K1118" t="s">
        <v>315</v>
      </c>
    </row>
    <row r="1119" spans="4:22" x14ac:dyDescent="0.45">
      <c r="D1119" t="s">
        <v>1308</v>
      </c>
      <c r="E1119" t="s">
        <v>2943</v>
      </c>
      <c r="F1119" t="s">
        <v>290</v>
      </c>
      <c r="G1119" t="s">
        <v>2944</v>
      </c>
      <c r="H1119" t="s">
        <v>19</v>
      </c>
      <c r="I1119" t="s">
        <v>316</v>
      </c>
      <c r="K1119" t="s">
        <v>315</v>
      </c>
    </row>
    <row r="1120" spans="4:22" x14ac:dyDescent="0.45">
      <c r="G1120" t="s">
        <v>18</v>
      </c>
      <c r="H1120" t="s">
        <v>18</v>
      </c>
      <c r="J1120" t="s">
        <v>18</v>
      </c>
      <c r="P1120" t="s">
        <v>18</v>
      </c>
      <c r="U1120" t="s">
        <v>18</v>
      </c>
    </row>
    <row r="1121" spans="4:22" x14ac:dyDescent="0.45">
      <c r="D1121" t="s">
        <v>1309</v>
      </c>
      <c r="E1121" t="s">
        <v>2945</v>
      </c>
      <c r="F1121" t="s">
        <v>290</v>
      </c>
      <c r="G1121" t="s">
        <v>2946</v>
      </c>
      <c r="H1121" t="s">
        <v>19</v>
      </c>
      <c r="I1121" t="s">
        <v>317</v>
      </c>
      <c r="J1121" t="s">
        <v>18</v>
      </c>
      <c r="N1121" t="s">
        <v>26</v>
      </c>
      <c r="P1121" t="s">
        <v>26</v>
      </c>
      <c r="Q1121" t="s">
        <v>60</v>
      </c>
      <c r="R1121" t="s">
        <v>69</v>
      </c>
      <c r="U1121" t="s">
        <v>69</v>
      </c>
      <c r="V1121">
        <v>1</v>
      </c>
    </row>
    <row r="1122" spans="4:22" x14ac:dyDescent="0.45">
      <c r="D1122" t="s">
        <v>1310</v>
      </c>
      <c r="E1122" t="s">
        <v>2947</v>
      </c>
      <c r="F1122" t="s">
        <v>290</v>
      </c>
      <c r="G1122" t="s">
        <v>2948</v>
      </c>
      <c r="H1122" t="s">
        <v>19</v>
      </c>
      <c r="I1122" t="s">
        <v>317</v>
      </c>
      <c r="J1122" t="s">
        <v>18</v>
      </c>
      <c r="N1122" t="s">
        <v>26</v>
      </c>
      <c r="P1122" t="s">
        <v>26</v>
      </c>
      <c r="Q1122" t="s">
        <v>61</v>
      </c>
      <c r="R1122" t="s">
        <v>69</v>
      </c>
      <c r="U1122" t="s">
        <v>69</v>
      </c>
      <c r="V1122">
        <v>1</v>
      </c>
    </row>
    <row r="1123" spans="4:22" x14ac:dyDescent="0.45">
      <c r="D1123" t="s">
        <v>1311</v>
      </c>
      <c r="E1123" t="s">
        <v>2949</v>
      </c>
      <c r="F1123" t="s">
        <v>290</v>
      </c>
      <c r="G1123" t="s">
        <v>2950</v>
      </c>
      <c r="H1123" t="s">
        <v>19</v>
      </c>
      <c r="I1123" t="s">
        <v>317</v>
      </c>
      <c r="J1123" t="s">
        <v>18</v>
      </c>
      <c r="N1123" t="s">
        <v>26</v>
      </c>
      <c r="P1123" t="s">
        <v>26</v>
      </c>
      <c r="Q1123" t="s">
        <v>113</v>
      </c>
      <c r="R1123" t="s">
        <v>69</v>
      </c>
      <c r="U1123" t="s">
        <v>69</v>
      </c>
      <c r="V1123">
        <v>1</v>
      </c>
    </row>
    <row r="1124" spans="4:22" x14ac:dyDescent="0.45">
      <c r="D1124" t="s">
        <v>1312</v>
      </c>
      <c r="E1124" t="s">
        <v>2951</v>
      </c>
      <c r="F1124" t="s">
        <v>290</v>
      </c>
      <c r="G1124" t="s">
        <v>2952</v>
      </c>
      <c r="H1124" t="s">
        <v>19</v>
      </c>
      <c r="I1124" t="s">
        <v>317</v>
      </c>
      <c r="J1124" t="s">
        <v>18</v>
      </c>
      <c r="N1124" t="s">
        <v>26</v>
      </c>
      <c r="P1124" t="s">
        <v>26</v>
      </c>
      <c r="Q1124" t="s">
        <v>160</v>
      </c>
      <c r="R1124" t="s">
        <v>69</v>
      </c>
      <c r="U1124" t="s">
        <v>69</v>
      </c>
      <c r="V1124">
        <v>1</v>
      </c>
    </row>
    <row r="1125" spans="4:22" x14ac:dyDescent="0.45">
      <c r="D1125" t="s">
        <v>1313</v>
      </c>
      <c r="E1125" t="s">
        <v>2953</v>
      </c>
      <c r="F1125" t="s">
        <v>290</v>
      </c>
      <c r="G1125" t="s">
        <v>2954</v>
      </c>
      <c r="H1125" t="s">
        <v>19</v>
      </c>
      <c r="I1125" t="s">
        <v>317</v>
      </c>
      <c r="J1125" t="s">
        <v>18</v>
      </c>
      <c r="N1125" t="s">
        <v>26</v>
      </c>
      <c r="P1125" t="s">
        <v>26</v>
      </c>
      <c r="Q1125" t="s">
        <v>170</v>
      </c>
      <c r="R1125" t="s">
        <v>69</v>
      </c>
      <c r="U1125" t="s">
        <v>69</v>
      </c>
      <c r="V1125">
        <v>1</v>
      </c>
    </row>
    <row r="1126" spans="4:22" x14ac:dyDescent="0.45">
      <c r="D1126" t="s">
        <v>1314</v>
      </c>
      <c r="E1126" t="s">
        <v>2955</v>
      </c>
      <c r="F1126" t="s">
        <v>290</v>
      </c>
      <c r="G1126" t="s">
        <v>2956</v>
      </c>
      <c r="H1126" t="s">
        <v>19</v>
      </c>
      <c r="I1126" t="s">
        <v>317</v>
      </c>
      <c r="J1126" t="s">
        <v>18</v>
      </c>
      <c r="N1126" t="s">
        <v>26</v>
      </c>
      <c r="P1126" t="s">
        <v>26</v>
      </c>
      <c r="Q1126" t="s">
        <v>171</v>
      </c>
      <c r="R1126" t="s">
        <v>69</v>
      </c>
      <c r="U1126" t="s">
        <v>69</v>
      </c>
      <c r="V1126">
        <v>1</v>
      </c>
    </row>
    <row r="1127" spans="4:22" x14ac:dyDescent="0.45">
      <c r="D1127" t="s">
        <v>1315</v>
      </c>
      <c r="E1127" t="s">
        <v>2957</v>
      </c>
      <c r="F1127" t="s">
        <v>290</v>
      </c>
      <c r="G1127" t="s">
        <v>2958</v>
      </c>
      <c r="H1127" t="s">
        <v>19</v>
      </c>
      <c r="I1127" t="s">
        <v>317</v>
      </c>
      <c r="J1127" t="s">
        <v>18</v>
      </c>
      <c r="N1127" t="s">
        <v>26</v>
      </c>
      <c r="P1127" t="s">
        <v>26</v>
      </c>
      <c r="Q1127" t="s">
        <v>172</v>
      </c>
      <c r="R1127" t="s">
        <v>69</v>
      </c>
      <c r="U1127" t="s">
        <v>69</v>
      </c>
      <c r="V1127">
        <v>1</v>
      </c>
    </row>
    <row r="1128" spans="4:22" x14ac:dyDescent="0.45">
      <c r="D1128" t="s">
        <v>1316</v>
      </c>
      <c r="E1128" t="s">
        <v>2959</v>
      </c>
      <c r="F1128" t="s">
        <v>290</v>
      </c>
      <c r="G1128" t="s">
        <v>2960</v>
      </c>
      <c r="H1128" t="s">
        <v>19</v>
      </c>
      <c r="I1128" t="s">
        <v>317</v>
      </c>
      <c r="J1128" t="s">
        <v>18</v>
      </c>
      <c r="N1128" t="s">
        <v>26</v>
      </c>
      <c r="P1128" t="s">
        <v>26</v>
      </c>
      <c r="Q1128" t="s">
        <v>173</v>
      </c>
      <c r="R1128" t="s">
        <v>69</v>
      </c>
      <c r="U1128" t="s">
        <v>69</v>
      </c>
      <c r="V1128">
        <v>1</v>
      </c>
    </row>
    <row r="1129" spans="4:22" x14ac:dyDescent="0.45">
      <c r="D1129" t="s">
        <v>1317</v>
      </c>
      <c r="E1129" t="s">
        <v>2961</v>
      </c>
      <c r="F1129" t="s">
        <v>290</v>
      </c>
      <c r="G1129" t="s">
        <v>2962</v>
      </c>
      <c r="H1129" t="s">
        <v>19</v>
      </c>
      <c r="I1129" t="s">
        <v>317</v>
      </c>
      <c r="J1129" t="s">
        <v>18</v>
      </c>
      <c r="N1129" t="s">
        <v>26</v>
      </c>
      <c r="P1129" t="s">
        <v>26</v>
      </c>
      <c r="Q1129" t="s">
        <v>162</v>
      </c>
      <c r="R1129" t="s">
        <v>69</v>
      </c>
      <c r="U1129" t="s">
        <v>69</v>
      </c>
      <c r="V1129">
        <v>1</v>
      </c>
    </row>
    <row r="1130" spans="4:22" x14ac:dyDescent="0.45">
      <c r="D1130" t="s">
        <v>1318</v>
      </c>
      <c r="E1130" t="s">
        <v>2963</v>
      </c>
      <c r="F1130" t="s">
        <v>290</v>
      </c>
      <c r="G1130" t="s">
        <v>2964</v>
      </c>
      <c r="H1130" t="s">
        <v>19</v>
      </c>
      <c r="I1130" t="s">
        <v>317</v>
      </c>
      <c r="J1130" t="s">
        <v>18</v>
      </c>
      <c r="N1130" t="s">
        <v>26</v>
      </c>
      <c r="P1130" t="s">
        <v>26</v>
      </c>
      <c r="Q1130" t="s">
        <v>60</v>
      </c>
      <c r="R1130" t="s">
        <v>69</v>
      </c>
      <c r="U1130" t="s">
        <v>69</v>
      </c>
      <c r="V1130">
        <v>2</v>
      </c>
    </row>
    <row r="1131" spans="4:22" x14ac:dyDescent="0.45">
      <c r="D1131" t="s">
        <v>1319</v>
      </c>
      <c r="E1131" t="s">
        <v>2965</v>
      </c>
      <c r="F1131" t="s">
        <v>290</v>
      </c>
      <c r="G1131" t="s">
        <v>2966</v>
      </c>
      <c r="H1131" t="s">
        <v>19</v>
      </c>
      <c r="I1131" t="s">
        <v>317</v>
      </c>
      <c r="J1131" t="s">
        <v>18</v>
      </c>
      <c r="N1131" t="s">
        <v>26</v>
      </c>
      <c r="P1131" t="s">
        <v>26</v>
      </c>
      <c r="Q1131" t="s">
        <v>61</v>
      </c>
      <c r="R1131" t="s">
        <v>69</v>
      </c>
      <c r="U1131" t="s">
        <v>69</v>
      </c>
      <c r="V1131">
        <v>2</v>
      </c>
    </row>
    <row r="1132" spans="4:22" x14ac:dyDescent="0.45">
      <c r="D1132" t="s">
        <v>1320</v>
      </c>
      <c r="E1132" t="s">
        <v>2967</v>
      </c>
      <c r="F1132" t="s">
        <v>290</v>
      </c>
      <c r="G1132" t="s">
        <v>2968</v>
      </c>
      <c r="H1132" t="s">
        <v>19</v>
      </c>
      <c r="I1132" t="s">
        <v>317</v>
      </c>
      <c r="J1132" t="s">
        <v>18</v>
      </c>
      <c r="N1132" t="s">
        <v>26</v>
      </c>
      <c r="P1132" t="s">
        <v>26</v>
      </c>
      <c r="Q1132" t="s">
        <v>113</v>
      </c>
      <c r="R1132" t="s">
        <v>69</v>
      </c>
      <c r="U1132" t="s">
        <v>69</v>
      </c>
      <c r="V1132">
        <v>2</v>
      </c>
    </row>
    <row r="1133" spans="4:22" x14ac:dyDescent="0.45">
      <c r="D1133" t="s">
        <v>1321</v>
      </c>
      <c r="E1133" t="s">
        <v>2969</v>
      </c>
      <c r="F1133" t="s">
        <v>290</v>
      </c>
      <c r="G1133" t="s">
        <v>2970</v>
      </c>
      <c r="H1133" t="s">
        <v>19</v>
      </c>
      <c r="I1133" t="s">
        <v>317</v>
      </c>
      <c r="J1133" t="s">
        <v>18</v>
      </c>
      <c r="N1133" t="s">
        <v>26</v>
      </c>
      <c r="P1133" t="s">
        <v>26</v>
      </c>
      <c r="Q1133" t="s">
        <v>160</v>
      </c>
      <c r="R1133" t="s">
        <v>69</v>
      </c>
      <c r="U1133" t="s">
        <v>69</v>
      </c>
      <c r="V1133">
        <v>2</v>
      </c>
    </row>
    <row r="1134" spans="4:22" x14ac:dyDescent="0.45">
      <c r="D1134" t="s">
        <v>1322</v>
      </c>
      <c r="E1134" t="s">
        <v>2971</v>
      </c>
      <c r="F1134" t="s">
        <v>290</v>
      </c>
      <c r="G1134" t="s">
        <v>2972</v>
      </c>
      <c r="H1134" t="s">
        <v>19</v>
      </c>
      <c r="I1134" t="s">
        <v>317</v>
      </c>
      <c r="J1134" t="s">
        <v>18</v>
      </c>
      <c r="N1134" t="s">
        <v>26</v>
      </c>
      <c r="P1134" t="s">
        <v>26</v>
      </c>
      <c r="Q1134" t="s">
        <v>170</v>
      </c>
      <c r="R1134" t="s">
        <v>69</v>
      </c>
      <c r="U1134" t="s">
        <v>69</v>
      </c>
      <c r="V1134">
        <v>2</v>
      </c>
    </row>
    <row r="1135" spans="4:22" x14ac:dyDescent="0.45">
      <c r="D1135" t="s">
        <v>1323</v>
      </c>
      <c r="E1135" t="s">
        <v>2973</v>
      </c>
      <c r="F1135" t="s">
        <v>290</v>
      </c>
      <c r="G1135" t="s">
        <v>2974</v>
      </c>
      <c r="H1135" t="s">
        <v>19</v>
      </c>
      <c r="I1135" t="s">
        <v>317</v>
      </c>
      <c r="J1135" t="s">
        <v>18</v>
      </c>
      <c r="N1135" t="s">
        <v>26</v>
      </c>
      <c r="P1135" t="s">
        <v>26</v>
      </c>
      <c r="Q1135" t="s">
        <v>171</v>
      </c>
      <c r="R1135" t="s">
        <v>69</v>
      </c>
      <c r="U1135" t="s">
        <v>69</v>
      </c>
      <c r="V1135">
        <v>2</v>
      </c>
    </row>
    <row r="1136" spans="4:22" x14ac:dyDescent="0.45">
      <c r="D1136" t="s">
        <v>1324</v>
      </c>
      <c r="E1136" t="s">
        <v>2975</v>
      </c>
      <c r="F1136" t="s">
        <v>290</v>
      </c>
      <c r="G1136" t="s">
        <v>2976</v>
      </c>
      <c r="H1136" t="s">
        <v>19</v>
      </c>
      <c r="I1136" t="s">
        <v>317</v>
      </c>
      <c r="J1136" t="s">
        <v>18</v>
      </c>
      <c r="N1136" t="s">
        <v>26</v>
      </c>
      <c r="P1136" t="s">
        <v>26</v>
      </c>
      <c r="Q1136" t="s">
        <v>172</v>
      </c>
      <c r="R1136" t="s">
        <v>69</v>
      </c>
      <c r="U1136" t="s">
        <v>69</v>
      </c>
      <c r="V1136">
        <v>2</v>
      </c>
    </row>
    <row r="1137" spans="4:22" x14ac:dyDescent="0.45">
      <c r="D1137" t="s">
        <v>1325</v>
      </c>
      <c r="E1137" t="s">
        <v>2977</v>
      </c>
      <c r="F1137" t="s">
        <v>290</v>
      </c>
      <c r="G1137" t="s">
        <v>2978</v>
      </c>
      <c r="H1137" t="s">
        <v>19</v>
      </c>
      <c r="I1137" t="s">
        <v>317</v>
      </c>
      <c r="J1137" t="s">
        <v>18</v>
      </c>
      <c r="N1137" t="s">
        <v>26</v>
      </c>
      <c r="P1137" t="s">
        <v>26</v>
      </c>
      <c r="Q1137" t="s">
        <v>173</v>
      </c>
      <c r="R1137" t="s">
        <v>69</v>
      </c>
      <c r="U1137" t="s">
        <v>69</v>
      </c>
      <c r="V1137">
        <v>2</v>
      </c>
    </row>
    <row r="1138" spans="4:22" x14ac:dyDescent="0.45">
      <c r="D1138" t="s">
        <v>1326</v>
      </c>
      <c r="E1138" t="s">
        <v>2979</v>
      </c>
      <c r="F1138" t="s">
        <v>290</v>
      </c>
      <c r="G1138" t="s">
        <v>2980</v>
      </c>
      <c r="H1138" t="s">
        <v>19</v>
      </c>
      <c r="I1138" t="s">
        <v>317</v>
      </c>
      <c r="J1138" t="s">
        <v>18</v>
      </c>
      <c r="N1138" t="s">
        <v>26</v>
      </c>
      <c r="P1138" t="s">
        <v>26</v>
      </c>
      <c r="Q1138" t="s">
        <v>162</v>
      </c>
      <c r="R1138" t="s">
        <v>69</v>
      </c>
      <c r="U1138" t="s">
        <v>69</v>
      </c>
      <c r="V1138">
        <v>2</v>
      </c>
    </row>
    <row r="1139" spans="4:22" x14ac:dyDescent="0.45">
      <c r="D1139" t="s">
        <v>1327</v>
      </c>
      <c r="E1139" t="s">
        <v>2981</v>
      </c>
      <c r="F1139" t="s">
        <v>290</v>
      </c>
      <c r="G1139" t="s">
        <v>2940</v>
      </c>
      <c r="H1139" t="s">
        <v>19</v>
      </c>
      <c r="J1139" t="s">
        <v>18</v>
      </c>
      <c r="P1139" t="s">
        <v>18</v>
      </c>
      <c r="U1139" t="s">
        <v>18</v>
      </c>
    </row>
    <row r="1140" spans="4:22" x14ac:dyDescent="0.45">
      <c r="D1140" t="s">
        <v>1328</v>
      </c>
      <c r="E1140" t="s">
        <v>2982</v>
      </c>
      <c r="F1140" t="s">
        <v>290</v>
      </c>
      <c r="G1140" t="s">
        <v>2940</v>
      </c>
      <c r="H1140" t="s">
        <v>19</v>
      </c>
      <c r="J1140" t="s">
        <v>18</v>
      </c>
      <c r="P1140" t="s">
        <v>18</v>
      </c>
      <c r="U1140" t="s">
        <v>18</v>
      </c>
    </row>
    <row r="1141" spans="4:22" x14ac:dyDescent="0.45">
      <c r="D1141" t="s">
        <v>1329</v>
      </c>
      <c r="E1141" t="s">
        <v>2983</v>
      </c>
      <c r="F1141" t="s">
        <v>290</v>
      </c>
      <c r="G1141" t="s">
        <v>2940</v>
      </c>
      <c r="H1141" t="s">
        <v>19</v>
      </c>
      <c r="J1141" t="s">
        <v>18</v>
      </c>
      <c r="P1141" t="s">
        <v>18</v>
      </c>
      <c r="U1141" t="s">
        <v>18</v>
      </c>
    </row>
    <row r="1142" spans="4:22" x14ac:dyDescent="0.45">
      <c r="D1142" t="s">
        <v>1330</v>
      </c>
      <c r="E1142" t="s">
        <v>2984</v>
      </c>
      <c r="F1142" t="s">
        <v>290</v>
      </c>
      <c r="G1142" t="s">
        <v>2940</v>
      </c>
      <c r="H1142" t="s">
        <v>19</v>
      </c>
      <c r="J1142" t="s">
        <v>18</v>
      </c>
      <c r="P1142" t="s">
        <v>18</v>
      </c>
      <c r="U1142" t="s">
        <v>18</v>
      </c>
    </row>
    <row r="1143" spans="4:22" x14ac:dyDescent="0.45">
      <c r="D1143" t="s">
        <v>1331</v>
      </c>
      <c r="E1143" t="s">
        <v>2985</v>
      </c>
      <c r="F1143" t="s">
        <v>290</v>
      </c>
      <c r="G1143" t="s">
        <v>2940</v>
      </c>
      <c r="H1143" t="s">
        <v>19</v>
      </c>
      <c r="J1143" t="s">
        <v>18</v>
      </c>
      <c r="P1143" t="s">
        <v>18</v>
      </c>
      <c r="U1143" t="s">
        <v>18</v>
      </c>
    </row>
    <row r="1144" spans="4:22" x14ac:dyDescent="0.45">
      <c r="D1144" t="s">
        <v>1332</v>
      </c>
      <c r="E1144" t="s">
        <v>2986</v>
      </c>
      <c r="F1144" t="s">
        <v>290</v>
      </c>
      <c r="G1144" t="s">
        <v>2940</v>
      </c>
      <c r="H1144" t="s">
        <v>19</v>
      </c>
      <c r="J1144" t="s">
        <v>18</v>
      </c>
      <c r="P1144" t="s">
        <v>18</v>
      </c>
      <c r="U1144" t="s">
        <v>18</v>
      </c>
    </row>
    <row r="1145" spans="4:22" x14ac:dyDescent="0.45">
      <c r="D1145" t="s">
        <v>1333</v>
      </c>
      <c r="E1145" t="s">
        <v>2987</v>
      </c>
      <c r="F1145" t="s">
        <v>290</v>
      </c>
      <c r="G1145" t="s">
        <v>2940</v>
      </c>
      <c r="H1145" t="s">
        <v>19</v>
      </c>
      <c r="J1145" t="s">
        <v>18</v>
      </c>
      <c r="P1145" t="s">
        <v>18</v>
      </c>
      <c r="U1145" t="s">
        <v>18</v>
      </c>
    </row>
    <row r="1146" spans="4:22" x14ac:dyDescent="0.45">
      <c r="D1146" t="s">
        <v>1334</v>
      </c>
      <c r="E1146" t="s">
        <v>2988</v>
      </c>
      <c r="F1146" t="s">
        <v>290</v>
      </c>
      <c r="G1146" t="s">
        <v>2940</v>
      </c>
      <c r="H1146" t="s">
        <v>19</v>
      </c>
      <c r="J1146" t="s">
        <v>18</v>
      </c>
      <c r="P1146" t="s">
        <v>18</v>
      </c>
      <c r="U1146" t="s">
        <v>18</v>
      </c>
    </row>
    <row r="1147" spans="4:22" x14ac:dyDescent="0.45">
      <c r="D1147" t="s">
        <v>1335</v>
      </c>
      <c r="E1147" t="s">
        <v>2989</v>
      </c>
      <c r="F1147" t="s">
        <v>290</v>
      </c>
      <c r="G1147" t="s">
        <v>2940</v>
      </c>
      <c r="H1147" t="s">
        <v>19</v>
      </c>
      <c r="J1147" t="s">
        <v>18</v>
      </c>
      <c r="P1147" t="s">
        <v>18</v>
      </c>
      <c r="U1147" t="s">
        <v>18</v>
      </c>
    </row>
    <row r="1148" spans="4:22" x14ac:dyDescent="0.45">
      <c r="D1148" t="s">
        <v>1336</v>
      </c>
      <c r="E1148" t="s">
        <v>2990</v>
      </c>
      <c r="F1148" t="s">
        <v>290</v>
      </c>
      <c r="G1148" t="s">
        <v>2940</v>
      </c>
      <c r="H1148" t="s">
        <v>19</v>
      </c>
      <c r="J1148" t="s">
        <v>18</v>
      </c>
      <c r="P1148" t="s">
        <v>18</v>
      </c>
      <c r="U1148" t="s">
        <v>18</v>
      </c>
    </row>
    <row r="1149" spans="4:22" x14ac:dyDescent="0.45">
      <c r="D1149" t="s">
        <v>1337</v>
      </c>
      <c r="E1149" t="s">
        <v>2991</v>
      </c>
      <c r="F1149" t="s">
        <v>290</v>
      </c>
      <c r="G1149" t="s">
        <v>2940</v>
      </c>
      <c r="H1149" t="s">
        <v>19</v>
      </c>
      <c r="J1149" t="s">
        <v>18</v>
      </c>
      <c r="P1149" t="s">
        <v>18</v>
      </c>
      <c r="U1149" t="s">
        <v>18</v>
      </c>
    </row>
    <row r="1150" spans="4:22" x14ac:dyDescent="0.45">
      <c r="D1150" t="s">
        <v>1338</v>
      </c>
      <c r="E1150" t="s">
        <v>2992</v>
      </c>
      <c r="F1150" t="s">
        <v>290</v>
      </c>
      <c r="G1150" t="s">
        <v>2940</v>
      </c>
      <c r="H1150" t="s">
        <v>19</v>
      </c>
      <c r="J1150" t="s">
        <v>18</v>
      </c>
      <c r="P1150" t="s">
        <v>18</v>
      </c>
      <c r="U1150" t="s">
        <v>18</v>
      </c>
    </row>
    <row r="1151" spans="4:22" x14ac:dyDescent="0.45">
      <c r="D1151" t="s">
        <v>1339</v>
      </c>
      <c r="E1151" t="s">
        <v>2993</v>
      </c>
      <c r="F1151" t="s">
        <v>290</v>
      </c>
      <c r="G1151" t="s">
        <v>2940</v>
      </c>
      <c r="H1151" t="s">
        <v>19</v>
      </c>
      <c r="J1151" t="s">
        <v>18</v>
      </c>
      <c r="P1151" t="s">
        <v>18</v>
      </c>
      <c r="U1151" t="s">
        <v>18</v>
      </c>
    </row>
    <row r="1152" spans="4:22" x14ac:dyDescent="0.45">
      <c r="D1152" t="s">
        <v>1340</v>
      </c>
      <c r="E1152" t="s">
        <v>2994</v>
      </c>
      <c r="F1152" t="s">
        <v>290</v>
      </c>
      <c r="G1152" t="s">
        <v>2940</v>
      </c>
      <c r="H1152" t="s">
        <v>19</v>
      </c>
      <c r="J1152" t="s">
        <v>18</v>
      </c>
      <c r="P1152" t="s">
        <v>18</v>
      </c>
      <c r="U1152" t="s">
        <v>18</v>
      </c>
    </row>
    <row r="1153" spans="4:21" x14ac:dyDescent="0.45">
      <c r="D1153" t="s">
        <v>1341</v>
      </c>
      <c r="E1153" t="s">
        <v>2995</v>
      </c>
      <c r="F1153" t="s">
        <v>290</v>
      </c>
      <c r="G1153" t="s">
        <v>2940</v>
      </c>
      <c r="H1153" t="s">
        <v>19</v>
      </c>
      <c r="J1153" t="s">
        <v>18</v>
      </c>
      <c r="P1153" t="s">
        <v>18</v>
      </c>
      <c r="U1153" t="s">
        <v>18</v>
      </c>
    </row>
    <row r="1154" spans="4:21" x14ac:dyDescent="0.45">
      <c r="D1154" t="s">
        <v>1342</v>
      </c>
      <c r="E1154" t="s">
        <v>2996</v>
      </c>
      <c r="F1154" t="s">
        <v>290</v>
      </c>
      <c r="G1154" t="s">
        <v>2940</v>
      </c>
      <c r="H1154" t="s">
        <v>19</v>
      </c>
      <c r="J1154" t="s">
        <v>18</v>
      </c>
      <c r="P1154" t="s">
        <v>18</v>
      </c>
      <c r="U1154" t="s">
        <v>18</v>
      </c>
    </row>
    <row r="1155" spans="4:21" x14ac:dyDescent="0.45">
      <c r="D1155" t="s">
        <v>1343</v>
      </c>
      <c r="E1155" t="s">
        <v>2997</v>
      </c>
      <c r="F1155" t="s">
        <v>290</v>
      </c>
      <c r="G1155" t="s">
        <v>2940</v>
      </c>
      <c r="H1155" t="s">
        <v>19</v>
      </c>
      <c r="J1155" t="s">
        <v>18</v>
      </c>
      <c r="P1155" t="s">
        <v>18</v>
      </c>
      <c r="U1155" t="s">
        <v>18</v>
      </c>
    </row>
    <row r="1156" spans="4:21" x14ac:dyDescent="0.45">
      <c r="D1156" t="s">
        <v>1344</v>
      </c>
      <c r="E1156" t="s">
        <v>2998</v>
      </c>
      <c r="F1156" t="s">
        <v>290</v>
      </c>
      <c r="G1156" t="s">
        <v>2940</v>
      </c>
      <c r="H1156" t="s">
        <v>19</v>
      </c>
      <c r="J1156" t="s">
        <v>18</v>
      </c>
      <c r="P1156" t="s">
        <v>18</v>
      </c>
      <c r="U1156" t="s">
        <v>18</v>
      </c>
    </row>
    <row r="1157" spans="4:21" x14ac:dyDescent="0.45">
      <c r="G1157" t="s">
        <v>18</v>
      </c>
      <c r="H1157" t="s">
        <v>18</v>
      </c>
      <c r="J1157" t="s">
        <v>18</v>
      </c>
      <c r="P1157" t="s">
        <v>18</v>
      </c>
      <c r="U1157" t="s">
        <v>18</v>
      </c>
    </row>
    <row r="1158" spans="4:21" x14ac:dyDescent="0.45">
      <c r="D1158" t="s">
        <v>2999</v>
      </c>
      <c r="E1158" t="s">
        <v>318</v>
      </c>
      <c r="F1158" t="s">
        <v>290</v>
      </c>
      <c r="G1158" t="s">
        <v>3000</v>
      </c>
      <c r="H1158" t="s">
        <v>19</v>
      </c>
      <c r="I1158" t="s">
        <v>318</v>
      </c>
      <c r="J1158" t="s">
        <v>18</v>
      </c>
      <c r="K1158" t="s">
        <v>79</v>
      </c>
      <c r="P1158" t="s">
        <v>18</v>
      </c>
      <c r="U1158" t="s">
        <v>18</v>
      </c>
    </row>
    <row r="1159" spans="4:21" x14ac:dyDescent="0.45">
      <c r="D1159" t="s">
        <v>3001</v>
      </c>
      <c r="E1159" t="s">
        <v>116</v>
      </c>
      <c r="F1159" t="s">
        <v>290</v>
      </c>
      <c r="G1159" t="s">
        <v>3002</v>
      </c>
      <c r="H1159" t="s">
        <v>19</v>
      </c>
      <c r="I1159" t="s">
        <v>116</v>
      </c>
      <c r="J1159" t="s">
        <v>18</v>
      </c>
      <c r="K1159" t="s">
        <v>21</v>
      </c>
      <c r="P1159" t="s">
        <v>18</v>
      </c>
      <c r="U1159" t="s">
        <v>18</v>
      </c>
    </row>
    <row r="1160" spans="4:21" x14ac:dyDescent="0.45">
      <c r="D1160" t="s">
        <v>3003</v>
      </c>
      <c r="E1160" t="s">
        <v>319</v>
      </c>
      <c r="F1160" t="s">
        <v>290</v>
      </c>
      <c r="G1160" t="s">
        <v>3004</v>
      </c>
      <c r="H1160" t="s">
        <v>19</v>
      </c>
      <c r="I1160" t="s">
        <v>319</v>
      </c>
      <c r="J1160" t="s">
        <v>18</v>
      </c>
      <c r="K1160" t="s">
        <v>320</v>
      </c>
      <c r="P1160" t="s">
        <v>18</v>
      </c>
      <c r="U1160" t="s">
        <v>18</v>
      </c>
    </row>
    <row r="1161" spans="4:21" x14ac:dyDescent="0.45">
      <c r="D1161" t="s">
        <v>3005</v>
      </c>
      <c r="E1161" t="s">
        <v>321</v>
      </c>
      <c r="F1161" t="s">
        <v>290</v>
      </c>
      <c r="G1161" t="s">
        <v>3006</v>
      </c>
      <c r="H1161" t="s">
        <v>19</v>
      </c>
      <c r="I1161" t="s">
        <v>321</v>
      </c>
      <c r="J1161" t="s">
        <v>18</v>
      </c>
      <c r="K1161" t="s">
        <v>322</v>
      </c>
      <c r="P1161" t="s">
        <v>18</v>
      </c>
      <c r="U1161" t="s">
        <v>18</v>
      </c>
    </row>
    <row r="1162" spans="4:21" x14ac:dyDescent="0.45">
      <c r="D1162" t="s">
        <v>3007</v>
      </c>
      <c r="E1162" t="s">
        <v>323</v>
      </c>
      <c r="F1162" t="s">
        <v>290</v>
      </c>
      <c r="G1162" t="s">
        <v>3008</v>
      </c>
      <c r="H1162" t="s">
        <v>19</v>
      </c>
      <c r="I1162" t="s">
        <v>323</v>
      </c>
      <c r="J1162" t="s">
        <v>18</v>
      </c>
      <c r="K1162" t="s">
        <v>324</v>
      </c>
      <c r="P1162" t="s">
        <v>18</v>
      </c>
      <c r="U1162" t="s">
        <v>18</v>
      </c>
    </row>
    <row r="1163" spans="4:21" x14ac:dyDescent="0.45">
      <c r="D1163" t="s">
        <v>3003</v>
      </c>
      <c r="E1163" t="s">
        <v>325</v>
      </c>
      <c r="F1163" t="s">
        <v>290</v>
      </c>
      <c r="G1163" t="s">
        <v>3009</v>
      </c>
      <c r="H1163" t="s">
        <v>19</v>
      </c>
      <c r="I1163" t="s">
        <v>325</v>
      </c>
      <c r="J1163" t="s">
        <v>18</v>
      </c>
      <c r="K1163" t="s">
        <v>320</v>
      </c>
      <c r="P1163" t="s">
        <v>18</v>
      </c>
      <c r="U1163" t="s">
        <v>18</v>
      </c>
    </row>
    <row r="1164" spans="4:21" x14ac:dyDescent="0.45">
      <c r="D1164" t="s">
        <v>3005</v>
      </c>
      <c r="E1164" t="s">
        <v>326</v>
      </c>
      <c r="F1164" t="s">
        <v>290</v>
      </c>
      <c r="G1164" t="s">
        <v>3010</v>
      </c>
      <c r="H1164" t="s">
        <v>19</v>
      </c>
      <c r="I1164" t="s">
        <v>326</v>
      </c>
      <c r="J1164" t="s">
        <v>18</v>
      </c>
      <c r="K1164" t="s">
        <v>322</v>
      </c>
      <c r="P1164" t="s">
        <v>18</v>
      </c>
      <c r="U1164" t="s">
        <v>18</v>
      </c>
    </row>
    <row r="1165" spans="4:21" x14ac:dyDescent="0.45">
      <c r="D1165" t="s">
        <v>3007</v>
      </c>
      <c r="E1165" t="s">
        <v>327</v>
      </c>
      <c r="F1165" t="s">
        <v>290</v>
      </c>
      <c r="G1165" t="s">
        <v>3011</v>
      </c>
      <c r="H1165" t="s">
        <v>19</v>
      </c>
      <c r="I1165" t="s">
        <v>327</v>
      </c>
      <c r="J1165" t="s">
        <v>18</v>
      </c>
      <c r="K1165" t="s">
        <v>324</v>
      </c>
      <c r="P1165" t="s">
        <v>18</v>
      </c>
      <c r="U1165" t="s">
        <v>18</v>
      </c>
    </row>
    <row r="1166" spans="4:21" x14ac:dyDescent="0.45">
      <c r="D1166" t="s">
        <v>3012</v>
      </c>
      <c r="E1166" t="s">
        <v>328</v>
      </c>
      <c r="F1166" t="s">
        <v>290</v>
      </c>
      <c r="G1166" t="s">
        <v>3013</v>
      </c>
      <c r="H1166" t="s">
        <v>19</v>
      </c>
      <c r="I1166" t="s">
        <v>328</v>
      </c>
      <c r="J1166" t="s">
        <v>18</v>
      </c>
      <c r="K1166" t="s">
        <v>329</v>
      </c>
      <c r="P1166" t="s">
        <v>18</v>
      </c>
      <c r="U1166" t="s">
        <v>18</v>
      </c>
    </row>
    <row r="1167" spans="4:21" x14ac:dyDescent="0.45">
      <c r="D1167" t="s">
        <v>3014</v>
      </c>
      <c r="E1167" t="s">
        <v>330</v>
      </c>
      <c r="F1167" t="s">
        <v>290</v>
      </c>
      <c r="G1167" t="s">
        <v>3015</v>
      </c>
      <c r="H1167" t="s">
        <v>19</v>
      </c>
      <c r="I1167" t="s">
        <v>330</v>
      </c>
      <c r="J1167" t="s">
        <v>18</v>
      </c>
      <c r="K1167" t="s">
        <v>329</v>
      </c>
      <c r="P1167" t="s">
        <v>18</v>
      </c>
      <c r="U1167" t="s">
        <v>18</v>
      </c>
    </row>
    <row r="1168" spans="4:21" x14ac:dyDescent="0.45">
      <c r="D1168" t="s">
        <v>3016</v>
      </c>
      <c r="E1168" t="s">
        <v>331</v>
      </c>
      <c r="F1168" t="s">
        <v>290</v>
      </c>
      <c r="G1168" t="s">
        <v>3017</v>
      </c>
      <c r="H1168" t="s">
        <v>19</v>
      </c>
      <c r="I1168" t="s">
        <v>331</v>
      </c>
      <c r="J1168" t="s">
        <v>18</v>
      </c>
      <c r="K1168" t="s">
        <v>329</v>
      </c>
      <c r="P1168" t="s">
        <v>18</v>
      </c>
      <c r="U1168" t="s">
        <v>18</v>
      </c>
    </row>
    <row r="1169" spans="4:22" x14ac:dyDescent="0.45">
      <c r="D1169" t="s">
        <v>3018</v>
      </c>
      <c r="E1169" t="s">
        <v>332</v>
      </c>
      <c r="F1169" t="s">
        <v>290</v>
      </c>
      <c r="G1169" t="s">
        <v>3019</v>
      </c>
      <c r="H1169" t="s">
        <v>19</v>
      </c>
      <c r="I1169" t="s">
        <v>332</v>
      </c>
      <c r="J1169" t="s">
        <v>18</v>
      </c>
      <c r="K1169" t="s">
        <v>329</v>
      </c>
      <c r="P1169" t="s">
        <v>18</v>
      </c>
      <c r="U1169" t="s">
        <v>18</v>
      </c>
    </row>
    <row r="1170" spans="4:22" x14ac:dyDescent="0.45">
      <c r="G1170" t="s">
        <v>18</v>
      </c>
      <c r="H1170" t="s">
        <v>18</v>
      </c>
      <c r="J1170" t="s">
        <v>18</v>
      </c>
      <c r="P1170" t="s">
        <v>18</v>
      </c>
      <c r="U1170" t="s">
        <v>18</v>
      </c>
    </row>
    <row r="1171" spans="4:22" x14ac:dyDescent="0.45">
      <c r="D1171" t="s">
        <v>1345</v>
      </c>
      <c r="E1171" t="s">
        <v>3020</v>
      </c>
      <c r="F1171" t="s">
        <v>290</v>
      </c>
      <c r="G1171" t="s">
        <v>2940</v>
      </c>
      <c r="H1171" t="s">
        <v>19</v>
      </c>
      <c r="J1171" t="s">
        <v>18</v>
      </c>
      <c r="P1171" t="s">
        <v>18</v>
      </c>
      <c r="U1171" t="s">
        <v>18</v>
      </c>
    </row>
    <row r="1172" spans="4:22" x14ac:dyDescent="0.45">
      <c r="D1172" t="s">
        <v>1346</v>
      </c>
      <c r="E1172" t="s">
        <v>3021</v>
      </c>
      <c r="F1172" t="s">
        <v>290</v>
      </c>
      <c r="G1172" t="s">
        <v>2940</v>
      </c>
      <c r="H1172" t="s">
        <v>19</v>
      </c>
      <c r="J1172" t="s">
        <v>18</v>
      </c>
      <c r="P1172" t="s">
        <v>18</v>
      </c>
      <c r="U1172" t="s">
        <v>18</v>
      </c>
    </row>
    <row r="1173" spans="4:22" x14ac:dyDescent="0.45">
      <c r="D1173" t="s">
        <v>1347</v>
      </c>
      <c r="E1173" t="s">
        <v>3022</v>
      </c>
      <c r="F1173" t="s">
        <v>290</v>
      </c>
      <c r="G1173" t="s">
        <v>3023</v>
      </c>
      <c r="H1173" t="s">
        <v>19</v>
      </c>
      <c r="I1173" t="s">
        <v>333</v>
      </c>
      <c r="J1173" t="s">
        <v>18</v>
      </c>
      <c r="P1173" t="s">
        <v>18</v>
      </c>
      <c r="U1173" t="s">
        <v>18</v>
      </c>
      <c r="V1173">
        <v>1</v>
      </c>
    </row>
    <row r="1174" spans="4:22" x14ac:dyDescent="0.45">
      <c r="D1174" t="s">
        <v>1348</v>
      </c>
      <c r="E1174" t="s">
        <v>3024</v>
      </c>
      <c r="F1174" t="s">
        <v>290</v>
      </c>
      <c r="G1174" t="s">
        <v>3023</v>
      </c>
      <c r="H1174" t="s">
        <v>19</v>
      </c>
      <c r="I1174" t="s">
        <v>333</v>
      </c>
      <c r="J1174" t="s">
        <v>18</v>
      </c>
      <c r="P1174" t="s">
        <v>18</v>
      </c>
      <c r="U1174" t="s">
        <v>18</v>
      </c>
      <c r="V1174">
        <v>1</v>
      </c>
    </row>
    <row r="1175" spans="4:22" x14ac:dyDescent="0.45">
      <c r="D1175" t="s">
        <v>1349</v>
      </c>
      <c r="E1175" t="s">
        <v>3025</v>
      </c>
      <c r="F1175" t="s">
        <v>290</v>
      </c>
      <c r="G1175" t="s">
        <v>3023</v>
      </c>
      <c r="H1175" t="s">
        <v>19</v>
      </c>
      <c r="I1175" t="s">
        <v>333</v>
      </c>
      <c r="J1175" t="s">
        <v>18</v>
      </c>
      <c r="P1175" t="s">
        <v>18</v>
      </c>
      <c r="U1175" t="s">
        <v>18</v>
      </c>
      <c r="V1175">
        <v>1</v>
      </c>
    </row>
    <row r="1176" spans="4:22" x14ac:dyDescent="0.45">
      <c r="D1176" t="s">
        <v>1350</v>
      </c>
      <c r="E1176" t="s">
        <v>3026</v>
      </c>
      <c r="F1176" t="s">
        <v>290</v>
      </c>
      <c r="G1176" t="s">
        <v>3023</v>
      </c>
      <c r="H1176" t="s">
        <v>19</v>
      </c>
      <c r="I1176" t="s">
        <v>333</v>
      </c>
      <c r="J1176" t="s">
        <v>18</v>
      </c>
      <c r="P1176" t="s">
        <v>18</v>
      </c>
      <c r="U1176" t="s">
        <v>18</v>
      </c>
      <c r="V1176">
        <v>1</v>
      </c>
    </row>
    <row r="1177" spans="4:22" x14ac:dyDescent="0.45">
      <c r="D1177" t="s">
        <v>1351</v>
      </c>
      <c r="E1177" t="s">
        <v>3027</v>
      </c>
      <c r="F1177" t="s">
        <v>290</v>
      </c>
      <c r="G1177" t="s">
        <v>3023</v>
      </c>
      <c r="H1177" t="s">
        <v>19</v>
      </c>
      <c r="I1177" t="s">
        <v>333</v>
      </c>
      <c r="J1177" t="s">
        <v>18</v>
      </c>
      <c r="P1177" t="s">
        <v>18</v>
      </c>
      <c r="U1177" t="s">
        <v>18</v>
      </c>
      <c r="V1177">
        <v>1</v>
      </c>
    </row>
    <row r="1178" spans="4:22" x14ac:dyDescent="0.45">
      <c r="D1178" t="s">
        <v>1352</v>
      </c>
      <c r="E1178" t="s">
        <v>3028</v>
      </c>
      <c r="F1178" t="s">
        <v>290</v>
      </c>
      <c r="G1178" t="s">
        <v>3023</v>
      </c>
      <c r="H1178" t="s">
        <v>19</v>
      </c>
      <c r="I1178" t="s">
        <v>333</v>
      </c>
      <c r="J1178" t="s">
        <v>18</v>
      </c>
      <c r="P1178" t="s">
        <v>18</v>
      </c>
      <c r="U1178" t="s">
        <v>18</v>
      </c>
      <c r="V1178">
        <v>1</v>
      </c>
    </row>
    <row r="1179" spans="4:22" x14ac:dyDescent="0.45">
      <c r="D1179" t="s">
        <v>1353</v>
      </c>
      <c r="E1179" t="s">
        <v>3029</v>
      </c>
      <c r="F1179" t="s">
        <v>290</v>
      </c>
      <c r="G1179" t="s">
        <v>3023</v>
      </c>
      <c r="H1179" t="s">
        <v>19</v>
      </c>
      <c r="I1179" t="s">
        <v>333</v>
      </c>
      <c r="J1179" t="s">
        <v>18</v>
      </c>
      <c r="P1179" t="s">
        <v>18</v>
      </c>
      <c r="U1179" t="s">
        <v>18</v>
      </c>
      <c r="V1179">
        <v>1</v>
      </c>
    </row>
    <row r="1180" spans="4:22" x14ac:dyDescent="0.45">
      <c r="D1180" t="s">
        <v>1354</v>
      </c>
      <c r="E1180" t="s">
        <v>3030</v>
      </c>
      <c r="F1180" t="s">
        <v>290</v>
      </c>
      <c r="G1180" t="s">
        <v>3023</v>
      </c>
      <c r="H1180" t="s">
        <v>19</v>
      </c>
      <c r="I1180" t="s">
        <v>333</v>
      </c>
      <c r="J1180" t="s">
        <v>18</v>
      </c>
      <c r="P1180" t="s">
        <v>18</v>
      </c>
      <c r="U1180" t="s">
        <v>18</v>
      </c>
      <c r="V1180">
        <v>1</v>
      </c>
    </row>
    <row r="1181" spans="4:22" x14ac:dyDescent="0.45">
      <c r="D1181" t="s">
        <v>1355</v>
      </c>
      <c r="E1181" t="s">
        <v>3031</v>
      </c>
      <c r="F1181" t="s">
        <v>290</v>
      </c>
      <c r="G1181" t="s">
        <v>3023</v>
      </c>
      <c r="H1181" t="s">
        <v>19</v>
      </c>
      <c r="I1181" t="s">
        <v>333</v>
      </c>
      <c r="J1181" t="s">
        <v>18</v>
      </c>
      <c r="P1181" t="s">
        <v>18</v>
      </c>
      <c r="U1181" t="s">
        <v>18</v>
      </c>
      <c r="V1181">
        <v>1</v>
      </c>
    </row>
    <row r="1182" spans="4:22" x14ac:dyDescent="0.45">
      <c r="D1182" t="s">
        <v>1356</v>
      </c>
      <c r="E1182" t="s">
        <v>3032</v>
      </c>
      <c r="F1182" t="s">
        <v>290</v>
      </c>
      <c r="G1182" t="s">
        <v>3033</v>
      </c>
      <c r="H1182" t="s">
        <v>19</v>
      </c>
      <c r="I1182" t="s">
        <v>334</v>
      </c>
      <c r="J1182" t="s">
        <v>18</v>
      </c>
      <c r="M1182" t="s">
        <v>26</v>
      </c>
      <c r="P1182" t="s">
        <v>26</v>
      </c>
      <c r="Q1182" t="s">
        <v>60</v>
      </c>
      <c r="R1182" t="s">
        <v>194</v>
      </c>
      <c r="U1182" t="s">
        <v>194</v>
      </c>
      <c r="V1182">
        <v>1</v>
      </c>
    </row>
    <row r="1183" spans="4:22" x14ac:dyDescent="0.45">
      <c r="D1183" t="s">
        <v>3034</v>
      </c>
      <c r="E1183" t="s">
        <v>3035</v>
      </c>
      <c r="F1183" t="s">
        <v>290</v>
      </c>
      <c r="G1183" t="s">
        <v>3033</v>
      </c>
      <c r="H1183" t="s">
        <v>19</v>
      </c>
      <c r="I1183" t="s">
        <v>334</v>
      </c>
      <c r="J1183" t="s">
        <v>18</v>
      </c>
      <c r="M1183" t="s">
        <v>28</v>
      </c>
      <c r="P1183" t="s">
        <v>28</v>
      </c>
      <c r="Q1183" t="s">
        <v>60</v>
      </c>
      <c r="R1183" t="s">
        <v>194</v>
      </c>
      <c r="U1183" t="s">
        <v>194</v>
      </c>
      <c r="V1183">
        <v>1</v>
      </c>
    </row>
    <row r="1184" spans="4:22" x14ac:dyDescent="0.45">
      <c r="D1184" t="s">
        <v>3036</v>
      </c>
      <c r="E1184" t="s">
        <v>3037</v>
      </c>
      <c r="F1184" t="s">
        <v>290</v>
      </c>
      <c r="G1184" t="s">
        <v>3033</v>
      </c>
      <c r="H1184" t="s">
        <v>19</v>
      </c>
      <c r="I1184" t="s">
        <v>334</v>
      </c>
      <c r="J1184" t="s">
        <v>18</v>
      </c>
      <c r="M1184" t="s">
        <v>29</v>
      </c>
      <c r="P1184" t="s">
        <v>29</v>
      </c>
      <c r="Q1184" t="s">
        <v>60</v>
      </c>
      <c r="R1184" t="s">
        <v>194</v>
      </c>
      <c r="U1184" t="s">
        <v>194</v>
      </c>
      <c r="V1184">
        <v>1</v>
      </c>
    </row>
    <row r="1185" spans="4:22" x14ac:dyDescent="0.45">
      <c r="D1185" t="s">
        <v>3038</v>
      </c>
      <c r="E1185" t="s">
        <v>3039</v>
      </c>
      <c r="F1185" t="s">
        <v>290</v>
      </c>
      <c r="G1185" t="s">
        <v>3040</v>
      </c>
      <c r="H1185" t="s">
        <v>19</v>
      </c>
      <c r="I1185" t="s">
        <v>334</v>
      </c>
      <c r="J1185" t="s">
        <v>18</v>
      </c>
      <c r="M1185" t="s">
        <v>26</v>
      </c>
      <c r="P1185" t="s">
        <v>26</v>
      </c>
      <c r="Q1185" t="s">
        <v>61</v>
      </c>
      <c r="R1185" t="s">
        <v>194</v>
      </c>
      <c r="U1185" t="s">
        <v>194</v>
      </c>
      <c r="V1185">
        <v>1</v>
      </c>
    </row>
    <row r="1186" spans="4:22" x14ac:dyDescent="0.45">
      <c r="D1186" t="s">
        <v>3041</v>
      </c>
      <c r="E1186" t="s">
        <v>3042</v>
      </c>
      <c r="F1186" t="s">
        <v>290</v>
      </c>
      <c r="G1186" t="s">
        <v>3040</v>
      </c>
      <c r="H1186" t="s">
        <v>19</v>
      </c>
      <c r="I1186" t="s">
        <v>334</v>
      </c>
      <c r="J1186" t="s">
        <v>18</v>
      </c>
      <c r="M1186" t="s">
        <v>28</v>
      </c>
      <c r="P1186" t="s">
        <v>28</v>
      </c>
      <c r="Q1186" t="s">
        <v>61</v>
      </c>
      <c r="R1186" t="s">
        <v>194</v>
      </c>
      <c r="U1186" t="s">
        <v>194</v>
      </c>
      <c r="V1186">
        <v>1</v>
      </c>
    </row>
    <row r="1187" spans="4:22" x14ac:dyDescent="0.45">
      <c r="D1187" t="s">
        <v>3043</v>
      </c>
      <c r="E1187" t="s">
        <v>3044</v>
      </c>
      <c r="F1187" t="s">
        <v>290</v>
      </c>
      <c r="G1187" t="s">
        <v>3040</v>
      </c>
      <c r="H1187" t="s">
        <v>19</v>
      </c>
      <c r="I1187" t="s">
        <v>334</v>
      </c>
      <c r="J1187" t="s">
        <v>18</v>
      </c>
      <c r="M1187" t="s">
        <v>29</v>
      </c>
      <c r="P1187" t="s">
        <v>29</v>
      </c>
      <c r="Q1187" t="s">
        <v>61</v>
      </c>
      <c r="R1187" t="s">
        <v>194</v>
      </c>
      <c r="U1187" t="s">
        <v>194</v>
      </c>
      <c r="V1187">
        <v>1</v>
      </c>
    </row>
    <row r="1188" spans="4:22" x14ac:dyDescent="0.45">
      <c r="D1188" t="s">
        <v>3045</v>
      </c>
      <c r="E1188" t="s">
        <v>3046</v>
      </c>
      <c r="F1188" t="s">
        <v>290</v>
      </c>
      <c r="G1188" t="s">
        <v>3047</v>
      </c>
      <c r="H1188" t="s">
        <v>19</v>
      </c>
      <c r="I1188" t="s">
        <v>334</v>
      </c>
      <c r="J1188" t="s">
        <v>18</v>
      </c>
      <c r="N1188" t="s">
        <v>46</v>
      </c>
      <c r="P1188" t="s">
        <v>46</v>
      </c>
      <c r="Q1188" t="s">
        <v>63</v>
      </c>
      <c r="R1188" t="s">
        <v>194</v>
      </c>
      <c r="U1188" t="s">
        <v>194</v>
      </c>
      <c r="V1188">
        <v>1</v>
      </c>
    </row>
    <row r="1189" spans="4:22" x14ac:dyDescent="0.45">
      <c r="D1189" t="s">
        <v>3048</v>
      </c>
      <c r="E1189" t="s">
        <v>3049</v>
      </c>
      <c r="F1189" t="s">
        <v>290</v>
      </c>
      <c r="G1189" t="s">
        <v>3050</v>
      </c>
      <c r="H1189" t="s">
        <v>19</v>
      </c>
      <c r="I1189" t="s">
        <v>334</v>
      </c>
      <c r="J1189" t="s">
        <v>18</v>
      </c>
      <c r="N1189" t="s">
        <v>46</v>
      </c>
      <c r="P1189" t="s">
        <v>46</v>
      </c>
      <c r="Q1189" t="s">
        <v>64</v>
      </c>
      <c r="R1189" t="s">
        <v>194</v>
      </c>
      <c r="U1189" t="s">
        <v>194</v>
      </c>
      <c r="V1189">
        <v>1</v>
      </c>
    </row>
    <row r="1190" spans="4:22" x14ac:dyDescent="0.45">
      <c r="D1190" t="s">
        <v>3051</v>
      </c>
      <c r="E1190" t="s">
        <v>3052</v>
      </c>
      <c r="F1190" t="s">
        <v>290</v>
      </c>
      <c r="G1190" t="s">
        <v>3053</v>
      </c>
      <c r="H1190" t="s">
        <v>19</v>
      </c>
      <c r="I1190" t="s">
        <v>334</v>
      </c>
      <c r="J1190" t="s">
        <v>18</v>
      </c>
      <c r="N1190" t="s">
        <v>46</v>
      </c>
      <c r="P1190" t="s">
        <v>46</v>
      </c>
      <c r="Q1190" t="s">
        <v>65</v>
      </c>
      <c r="R1190" t="s">
        <v>194</v>
      </c>
      <c r="U1190" t="s">
        <v>194</v>
      </c>
      <c r="V1190">
        <v>1</v>
      </c>
    </row>
    <row r="1191" spans="4:22" x14ac:dyDescent="0.45">
      <c r="D1191" t="s">
        <v>3054</v>
      </c>
      <c r="E1191" t="s">
        <v>3055</v>
      </c>
      <c r="F1191" t="s">
        <v>290</v>
      </c>
      <c r="G1191" t="s">
        <v>3056</v>
      </c>
      <c r="H1191" t="s">
        <v>19</v>
      </c>
      <c r="I1191" t="s">
        <v>334</v>
      </c>
      <c r="J1191" t="s">
        <v>18</v>
      </c>
      <c r="N1191" t="s">
        <v>46</v>
      </c>
      <c r="P1191" t="s">
        <v>46</v>
      </c>
      <c r="Q1191" t="s">
        <v>66</v>
      </c>
      <c r="R1191" t="s">
        <v>194</v>
      </c>
      <c r="U1191" t="s">
        <v>194</v>
      </c>
      <c r="V1191">
        <v>1</v>
      </c>
    </row>
    <row r="1192" spans="4:22" x14ac:dyDescent="0.45">
      <c r="D1192" t="s">
        <v>3057</v>
      </c>
      <c r="E1192" t="s">
        <v>3058</v>
      </c>
      <c r="F1192" t="s">
        <v>290</v>
      </c>
      <c r="G1192" t="s">
        <v>3059</v>
      </c>
      <c r="H1192" t="s">
        <v>19</v>
      </c>
      <c r="I1192" t="s">
        <v>334</v>
      </c>
      <c r="J1192" t="s">
        <v>18</v>
      </c>
      <c r="N1192" t="s">
        <v>46</v>
      </c>
      <c r="P1192" t="s">
        <v>46</v>
      </c>
      <c r="Q1192" t="s">
        <v>113</v>
      </c>
      <c r="R1192" t="s">
        <v>194</v>
      </c>
      <c r="U1192" t="s">
        <v>194</v>
      </c>
      <c r="V1192">
        <v>1</v>
      </c>
    </row>
    <row r="1193" spans="4:22" x14ac:dyDescent="0.45">
      <c r="D1193" t="s">
        <v>3060</v>
      </c>
      <c r="E1193" t="s">
        <v>3061</v>
      </c>
      <c r="F1193" t="s">
        <v>290</v>
      </c>
      <c r="G1193" t="s">
        <v>3062</v>
      </c>
      <c r="H1193" t="s">
        <v>19</v>
      </c>
      <c r="I1193" t="s">
        <v>334</v>
      </c>
      <c r="J1193" t="s">
        <v>18</v>
      </c>
      <c r="N1193" t="s">
        <v>46</v>
      </c>
      <c r="P1193" t="s">
        <v>46</v>
      </c>
      <c r="Q1193" t="s">
        <v>162</v>
      </c>
      <c r="R1193" t="s">
        <v>194</v>
      </c>
      <c r="U1193" t="s">
        <v>194</v>
      </c>
      <c r="V1193">
        <v>1</v>
      </c>
    </row>
    <row r="1194" spans="4:22" x14ac:dyDescent="0.45">
      <c r="D1194" t="s">
        <v>3063</v>
      </c>
      <c r="E1194" t="s">
        <v>3064</v>
      </c>
      <c r="F1194" t="s">
        <v>290</v>
      </c>
      <c r="G1194" t="s">
        <v>3065</v>
      </c>
      <c r="H1194" t="s">
        <v>19</v>
      </c>
      <c r="I1194" t="s">
        <v>112</v>
      </c>
      <c r="J1194" t="s">
        <v>18</v>
      </c>
      <c r="M1194" t="s">
        <v>26</v>
      </c>
      <c r="P1194" t="s">
        <v>26</v>
      </c>
      <c r="Q1194" t="s">
        <v>60</v>
      </c>
      <c r="R1194" t="s">
        <v>194</v>
      </c>
      <c r="U1194" t="s">
        <v>194</v>
      </c>
      <c r="V1194">
        <v>1</v>
      </c>
    </row>
    <row r="1195" spans="4:22" x14ac:dyDescent="0.45">
      <c r="D1195" t="s">
        <v>3066</v>
      </c>
      <c r="E1195" t="s">
        <v>3067</v>
      </c>
      <c r="F1195" t="s">
        <v>290</v>
      </c>
      <c r="G1195" t="s">
        <v>3065</v>
      </c>
      <c r="H1195" t="s">
        <v>19</v>
      </c>
      <c r="I1195" t="s">
        <v>112</v>
      </c>
      <c r="J1195" t="s">
        <v>18</v>
      </c>
      <c r="M1195" t="s">
        <v>28</v>
      </c>
      <c r="P1195" t="s">
        <v>28</v>
      </c>
      <c r="Q1195" t="s">
        <v>60</v>
      </c>
      <c r="R1195" t="s">
        <v>194</v>
      </c>
      <c r="U1195" t="s">
        <v>194</v>
      </c>
      <c r="V1195">
        <v>1</v>
      </c>
    </row>
    <row r="1196" spans="4:22" x14ac:dyDescent="0.45">
      <c r="D1196" t="s">
        <v>3068</v>
      </c>
      <c r="E1196" t="s">
        <v>3069</v>
      </c>
      <c r="F1196" t="s">
        <v>290</v>
      </c>
      <c r="G1196" t="s">
        <v>3065</v>
      </c>
      <c r="H1196" t="s">
        <v>19</v>
      </c>
      <c r="I1196" t="s">
        <v>112</v>
      </c>
      <c r="J1196" t="s">
        <v>18</v>
      </c>
      <c r="M1196" t="s">
        <v>29</v>
      </c>
      <c r="P1196" t="s">
        <v>29</v>
      </c>
      <c r="Q1196" t="s">
        <v>60</v>
      </c>
      <c r="R1196" t="s">
        <v>194</v>
      </c>
      <c r="U1196" t="s">
        <v>194</v>
      </c>
      <c r="V1196">
        <v>1</v>
      </c>
    </row>
    <row r="1197" spans="4:22" x14ac:dyDescent="0.45">
      <c r="D1197" t="s">
        <v>3070</v>
      </c>
      <c r="E1197" t="s">
        <v>3071</v>
      </c>
      <c r="F1197" t="s">
        <v>290</v>
      </c>
      <c r="G1197" t="s">
        <v>3072</v>
      </c>
      <c r="H1197" t="s">
        <v>19</v>
      </c>
      <c r="I1197" t="s">
        <v>112</v>
      </c>
      <c r="J1197" t="s">
        <v>18</v>
      </c>
      <c r="M1197" t="s">
        <v>26</v>
      </c>
      <c r="P1197" t="s">
        <v>26</v>
      </c>
      <c r="Q1197" t="s">
        <v>61</v>
      </c>
      <c r="R1197" t="s">
        <v>194</v>
      </c>
      <c r="U1197" t="s">
        <v>194</v>
      </c>
      <c r="V1197">
        <v>1</v>
      </c>
    </row>
    <row r="1198" spans="4:22" x14ac:dyDescent="0.45">
      <c r="D1198" t="s">
        <v>3073</v>
      </c>
      <c r="E1198" t="s">
        <v>3074</v>
      </c>
      <c r="F1198" t="s">
        <v>290</v>
      </c>
      <c r="G1198" t="s">
        <v>3072</v>
      </c>
      <c r="H1198" t="s">
        <v>19</v>
      </c>
      <c r="I1198" t="s">
        <v>112</v>
      </c>
      <c r="J1198" t="s">
        <v>18</v>
      </c>
      <c r="M1198" t="s">
        <v>28</v>
      </c>
      <c r="P1198" t="s">
        <v>28</v>
      </c>
      <c r="Q1198" t="s">
        <v>61</v>
      </c>
      <c r="R1198" t="s">
        <v>194</v>
      </c>
      <c r="U1198" t="s">
        <v>194</v>
      </c>
      <c r="V1198">
        <v>1</v>
      </c>
    </row>
    <row r="1199" spans="4:22" x14ac:dyDescent="0.45">
      <c r="D1199" t="s">
        <v>3075</v>
      </c>
      <c r="E1199" t="s">
        <v>3076</v>
      </c>
      <c r="F1199" t="s">
        <v>290</v>
      </c>
      <c r="G1199" t="s">
        <v>3072</v>
      </c>
      <c r="H1199" t="s">
        <v>19</v>
      </c>
      <c r="I1199" t="s">
        <v>112</v>
      </c>
      <c r="J1199" t="s">
        <v>18</v>
      </c>
      <c r="M1199" t="s">
        <v>29</v>
      </c>
      <c r="P1199" t="s">
        <v>29</v>
      </c>
      <c r="Q1199" t="s">
        <v>61</v>
      </c>
      <c r="R1199" t="s">
        <v>194</v>
      </c>
      <c r="U1199" t="s">
        <v>194</v>
      </c>
      <c r="V1199">
        <v>1</v>
      </c>
    </row>
    <row r="1200" spans="4:22" x14ac:dyDescent="0.45">
      <c r="D1200" t="s">
        <v>3077</v>
      </c>
      <c r="E1200" t="s">
        <v>3078</v>
      </c>
      <c r="F1200" t="s">
        <v>290</v>
      </c>
      <c r="G1200" t="s">
        <v>3079</v>
      </c>
      <c r="H1200" t="s">
        <v>19</v>
      </c>
      <c r="I1200" t="s">
        <v>112</v>
      </c>
      <c r="J1200" t="s">
        <v>18</v>
      </c>
      <c r="N1200" t="s">
        <v>46</v>
      </c>
      <c r="P1200" t="s">
        <v>46</v>
      </c>
      <c r="Q1200" t="s">
        <v>63</v>
      </c>
      <c r="R1200" t="s">
        <v>194</v>
      </c>
      <c r="U1200" t="s">
        <v>194</v>
      </c>
      <c r="V1200">
        <v>1</v>
      </c>
    </row>
    <row r="1201" spans="4:22" x14ac:dyDescent="0.45">
      <c r="D1201" t="s">
        <v>3080</v>
      </c>
      <c r="E1201" t="s">
        <v>3081</v>
      </c>
      <c r="F1201" t="s">
        <v>290</v>
      </c>
      <c r="G1201" t="s">
        <v>3082</v>
      </c>
      <c r="H1201" t="s">
        <v>19</v>
      </c>
      <c r="I1201" t="s">
        <v>112</v>
      </c>
      <c r="J1201" t="s">
        <v>18</v>
      </c>
      <c r="N1201" t="s">
        <v>46</v>
      </c>
      <c r="P1201" t="s">
        <v>46</v>
      </c>
      <c r="Q1201" t="s">
        <v>64</v>
      </c>
      <c r="R1201" t="s">
        <v>194</v>
      </c>
      <c r="U1201" t="s">
        <v>194</v>
      </c>
      <c r="V1201">
        <v>1</v>
      </c>
    </row>
    <row r="1202" spans="4:22" x14ac:dyDescent="0.45">
      <c r="D1202" t="s">
        <v>3083</v>
      </c>
      <c r="E1202" t="s">
        <v>3084</v>
      </c>
      <c r="F1202" t="s">
        <v>290</v>
      </c>
      <c r="G1202" t="s">
        <v>3085</v>
      </c>
      <c r="H1202" t="s">
        <v>19</v>
      </c>
      <c r="I1202" t="s">
        <v>112</v>
      </c>
      <c r="J1202" t="s">
        <v>18</v>
      </c>
      <c r="N1202" t="s">
        <v>46</v>
      </c>
      <c r="P1202" t="s">
        <v>46</v>
      </c>
      <c r="Q1202" t="s">
        <v>65</v>
      </c>
      <c r="R1202" t="s">
        <v>194</v>
      </c>
      <c r="U1202" t="s">
        <v>194</v>
      </c>
      <c r="V1202">
        <v>1</v>
      </c>
    </row>
    <row r="1203" spans="4:22" x14ac:dyDescent="0.45">
      <c r="D1203" t="s">
        <v>3086</v>
      </c>
      <c r="E1203" t="s">
        <v>3087</v>
      </c>
      <c r="F1203" t="s">
        <v>290</v>
      </c>
      <c r="G1203" t="s">
        <v>3088</v>
      </c>
      <c r="H1203" t="s">
        <v>19</v>
      </c>
      <c r="I1203" t="s">
        <v>112</v>
      </c>
      <c r="J1203" t="s">
        <v>18</v>
      </c>
      <c r="N1203" t="s">
        <v>46</v>
      </c>
      <c r="P1203" t="s">
        <v>46</v>
      </c>
      <c r="Q1203" t="s">
        <v>66</v>
      </c>
      <c r="R1203" t="s">
        <v>194</v>
      </c>
      <c r="U1203" t="s">
        <v>194</v>
      </c>
      <c r="V1203">
        <v>1</v>
      </c>
    </row>
    <row r="1204" spans="4:22" x14ac:dyDescent="0.45">
      <c r="D1204" t="s">
        <v>3089</v>
      </c>
      <c r="E1204" t="s">
        <v>3090</v>
      </c>
      <c r="F1204" t="s">
        <v>290</v>
      </c>
      <c r="G1204" t="s">
        <v>3091</v>
      </c>
      <c r="H1204" t="s">
        <v>19</v>
      </c>
      <c r="I1204" t="s">
        <v>112</v>
      </c>
      <c r="J1204" t="s">
        <v>18</v>
      </c>
      <c r="N1204" t="s">
        <v>46</v>
      </c>
      <c r="P1204" t="s">
        <v>46</v>
      </c>
      <c r="Q1204" t="s">
        <v>113</v>
      </c>
      <c r="R1204" t="s">
        <v>194</v>
      </c>
      <c r="U1204" t="s">
        <v>194</v>
      </c>
      <c r="V1204">
        <v>1</v>
      </c>
    </row>
    <row r="1205" spans="4:22" x14ac:dyDescent="0.45">
      <c r="D1205" t="s">
        <v>3092</v>
      </c>
      <c r="E1205" t="s">
        <v>1632</v>
      </c>
      <c r="F1205" t="s">
        <v>290</v>
      </c>
      <c r="G1205" t="s">
        <v>3093</v>
      </c>
      <c r="H1205" t="s">
        <v>19</v>
      </c>
      <c r="I1205" t="s">
        <v>99</v>
      </c>
      <c r="J1205" t="s">
        <v>18</v>
      </c>
      <c r="M1205" t="s">
        <v>26</v>
      </c>
      <c r="P1205" t="s">
        <v>26</v>
      </c>
      <c r="Q1205" t="s">
        <v>60</v>
      </c>
      <c r="R1205" t="s">
        <v>194</v>
      </c>
      <c r="U1205" t="s">
        <v>194</v>
      </c>
      <c r="V1205">
        <v>1</v>
      </c>
    </row>
    <row r="1206" spans="4:22" x14ac:dyDescent="0.45">
      <c r="D1206" t="s">
        <v>3094</v>
      </c>
      <c r="E1206" t="s">
        <v>1630</v>
      </c>
      <c r="F1206" t="s">
        <v>290</v>
      </c>
      <c r="G1206" t="s">
        <v>3093</v>
      </c>
      <c r="H1206" t="s">
        <v>19</v>
      </c>
      <c r="I1206" t="s">
        <v>99</v>
      </c>
      <c r="J1206" t="s">
        <v>18</v>
      </c>
      <c r="M1206" t="s">
        <v>28</v>
      </c>
      <c r="P1206" t="s">
        <v>28</v>
      </c>
      <c r="Q1206" t="s">
        <v>60</v>
      </c>
      <c r="R1206" t="s">
        <v>194</v>
      </c>
      <c r="U1206" t="s">
        <v>194</v>
      </c>
      <c r="V1206">
        <v>1</v>
      </c>
    </row>
    <row r="1207" spans="4:22" x14ac:dyDescent="0.45">
      <c r="D1207" t="s">
        <v>3095</v>
      </c>
      <c r="E1207" t="s">
        <v>1628</v>
      </c>
      <c r="F1207" t="s">
        <v>290</v>
      </c>
      <c r="G1207" t="s">
        <v>3093</v>
      </c>
      <c r="H1207" t="s">
        <v>19</v>
      </c>
      <c r="I1207" t="s">
        <v>99</v>
      </c>
      <c r="J1207" t="s">
        <v>18</v>
      </c>
      <c r="M1207" t="s">
        <v>29</v>
      </c>
      <c r="P1207" t="s">
        <v>29</v>
      </c>
      <c r="Q1207" t="s">
        <v>60</v>
      </c>
      <c r="R1207" t="s">
        <v>194</v>
      </c>
      <c r="U1207" t="s">
        <v>194</v>
      </c>
      <c r="V1207">
        <v>1</v>
      </c>
    </row>
    <row r="1208" spans="4:22" x14ac:dyDescent="0.45">
      <c r="D1208" t="s">
        <v>3096</v>
      </c>
      <c r="E1208" t="s">
        <v>1633</v>
      </c>
      <c r="F1208" t="s">
        <v>290</v>
      </c>
      <c r="G1208" t="s">
        <v>3097</v>
      </c>
      <c r="H1208" t="s">
        <v>19</v>
      </c>
      <c r="I1208" t="s">
        <v>99</v>
      </c>
      <c r="J1208" t="s">
        <v>18</v>
      </c>
      <c r="M1208" t="s">
        <v>26</v>
      </c>
      <c r="P1208" t="s">
        <v>26</v>
      </c>
      <c r="Q1208" t="s">
        <v>61</v>
      </c>
      <c r="R1208" t="s">
        <v>194</v>
      </c>
      <c r="U1208" t="s">
        <v>194</v>
      </c>
      <c r="V1208">
        <v>1</v>
      </c>
    </row>
    <row r="1209" spans="4:22" x14ac:dyDescent="0.45">
      <c r="D1209" t="s">
        <v>3098</v>
      </c>
      <c r="E1209" t="s">
        <v>1631</v>
      </c>
      <c r="F1209" t="s">
        <v>290</v>
      </c>
      <c r="G1209" t="s">
        <v>3097</v>
      </c>
      <c r="H1209" t="s">
        <v>19</v>
      </c>
      <c r="I1209" t="s">
        <v>99</v>
      </c>
      <c r="J1209" t="s">
        <v>18</v>
      </c>
      <c r="M1209" t="s">
        <v>28</v>
      </c>
      <c r="P1209" t="s">
        <v>28</v>
      </c>
      <c r="Q1209" t="s">
        <v>61</v>
      </c>
      <c r="R1209" t="s">
        <v>194</v>
      </c>
      <c r="U1209" t="s">
        <v>194</v>
      </c>
      <c r="V1209">
        <v>1</v>
      </c>
    </row>
    <row r="1210" spans="4:22" x14ac:dyDescent="0.45">
      <c r="D1210" t="s">
        <v>3099</v>
      </c>
      <c r="E1210" t="s">
        <v>1629</v>
      </c>
      <c r="F1210" t="s">
        <v>290</v>
      </c>
      <c r="G1210" t="s">
        <v>3097</v>
      </c>
      <c r="H1210" t="s">
        <v>19</v>
      </c>
      <c r="I1210" t="s">
        <v>99</v>
      </c>
      <c r="J1210" t="s">
        <v>18</v>
      </c>
      <c r="M1210" t="s">
        <v>29</v>
      </c>
      <c r="P1210" t="s">
        <v>29</v>
      </c>
      <c r="Q1210" t="s">
        <v>61</v>
      </c>
      <c r="R1210" t="s">
        <v>194</v>
      </c>
      <c r="U1210" t="s">
        <v>194</v>
      </c>
      <c r="V1210">
        <v>1</v>
      </c>
    </row>
    <row r="1211" spans="4:22" x14ac:dyDescent="0.45">
      <c r="D1211" t="s">
        <v>3100</v>
      </c>
      <c r="E1211" t="s">
        <v>3101</v>
      </c>
      <c r="F1211" t="s">
        <v>290</v>
      </c>
      <c r="G1211" t="s">
        <v>3102</v>
      </c>
      <c r="H1211" t="s">
        <v>19</v>
      </c>
      <c r="I1211" t="s">
        <v>99</v>
      </c>
      <c r="J1211" t="s">
        <v>18</v>
      </c>
      <c r="N1211" t="s">
        <v>46</v>
      </c>
      <c r="P1211" t="s">
        <v>46</v>
      </c>
      <c r="Q1211" t="s">
        <v>64</v>
      </c>
      <c r="R1211" t="s">
        <v>194</v>
      </c>
      <c r="U1211" t="s">
        <v>194</v>
      </c>
      <c r="V1211">
        <v>1</v>
      </c>
    </row>
    <row r="1212" spans="4:22" x14ac:dyDescent="0.45">
      <c r="D1212" t="s">
        <v>3103</v>
      </c>
      <c r="E1212" t="s">
        <v>3104</v>
      </c>
      <c r="F1212" t="s">
        <v>290</v>
      </c>
      <c r="G1212" t="s">
        <v>3105</v>
      </c>
      <c r="H1212" t="s">
        <v>19</v>
      </c>
      <c r="I1212" t="s">
        <v>99</v>
      </c>
      <c r="J1212" t="s">
        <v>18</v>
      </c>
      <c r="N1212" t="s">
        <v>46</v>
      </c>
      <c r="P1212" t="s">
        <v>46</v>
      </c>
      <c r="Q1212" t="s">
        <v>65</v>
      </c>
      <c r="R1212" t="s">
        <v>194</v>
      </c>
      <c r="U1212" t="s">
        <v>194</v>
      </c>
      <c r="V1212">
        <v>1</v>
      </c>
    </row>
    <row r="1213" spans="4:22" x14ac:dyDescent="0.45">
      <c r="D1213" t="s">
        <v>3106</v>
      </c>
      <c r="E1213" t="s">
        <v>3107</v>
      </c>
      <c r="F1213" t="s">
        <v>290</v>
      </c>
      <c r="G1213" t="s">
        <v>3108</v>
      </c>
      <c r="H1213" t="s">
        <v>19</v>
      </c>
      <c r="I1213" t="s">
        <v>99</v>
      </c>
      <c r="J1213" t="s">
        <v>18</v>
      </c>
      <c r="N1213" t="s">
        <v>46</v>
      </c>
      <c r="P1213" t="s">
        <v>46</v>
      </c>
      <c r="Q1213" t="s">
        <v>66</v>
      </c>
      <c r="R1213" t="s">
        <v>194</v>
      </c>
      <c r="U1213" t="s">
        <v>194</v>
      </c>
      <c r="V1213">
        <v>1</v>
      </c>
    </row>
    <row r="1214" spans="4:22" x14ac:dyDescent="0.45">
      <c r="D1214" t="s">
        <v>3109</v>
      </c>
      <c r="E1214" t="s">
        <v>3110</v>
      </c>
      <c r="F1214" t="s">
        <v>290</v>
      </c>
      <c r="G1214" t="s">
        <v>3111</v>
      </c>
      <c r="H1214" t="s">
        <v>19</v>
      </c>
      <c r="I1214" t="s">
        <v>99</v>
      </c>
      <c r="J1214" t="s">
        <v>18</v>
      </c>
      <c r="N1214" t="s">
        <v>46</v>
      </c>
      <c r="P1214" t="s">
        <v>46</v>
      </c>
      <c r="Q1214" t="s">
        <v>113</v>
      </c>
      <c r="R1214" t="s">
        <v>194</v>
      </c>
      <c r="U1214" t="s">
        <v>194</v>
      </c>
      <c r="V1214">
        <v>1</v>
      </c>
    </row>
    <row r="1215" spans="4:22" x14ac:dyDescent="0.45">
      <c r="G1215" t="s">
        <v>18</v>
      </c>
      <c r="H1215" t="s">
        <v>18</v>
      </c>
      <c r="J1215" t="s">
        <v>18</v>
      </c>
      <c r="P1215" t="s">
        <v>18</v>
      </c>
      <c r="U1215" t="s">
        <v>18</v>
      </c>
    </row>
    <row r="1216" spans="4:22" x14ac:dyDescent="0.45">
      <c r="D1216" t="s">
        <v>3112</v>
      </c>
      <c r="E1216" t="s">
        <v>3113</v>
      </c>
      <c r="F1216" t="s">
        <v>290</v>
      </c>
      <c r="G1216" t="s">
        <v>3114</v>
      </c>
      <c r="H1216" t="s">
        <v>19</v>
      </c>
      <c r="I1216" t="s">
        <v>335</v>
      </c>
      <c r="J1216" t="s">
        <v>18</v>
      </c>
      <c r="L1216" t="s">
        <v>70</v>
      </c>
      <c r="M1216" t="s">
        <v>221</v>
      </c>
      <c r="N1216" t="s">
        <v>46</v>
      </c>
      <c r="P1216" t="s">
        <v>3115</v>
      </c>
      <c r="U1216" t="s">
        <v>18</v>
      </c>
      <c r="V1216">
        <v>1</v>
      </c>
    </row>
    <row r="1217" spans="4:22" x14ac:dyDescent="0.45">
      <c r="D1217" t="s">
        <v>3116</v>
      </c>
      <c r="E1217" t="s">
        <v>3117</v>
      </c>
      <c r="F1217" t="s">
        <v>290</v>
      </c>
      <c r="G1217" t="s">
        <v>3118</v>
      </c>
      <c r="H1217" t="s">
        <v>19</v>
      </c>
      <c r="I1217" t="s">
        <v>335</v>
      </c>
      <c r="J1217" t="s">
        <v>18</v>
      </c>
      <c r="L1217" t="s">
        <v>70</v>
      </c>
      <c r="M1217" t="s">
        <v>221</v>
      </c>
      <c r="N1217" t="s">
        <v>46</v>
      </c>
      <c r="P1217" t="s">
        <v>3115</v>
      </c>
      <c r="U1217" t="s">
        <v>18</v>
      </c>
      <c r="V1217">
        <v>2</v>
      </c>
    </row>
    <row r="1218" spans="4:22" x14ac:dyDescent="0.45">
      <c r="D1218" t="s">
        <v>3119</v>
      </c>
      <c r="E1218" t="s">
        <v>3120</v>
      </c>
      <c r="F1218" t="s">
        <v>290</v>
      </c>
      <c r="G1218" t="s">
        <v>3114</v>
      </c>
      <c r="H1218" t="s">
        <v>19</v>
      </c>
      <c r="I1218" t="s">
        <v>335</v>
      </c>
      <c r="J1218" t="s">
        <v>18</v>
      </c>
      <c r="L1218" t="s">
        <v>70</v>
      </c>
      <c r="M1218" t="s">
        <v>221</v>
      </c>
      <c r="N1218" t="s">
        <v>46</v>
      </c>
      <c r="P1218" t="s">
        <v>3115</v>
      </c>
      <c r="U1218" t="s">
        <v>18</v>
      </c>
      <c r="V1218">
        <v>1</v>
      </c>
    </row>
    <row r="1219" spans="4:22" x14ac:dyDescent="0.45">
      <c r="D1219" t="s">
        <v>3121</v>
      </c>
      <c r="E1219" t="s">
        <v>3122</v>
      </c>
      <c r="F1219" t="s">
        <v>290</v>
      </c>
      <c r="G1219" t="s">
        <v>3118</v>
      </c>
      <c r="H1219" t="s">
        <v>19</v>
      </c>
      <c r="I1219" t="s">
        <v>335</v>
      </c>
      <c r="J1219" t="s">
        <v>18</v>
      </c>
      <c r="L1219" t="s">
        <v>70</v>
      </c>
      <c r="M1219" t="s">
        <v>221</v>
      </c>
      <c r="N1219" t="s">
        <v>46</v>
      </c>
      <c r="P1219" t="s">
        <v>3115</v>
      </c>
      <c r="U1219" t="s">
        <v>18</v>
      </c>
      <c r="V1219">
        <v>2</v>
      </c>
    </row>
    <row r="1220" spans="4:22" x14ac:dyDescent="0.45">
      <c r="D1220" t="s">
        <v>3123</v>
      </c>
      <c r="E1220" t="s">
        <v>1499</v>
      </c>
      <c r="F1220" t="s">
        <v>290</v>
      </c>
      <c r="G1220" t="s">
        <v>3114</v>
      </c>
      <c r="H1220" t="s">
        <v>19</v>
      </c>
      <c r="I1220" t="s">
        <v>335</v>
      </c>
      <c r="J1220" t="s">
        <v>18</v>
      </c>
      <c r="L1220" t="s">
        <v>70</v>
      </c>
      <c r="M1220" t="s">
        <v>221</v>
      </c>
      <c r="N1220" t="s">
        <v>46</v>
      </c>
      <c r="P1220" t="s">
        <v>3115</v>
      </c>
      <c r="U1220" t="s">
        <v>18</v>
      </c>
      <c r="V1220">
        <v>1</v>
      </c>
    </row>
    <row r="1221" spans="4:22" x14ac:dyDescent="0.45">
      <c r="D1221" t="s">
        <v>3124</v>
      </c>
      <c r="E1221" t="s">
        <v>1504</v>
      </c>
      <c r="F1221" t="s">
        <v>290</v>
      </c>
      <c r="G1221" t="s">
        <v>3114</v>
      </c>
      <c r="H1221" t="s">
        <v>19</v>
      </c>
      <c r="I1221" t="s">
        <v>335</v>
      </c>
      <c r="J1221" t="s">
        <v>18</v>
      </c>
      <c r="L1221" t="s">
        <v>70</v>
      </c>
      <c r="M1221" t="s">
        <v>221</v>
      </c>
      <c r="N1221" t="s">
        <v>46</v>
      </c>
      <c r="P1221" t="s">
        <v>3115</v>
      </c>
      <c r="U1221" t="s">
        <v>18</v>
      </c>
      <c r="V1221">
        <v>1</v>
      </c>
    </row>
    <row r="1222" spans="4:22" x14ac:dyDescent="0.45">
      <c r="D1222" t="s">
        <v>3125</v>
      </c>
      <c r="E1222" t="s">
        <v>1508</v>
      </c>
      <c r="F1222" t="s">
        <v>290</v>
      </c>
      <c r="G1222" t="s">
        <v>3114</v>
      </c>
      <c r="H1222" t="s">
        <v>19</v>
      </c>
      <c r="I1222" t="s">
        <v>335</v>
      </c>
      <c r="J1222" t="s">
        <v>18</v>
      </c>
      <c r="L1222" t="s">
        <v>70</v>
      </c>
      <c r="M1222" t="s">
        <v>221</v>
      </c>
      <c r="N1222" t="s">
        <v>46</v>
      </c>
      <c r="P1222" t="s">
        <v>3115</v>
      </c>
      <c r="U1222" t="s">
        <v>18</v>
      </c>
      <c r="V1222">
        <v>1</v>
      </c>
    </row>
    <row r="1223" spans="4:22" x14ac:dyDescent="0.45">
      <c r="D1223" t="s">
        <v>3126</v>
      </c>
      <c r="E1223" t="s">
        <v>1510</v>
      </c>
      <c r="F1223" t="s">
        <v>290</v>
      </c>
      <c r="G1223" t="s">
        <v>3114</v>
      </c>
      <c r="H1223" t="s">
        <v>19</v>
      </c>
      <c r="I1223" t="s">
        <v>335</v>
      </c>
      <c r="J1223" t="s">
        <v>18</v>
      </c>
      <c r="L1223" t="s">
        <v>70</v>
      </c>
      <c r="M1223" t="s">
        <v>221</v>
      </c>
      <c r="N1223" t="s">
        <v>46</v>
      </c>
      <c r="P1223" t="s">
        <v>3115</v>
      </c>
      <c r="U1223" t="s">
        <v>18</v>
      </c>
      <c r="V1223">
        <v>1</v>
      </c>
    </row>
    <row r="1224" spans="4:22" x14ac:dyDescent="0.45">
      <c r="D1224" t="s">
        <v>3127</v>
      </c>
      <c r="E1224" t="s">
        <v>1495</v>
      </c>
      <c r="F1224" t="s">
        <v>290</v>
      </c>
      <c r="G1224" t="s">
        <v>3114</v>
      </c>
      <c r="H1224" t="s">
        <v>19</v>
      </c>
      <c r="I1224" t="s">
        <v>335</v>
      </c>
      <c r="J1224" t="s">
        <v>18</v>
      </c>
      <c r="L1224" t="s">
        <v>70</v>
      </c>
      <c r="M1224" t="s">
        <v>221</v>
      </c>
      <c r="N1224" t="s">
        <v>46</v>
      </c>
      <c r="P1224" t="s">
        <v>3115</v>
      </c>
      <c r="U1224" t="s">
        <v>18</v>
      </c>
      <c r="V1224">
        <v>1</v>
      </c>
    </row>
    <row r="1225" spans="4:22" x14ac:dyDescent="0.45">
      <c r="D1225" t="s">
        <v>3128</v>
      </c>
      <c r="E1225" t="s">
        <v>1497</v>
      </c>
      <c r="F1225" t="s">
        <v>290</v>
      </c>
      <c r="G1225" t="s">
        <v>3114</v>
      </c>
      <c r="H1225" t="s">
        <v>19</v>
      </c>
      <c r="I1225" t="s">
        <v>335</v>
      </c>
      <c r="J1225" t="s">
        <v>18</v>
      </c>
      <c r="L1225" t="s">
        <v>70</v>
      </c>
      <c r="M1225" t="s">
        <v>221</v>
      </c>
      <c r="N1225" t="s">
        <v>46</v>
      </c>
      <c r="P1225" t="s">
        <v>3115</v>
      </c>
      <c r="U1225" t="s">
        <v>18</v>
      </c>
      <c r="V1225">
        <v>1</v>
      </c>
    </row>
    <row r="1226" spans="4:22" x14ac:dyDescent="0.45">
      <c r="D1226" t="s">
        <v>3129</v>
      </c>
      <c r="E1226" t="s">
        <v>1518</v>
      </c>
      <c r="F1226" t="s">
        <v>290</v>
      </c>
      <c r="G1226" t="s">
        <v>3118</v>
      </c>
      <c r="H1226" t="s">
        <v>19</v>
      </c>
      <c r="I1226" t="s">
        <v>335</v>
      </c>
      <c r="J1226" t="s">
        <v>18</v>
      </c>
      <c r="L1226" t="s">
        <v>70</v>
      </c>
      <c r="M1226" t="s">
        <v>221</v>
      </c>
      <c r="N1226" t="s">
        <v>46</v>
      </c>
      <c r="P1226" t="s">
        <v>3115</v>
      </c>
      <c r="U1226" t="s">
        <v>18</v>
      </c>
      <c r="V1226">
        <v>2</v>
      </c>
    </row>
    <row r="1227" spans="4:22" x14ac:dyDescent="0.45">
      <c r="D1227" t="s">
        <v>3130</v>
      </c>
      <c r="E1227" t="s">
        <v>1522</v>
      </c>
      <c r="F1227" t="s">
        <v>290</v>
      </c>
      <c r="G1227" t="s">
        <v>3118</v>
      </c>
      <c r="H1227" t="s">
        <v>19</v>
      </c>
      <c r="I1227" t="s">
        <v>335</v>
      </c>
      <c r="J1227" t="s">
        <v>18</v>
      </c>
      <c r="L1227" t="s">
        <v>70</v>
      </c>
      <c r="M1227" t="s">
        <v>221</v>
      </c>
      <c r="N1227" t="s">
        <v>46</v>
      </c>
      <c r="P1227" t="s">
        <v>3115</v>
      </c>
      <c r="U1227" t="s">
        <v>18</v>
      </c>
      <c r="V1227">
        <v>2</v>
      </c>
    </row>
    <row r="1228" spans="4:22" x14ac:dyDescent="0.45">
      <c r="D1228" t="s">
        <v>3131</v>
      </c>
      <c r="E1228" t="s">
        <v>1526</v>
      </c>
      <c r="F1228" t="s">
        <v>290</v>
      </c>
      <c r="G1228" t="s">
        <v>3118</v>
      </c>
      <c r="H1228" t="s">
        <v>19</v>
      </c>
      <c r="I1228" t="s">
        <v>335</v>
      </c>
      <c r="J1228" t="s">
        <v>18</v>
      </c>
      <c r="L1228" t="s">
        <v>70</v>
      </c>
      <c r="M1228" t="s">
        <v>221</v>
      </c>
      <c r="N1228" t="s">
        <v>46</v>
      </c>
      <c r="P1228" t="s">
        <v>3115</v>
      </c>
      <c r="U1228" t="s">
        <v>18</v>
      </c>
      <c r="V1228">
        <v>2</v>
      </c>
    </row>
    <row r="1229" spans="4:22" x14ac:dyDescent="0.45">
      <c r="D1229" t="s">
        <v>3132</v>
      </c>
      <c r="E1229" t="s">
        <v>1528</v>
      </c>
      <c r="F1229" t="s">
        <v>290</v>
      </c>
      <c r="G1229" t="s">
        <v>3118</v>
      </c>
      <c r="H1229" t="s">
        <v>19</v>
      </c>
      <c r="I1229" t="s">
        <v>335</v>
      </c>
      <c r="J1229" t="s">
        <v>18</v>
      </c>
      <c r="L1229" t="s">
        <v>70</v>
      </c>
      <c r="M1229" t="s">
        <v>221</v>
      </c>
      <c r="N1229" t="s">
        <v>46</v>
      </c>
      <c r="P1229" t="s">
        <v>3115</v>
      </c>
      <c r="U1229" t="s">
        <v>18</v>
      </c>
      <c r="V1229">
        <v>2</v>
      </c>
    </row>
    <row r="1230" spans="4:22" x14ac:dyDescent="0.45">
      <c r="D1230" t="s">
        <v>3133</v>
      </c>
      <c r="E1230" t="s">
        <v>1514</v>
      </c>
      <c r="F1230" t="s">
        <v>290</v>
      </c>
      <c r="G1230" t="s">
        <v>3118</v>
      </c>
      <c r="H1230" t="s">
        <v>19</v>
      </c>
      <c r="I1230" t="s">
        <v>335</v>
      </c>
      <c r="J1230" t="s">
        <v>18</v>
      </c>
      <c r="L1230" t="s">
        <v>70</v>
      </c>
      <c r="M1230" t="s">
        <v>221</v>
      </c>
      <c r="N1230" t="s">
        <v>46</v>
      </c>
      <c r="P1230" t="s">
        <v>3115</v>
      </c>
      <c r="U1230" t="s">
        <v>18</v>
      </c>
      <c r="V1230">
        <v>2</v>
      </c>
    </row>
    <row r="1231" spans="4:22" x14ac:dyDescent="0.45">
      <c r="D1231" t="s">
        <v>3134</v>
      </c>
      <c r="E1231" t="s">
        <v>1516</v>
      </c>
      <c r="F1231" t="s">
        <v>290</v>
      </c>
      <c r="G1231" t="s">
        <v>3118</v>
      </c>
      <c r="H1231" t="s">
        <v>19</v>
      </c>
      <c r="I1231" t="s">
        <v>335</v>
      </c>
      <c r="J1231" t="s">
        <v>18</v>
      </c>
      <c r="L1231" t="s">
        <v>70</v>
      </c>
      <c r="M1231" t="s">
        <v>221</v>
      </c>
      <c r="N1231" t="s">
        <v>46</v>
      </c>
      <c r="P1231" t="s">
        <v>3115</v>
      </c>
      <c r="U1231" t="s">
        <v>18</v>
      </c>
      <c r="V1231">
        <v>2</v>
      </c>
    </row>
    <row r="1232" spans="4:22" x14ac:dyDescent="0.45">
      <c r="D1232" t="s">
        <v>3135</v>
      </c>
      <c r="E1232" t="s">
        <v>3136</v>
      </c>
      <c r="F1232" t="s">
        <v>290</v>
      </c>
      <c r="G1232" t="s">
        <v>3114</v>
      </c>
      <c r="H1232" t="s">
        <v>19</v>
      </c>
      <c r="I1232" t="s">
        <v>335</v>
      </c>
      <c r="J1232" t="s">
        <v>18</v>
      </c>
      <c r="L1232" t="s">
        <v>70</v>
      </c>
      <c r="M1232" t="s">
        <v>221</v>
      </c>
      <c r="N1232" t="s">
        <v>46</v>
      </c>
      <c r="P1232" t="s">
        <v>3115</v>
      </c>
      <c r="U1232" t="s">
        <v>18</v>
      </c>
      <c r="V1232">
        <v>1</v>
      </c>
    </row>
    <row r="1233" spans="4:22" x14ac:dyDescent="0.45">
      <c r="D1233" t="s">
        <v>3137</v>
      </c>
      <c r="E1233" t="s">
        <v>3138</v>
      </c>
      <c r="F1233" t="s">
        <v>290</v>
      </c>
      <c r="G1233" t="s">
        <v>3114</v>
      </c>
      <c r="H1233" t="s">
        <v>19</v>
      </c>
      <c r="I1233" t="s">
        <v>335</v>
      </c>
      <c r="J1233" t="s">
        <v>18</v>
      </c>
      <c r="L1233" t="s">
        <v>70</v>
      </c>
      <c r="M1233" t="s">
        <v>221</v>
      </c>
      <c r="N1233" t="s">
        <v>46</v>
      </c>
      <c r="P1233" t="s">
        <v>3115</v>
      </c>
      <c r="U1233" t="s">
        <v>18</v>
      </c>
      <c r="V1233">
        <v>1</v>
      </c>
    </row>
    <row r="1234" spans="4:22" x14ac:dyDescent="0.45">
      <c r="D1234" t="s">
        <v>3139</v>
      </c>
      <c r="E1234" t="s">
        <v>3140</v>
      </c>
      <c r="F1234" t="s">
        <v>290</v>
      </c>
      <c r="G1234" t="s">
        <v>3114</v>
      </c>
      <c r="H1234" t="s">
        <v>19</v>
      </c>
      <c r="I1234" t="s">
        <v>335</v>
      </c>
      <c r="J1234" t="s">
        <v>18</v>
      </c>
      <c r="L1234" t="s">
        <v>70</v>
      </c>
      <c r="M1234" t="s">
        <v>221</v>
      </c>
      <c r="N1234" t="s">
        <v>46</v>
      </c>
      <c r="P1234" t="s">
        <v>3115</v>
      </c>
      <c r="U1234" t="s">
        <v>18</v>
      </c>
      <c r="V1234">
        <v>1</v>
      </c>
    </row>
    <row r="1235" spans="4:22" x14ac:dyDescent="0.45">
      <c r="D1235" t="s">
        <v>3141</v>
      </c>
      <c r="E1235" t="s">
        <v>3142</v>
      </c>
      <c r="F1235" t="s">
        <v>290</v>
      </c>
      <c r="G1235" t="s">
        <v>3114</v>
      </c>
      <c r="H1235" t="s">
        <v>19</v>
      </c>
      <c r="I1235" t="s">
        <v>335</v>
      </c>
      <c r="J1235" t="s">
        <v>18</v>
      </c>
      <c r="L1235" t="s">
        <v>70</v>
      </c>
      <c r="M1235" t="s">
        <v>221</v>
      </c>
      <c r="N1235" t="s">
        <v>46</v>
      </c>
      <c r="P1235" t="s">
        <v>3115</v>
      </c>
      <c r="U1235" t="s">
        <v>18</v>
      </c>
      <c r="V1235">
        <v>1</v>
      </c>
    </row>
    <row r="1236" spans="4:22" x14ac:dyDescent="0.45">
      <c r="D1236" t="s">
        <v>3143</v>
      </c>
      <c r="E1236" t="s">
        <v>3144</v>
      </c>
      <c r="F1236" t="s">
        <v>290</v>
      </c>
      <c r="G1236" t="s">
        <v>3114</v>
      </c>
      <c r="H1236" t="s">
        <v>19</v>
      </c>
      <c r="I1236" t="s">
        <v>335</v>
      </c>
      <c r="J1236" t="s">
        <v>18</v>
      </c>
      <c r="L1236" t="s">
        <v>70</v>
      </c>
      <c r="M1236" t="s">
        <v>221</v>
      </c>
      <c r="N1236" t="s">
        <v>46</v>
      </c>
      <c r="P1236" t="s">
        <v>3115</v>
      </c>
      <c r="U1236" t="s">
        <v>18</v>
      </c>
      <c r="V1236">
        <v>1</v>
      </c>
    </row>
    <row r="1237" spans="4:22" x14ac:dyDescent="0.45">
      <c r="D1237" t="s">
        <v>3145</v>
      </c>
      <c r="E1237" t="s">
        <v>3146</v>
      </c>
      <c r="F1237" t="s">
        <v>290</v>
      </c>
      <c r="G1237" t="s">
        <v>3114</v>
      </c>
      <c r="H1237" t="s">
        <v>19</v>
      </c>
      <c r="I1237" t="s">
        <v>335</v>
      </c>
      <c r="J1237" t="s">
        <v>18</v>
      </c>
      <c r="L1237" t="s">
        <v>70</v>
      </c>
      <c r="M1237" t="s">
        <v>221</v>
      </c>
      <c r="N1237" t="s">
        <v>46</v>
      </c>
      <c r="P1237" t="s">
        <v>3115</v>
      </c>
      <c r="U1237" t="s">
        <v>18</v>
      </c>
      <c r="V1237">
        <v>1</v>
      </c>
    </row>
    <row r="1238" spans="4:22" x14ac:dyDescent="0.45">
      <c r="D1238" t="s">
        <v>3147</v>
      </c>
      <c r="E1238" t="s">
        <v>3148</v>
      </c>
      <c r="F1238" t="s">
        <v>290</v>
      </c>
      <c r="G1238" t="s">
        <v>3114</v>
      </c>
      <c r="H1238" t="s">
        <v>19</v>
      </c>
      <c r="I1238" t="s">
        <v>335</v>
      </c>
      <c r="J1238" t="s">
        <v>18</v>
      </c>
      <c r="L1238" t="s">
        <v>70</v>
      </c>
      <c r="M1238" t="s">
        <v>221</v>
      </c>
      <c r="N1238" t="s">
        <v>46</v>
      </c>
      <c r="P1238" t="s">
        <v>3115</v>
      </c>
      <c r="U1238" t="s">
        <v>18</v>
      </c>
      <c r="V1238">
        <v>1</v>
      </c>
    </row>
    <row r="1239" spans="4:22" x14ac:dyDescent="0.45">
      <c r="D1239" t="s">
        <v>3149</v>
      </c>
      <c r="E1239" t="s">
        <v>3150</v>
      </c>
      <c r="F1239" t="s">
        <v>290</v>
      </c>
      <c r="G1239" t="s">
        <v>3114</v>
      </c>
      <c r="H1239" t="s">
        <v>19</v>
      </c>
      <c r="I1239" t="s">
        <v>335</v>
      </c>
      <c r="J1239" t="s">
        <v>18</v>
      </c>
      <c r="L1239" t="s">
        <v>70</v>
      </c>
      <c r="M1239" t="s">
        <v>221</v>
      </c>
      <c r="N1239" t="s">
        <v>46</v>
      </c>
      <c r="P1239" t="s">
        <v>3115</v>
      </c>
      <c r="U1239" t="s">
        <v>18</v>
      </c>
      <c r="V1239">
        <v>1</v>
      </c>
    </row>
    <row r="1240" spans="4:22" x14ac:dyDescent="0.45">
      <c r="D1240" t="s">
        <v>3151</v>
      </c>
      <c r="E1240" t="s">
        <v>3152</v>
      </c>
      <c r="F1240" t="s">
        <v>290</v>
      </c>
      <c r="G1240" t="s">
        <v>3114</v>
      </c>
      <c r="H1240" t="s">
        <v>19</v>
      </c>
      <c r="I1240" t="s">
        <v>335</v>
      </c>
      <c r="J1240" t="s">
        <v>18</v>
      </c>
      <c r="L1240" t="s">
        <v>70</v>
      </c>
      <c r="M1240" t="s">
        <v>221</v>
      </c>
      <c r="N1240" t="s">
        <v>46</v>
      </c>
      <c r="P1240" t="s">
        <v>3115</v>
      </c>
      <c r="U1240" t="s">
        <v>18</v>
      </c>
      <c r="V1240">
        <v>1</v>
      </c>
    </row>
    <row r="1241" spans="4:22" x14ac:dyDescent="0.45">
      <c r="D1241" t="s">
        <v>3153</v>
      </c>
      <c r="E1241" t="s">
        <v>3154</v>
      </c>
      <c r="F1241" t="s">
        <v>290</v>
      </c>
      <c r="G1241" t="s">
        <v>3114</v>
      </c>
      <c r="H1241" t="s">
        <v>19</v>
      </c>
      <c r="I1241" t="s">
        <v>335</v>
      </c>
      <c r="J1241" t="s">
        <v>18</v>
      </c>
      <c r="L1241" t="s">
        <v>70</v>
      </c>
      <c r="M1241" t="s">
        <v>221</v>
      </c>
      <c r="N1241" t="s">
        <v>46</v>
      </c>
      <c r="P1241" t="s">
        <v>3115</v>
      </c>
      <c r="U1241" t="s">
        <v>18</v>
      </c>
      <c r="V1241">
        <v>1</v>
      </c>
    </row>
    <row r="1242" spans="4:22" x14ac:dyDescent="0.45">
      <c r="D1242" t="s">
        <v>3155</v>
      </c>
      <c r="E1242" t="s">
        <v>3156</v>
      </c>
      <c r="F1242" t="s">
        <v>290</v>
      </c>
      <c r="G1242" t="s">
        <v>3114</v>
      </c>
      <c r="H1242" t="s">
        <v>19</v>
      </c>
      <c r="I1242" t="s">
        <v>335</v>
      </c>
      <c r="J1242" t="s">
        <v>18</v>
      </c>
      <c r="L1242" t="s">
        <v>70</v>
      </c>
      <c r="M1242" t="s">
        <v>221</v>
      </c>
      <c r="N1242" t="s">
        <v>46</v>
      </c>
      <c r="P1242" t="s">
        <v>3115</v>
      </c>
      <c r="U1242" t="s">
        <v>18</v>
      </c>
      <c r="V1242">
        <v>1</v>
      </c>
    </row>
    <row r="1243" spans="4:22" x14ac:dyDescent="0.45">
      <c r="G1243" t="s">
        <v>18</v>
      </c>
      <c r="H1243" t="s">
        <v>18</v>
      </c>
      <c r="J1243" t="s">
        <v>18</v>
      </c>
      <c r="P1243" t="s">
        <v>18</v>
      </c>
      <c r="U1243" t="s">
        <v>18</v>
      </c>
    </row>
    <row r="1244" spans="4:22" x14ac:dyDescent="0.45">
      <c r="D1244" t="s">
        <v>3157</v>
      </c>
      <c r="E1244" t="s">
        <v>3158</v>
      </c>
      <c r="F1244" t="s">
        <v>290</v>
      </c>
      <c r="G1244" t="s">
        <v>3159</v>
      </c>
      <c r="H1244" t="s">
        <v>19</v>
      </c>
      <c r="I1244" t="s">
        <v>3160</v>
      </c>
      <c r="V1244">
        <v>1</v>
      </c>
    </row>
    <row r="1245" spans="4:22" x14ac:dyDescent="0.45">
      <c r="D1245" t="s">
        <v>3161</v>
      </c>
      <c r="E1245" t="s">
        <v>3162</v>
      </c>
      <c r="F1245" t="s">
        <v>290</v>
      </c>
      <c r="G1245" t="s">
        <v>3163</v>
      </c>
      <c r="H1245" t="s">
        <v>19</v>
      </c>
      <c r="I1245" t="s">
        <v>116</v>
      </c>
      <c r="V1245">
        <v>1</v>
      </c>
    </row>
    <row r="1246" spans="4:22" x14ac:dyDescent="0.45">
      <c r="D1246" t="s">
        <v>3164</v>
      </c>
      <c r="E1246" t="s">
        <v>3165</v>
      </c>
      <c r="F1246" t="s">
        <v>290</v>
      </c>
      <c r="G1246" t="s">
        <v>3166</v>
      </c>
      <c r="H1246" t="s">
        <v>19</v>
      </c>
      <c r="I1246" t="s">
        <v>28</v>
      </c>
      <c r="V1246">
        <v>1</v>
      </c>
    </row>
    <row r="1247" spans="4:22" x14ac:dyDescent="0.45">
      <c r="D1247" t="s">
        <v>3167</v>
      </c>
      <c r="E1247" t="s">
        <v>3168</v>
      </c>
      <c r="F1247" t="s">
        <v>290</v>
      </c>
      <c r="G1247" t="s">
        <v>3169</v>
      </c>
      <c r="H1247" t="s">
        <v>19</v>
      </c>
      <c r="I1247" t="s">
        <v>3170</v>
      </c>
      <c r="V1247">
        <v>1</v>
      </c>
    </row>
    <row r="1248" spans="4:22" x14ac:dyDescent="0.45">
      <c r="D1248" t="s">
        <v>3171</v>
      </c>
      <c r="E1248" t="s">
        <v>3172</v>
      </c>
      <c r="F1248" t="s">
        <v>290</v>
      </c>
      <c r="G1248" t="s">
        <v>3173</v>
      </c>
      <c r="H1248" t="s">
        <v>19</v>
      </c>
      <c r="I1248" t="s">
        <v>3174</v>
      </c>
      <c r="V1248">
        <v>1</v>
      </c>
    </row>
    <row r="1249" spans="4:22" x14ac:dyDescent="0.45">
      <c r="D1249" t="s">
        <v>3175</v>
      </c>
      <c r="E1249" t="s">
        <v>3176</v>
      </c>
      <c r="F1249" t="s">
        <v>290</v>
      </c>
      <c r="G1249" t="s">
        <v>3177</v>
      </c>
      <c r="H1249" t="s">
        <v>19</v>
      </c>
      <c r="I1249" t="s">
        <v>3178</v>
      </c>
      <c r="V1249">
        <v>1</v>
      </c>
    </row>
    <row r="1250" spans="4:22" x14ac:dyDescent="0.45">
      <c r="D1250" t="s">
        <v>3179</v>
      </c>
      <c r="E1250" t="s">
        <v>3180</v>
      </c>
      <c r="F1250" t="s">
        <v>290</v>
      </c>
      <c r="G1250" t="s">
        <v>3181</v>
      </c>
      <c r="H1250" t="s">
        <v>19</v>
      </c>
      <c r="I1250" t="s">
        <v>3182</v>
      </c>
      <c r="V1250">
        <v>1</v>
      </c>
    </row>
    <row r="1251" spans="4:22" x14ac:dyDescent="0.45">
      <c r="D1251" t="s">
        <v>3183</v>
      </c>
      <c r="E1251" t="s">
        <v>3184</v>
      </c>
      <c r="F1251" t="s">
        <v>290</v>
      </c>
      <c r="G1251" t="s">
        <v>3159</v>
      </c>
      <c r="H1251" t="s">
        <v>19</v>
      </c>
      <c r="I1251" t="s">
        <v>3160</v>
      </c>
      <c r="V1251">
        <v>1</v>
      </c>
    </row>
    <row r="1252" spans="4:22" x14ac:dyDescent="0.45">
      <c r="D1252" t="s">
        <v>3185</v>
      </c>
      <c r="E1252" t="s">
        <v>3186</v>
      </c>
      <c r="F1252" t="s">
        <v>290</v>
      </c>
      <c r="G1252" t="s">
        <v>3163</v>
      </c>
      <c r="H1252" t="s">
        <v>19</v>
      </c>
      <c r="I1252" t="s">
        <v>116</v>
      </c>
      <c r="V1252">
        <v>1</v>
      </c>
    </row>
    <row r="1253" spans="4:22" x14ac:dyDescent="0.45">
      <c r="D1253" t="s">
        <v>3187</v>
      </c>
      <c r="E1253" t="s">
        <v>3188</v>
      </c>
      <c r="F1253" t="s">
        <v>290</v>
      </c>
      <c r="G1253" t="s">
        <v>3166</v>
      </c>
      <c r="H1253" t="s">
        <v>19</v>
      </c>
      <c r="I1253" t="s">
        <v>28</v>
      </c>
      <c r="V1253">
        <v>1</v>
      </c>
    </row>
    <row r="1254" spans="4:22" x14ac:dyDescent="0.45">
      <c r="D1254" t="s">
        <v>3189</v>
      </c>
      <c r="E1254" t="s">
        <v>3190</v>
      </c>
      <c r="F1254" t="s">
        <v>290</v>
      </c>
      <c r="G1254" t="s">
        <v>3169</v>
      </c>
      <c r="H1254" t="s">
        <v>19</v>
      </c>
      <c r="I1254" t="s">
        <v>3170</v>
      </c>
      <c r="V1254">
        <v>1</v>
      </c>
    </row>
    <row r="1255" spans="4:22" x14ac:dyDescent="0.45">
      <c r="D1255" t="s">
        <v>3191</v>
      </c>
      <c r="E1255" t="s">
        <v>3192</v>
      </c>
      <c r="F1255" t="s">
        <v>290</v>
      </c>
      <c r="G1255" t="s">
        <v>3173</v>
      </c>
      <c r="H1255" t="s">
        <v>19</v>
      </c>
      <c r="I1255" t="s">
        <v>3174</v>
      </c>
      <c r="V1255">
        <v>1</v>
      </c>
    </row>
    <row r="1256" spans="4:22" x14ac:dyDescent="0.45">
      <c r="D1256" t="s">
        <v>3193</v>
      </c>
      <c r="E1256" t="s">
        <v>3194</v>
      </c>
      <c r="F1256" t="s">
        <v>290</v>
      </c>
      <c r="G1256" t="s">
        <v>3177</v>
      </c>
      <c r="H1256" t="s">
        <v>19</v>
      </c>
      <c r="I1256" t="s">
        <v>3178</v>
      </c>
      <c r="V1256">
        <v>1</v>
      </c>
    </row>
    <row r="1257" spans="4:22" x14ac:dyDescent="0.45">
      <c r="D1257" t="s">
        <v>3195</v>
      </c>
      <c r="E1257" t="s">
        <v>3196</v>
      </c>
      <c r="F1257" t="s">
        <v>290</v>
      </c>
      <c r="G1257" t="s">
        <v>3181</v>
      </c>
      <c r="H1257" t="s">
        <v>19</v>
      </c>
      <c r="I1257" t="s">
        <v>3182</v>
      </c>
      <c r="V1257">
        <v>1</v>
      </c>
    </row>
    <row r="1258" spans="4:22" x14ac:dyDescent="0.45">
      <c r="D1258" t="s">
        <v>3197</v>
      </c>
      <c r="E1258" t="s">
        <v>3198</v>
      </c>
      <c r="F1258" t="s">
        <v>290</v>
      </c>
      <c r="G1258" t="s">
        <v>3163</v>
      </c>
      <c r="H1258" t="s">
        <v>19</v>
      </c>
      <c r="I1258" t="s">
        <v>116</v>
      </c>
      <c r="V1258">
        <v>1</v>
      </c>
    </row>
    <row r="1259" spans="4:22" x14ac:dyDescent="0.45">
      <c r="D1259" t="s">
        <v>3199</v>
      </c>
      <c r="E1259" t="s">
        <v>3200</v>
      </c>
      <c r="F1259" t="s">
        <v>290</v>
      </c>
      <c r="G1259" t="s">
        <v>3166</v>
      </c>
      <c r="H1259" t="s">
        <v>19</v>
      </c>
      <c r="I1259" t="s">
        <v>28</v>
      </c>
      <c r="V1259">
        <v>1</v>
      </c>
    </row>
    <row r="1260" spans="4:22" x14ac:dyDescent="0.45">
      <c r="D1260" t="s">
        <v>3201</v>
      </c>
      <c r="E1260" t="s">
        <v>3202</v>
      </c>
      <c r="F1260" t="s">
        <v>290</v>
      </c>
      <c r="G1260" t="s">
        <v>3169</v>
      </c>
      <c r="H1260" t="s">
        <v>19</v>
      </c>
      <c r="I1260" t="s">
        <v>3170</v>
      </c>
      <c r="V1260">
        <v>1</v>
      </c>
    </row>
    <row r="1261" spans="4:22" x14ac:dyDescent="0.45">
      <c r="D1261" t="s">
        <v>3203</v>
      </c>
      <c r="E1261" t="s">
        <v>3204</v>
      </c>
      <c r="F1261" t="s">
        <v>290</v>
      </c>
      <c r="G1261" t="s">
        <v>3173</v>
      </c>
      <c r="H1261" t="s">
        <v>19</v>
      </c>
      <c r="I1261" t="s">
        <v>3174</v>
      </c>
      <c r="V1261">
        <v>1</v>
      </c>
    </row>
    <row r="1262" spans="4:22" x14ac:dyDescent="0.45">
      <c r="D1262" t="s">
        <v>3205</v>
      </c>
      <c r="E1262" t="s">
        <v>3206</v>
      </c>
      <c r="F1262" t="s">
        <v>290</v>
      </c>
      <c r="G1262" t="s">
        <v>3177</v>
      </c>
      <c r="H1262" t="s">
        <v>19</v>
      </c>
      <c r="I1262" t="s">
        <v>3178</v>
      </c>
      <c r="V1262">
        <v>1</v>
      </c>
    </row>
    <row r="1263" spans="4:22" x14ac:dyDescent="0.45">
      <c r="D1263" t="s">
        <v>3207</v>
      </c>
      <c r="E1263" t="s">
        <v>3208</v>
      </c>
      <c r="F1263" t="s">
        <v>290</v>
      </c>
      <c r="G1263" t="s">
        <v>3181</v>
      </c>
      <c r="H1263" t="s">
        <v>19</v>
      </c>
      <c r="I1263" t="s">
        <v>3182</v>
      </c>
      <c r="V1263">
        <v>1</v>
      </c>
    </row>
    <row r="1264" spans="4:22" x14ac:dyDescent="0.45">
      <c r="D1264" t="s">
        <v>3209</v>
      </c>
      <c r="E1264" t="s">
        <v>3210</v>
      </c>
      <c r="F1264" t="s">
        <v>290</v>
      </c>
      <c r="G1264" t="s">
        <v>3163</v>
      </c>
      <c r="H1264" t="s">
        <v>19</v>
      </c>
      <c r="I1264" t="s">
        <v>116</v>
      </c>
      <c r="V1264">
        <v>1</v>
      </c>
    </row>
    <row r="1265" spans="4:22" x14ac:dyDescent="0.45">
      <c r="D1265" t="s">
        <v>3211</v>
      </c>
      <c r="E1265" t="s">
        <v>3212</v>
      </c>
      <c r="F1265" t="s">
        <v>290</v>
      </c>
      <c r="G1265" t="s">
        <v>3166</v>
      </c>
      <c r="H1265" t="s">
        <v>19</v>
      </c>
      <c r="I1265" t="s">
        <v>28</v>
      </c>
      <c r="V1265">
        <v>1</v>
      </c>
    </row>
    <row r="1266" spans="4:22" x14ac:dyDescent="0.45">
      <c r="D1266" t="s">
        <v>3213</v>
      </c>
      <c r="E1266" t="s">
        <v>3214</v>
      </c>
      <c r="F1266" t="s">
        <v>290</v>
      </c>
      <c r="G1266" t="s">
        <v>3169</v>
      </c>
      <c r="H1266" t="s">
        <v>19</v>
      </c>
      <c r="I1266" t="s">
        <v>3170</v>
      </c>
      <c r="V1266">
        <v>1</v>
      </c>
    </row>
    <row r="1267" spans="4:22" x14ac:dyDescent="0.45">
      <c r="D1267" t="s">
        <v>3215</v>
      </c>
      <c r="E1267" t="s">
        <v>3216</v>
      </c>
      <c r="F1267" t="s">
        <v>290</v>
      </c>
      <c r="G1267" t="s">
        <v>3173</v>
      </c>
      <c r="H1267" t="s">
        <v>19</v>
      </c>
      <c r="I1267" t="s">
        <v>3174</v>
      </c>
      <c r="V1267">
        <v>1</v>
      </c>
    </row>
    <row r="1268" spans="4:22" x14ac:dyDescent="0.45">
      <c r="D1268" t="s">
        <v>3217</v>
      </c>
      <c r="E1268" t="s">
        <v>3218</v>
      </c>
      <c r="F1268" t="s">
        <v>290</v>
      </c>
      <c r="G1268" t="s">
        <v>3177</v>
      </c>
      <c r="H1268" t="s">
        <v>19</v>
      </c>
      <c r="I1268" t="s">
        <v>3178</v>
      </c>
      <c r="V1268">
        <v>1</v>
      </c>
    </row>
    <row r="1269" spans="4:22" x14ac:dyDescent="0.45">
      <c r="D1269" t="s">
        <v>3219</v>
      </c>
      <c r="E1269" t="s">
        <v>3220</v>
      </c>
      <c r="F1269" t="s">
        <v>290</v>
      </c>
      <c r="G1269" t="s">
        <v>3181</v>
      </c>
      <c r="H1269" t="s">
        <v>19</v>
      </c>
      <c r="I1269" t="s">
        <v>3182</v>
      </c>
      <c r="V1269">
        <v>1</v>
      </c>
    </row>
    <row r="1270" spans="4:22" x14ac:dyDescent="0.45">
      <c r="D1270" t="s">
        <v>3221</v>
      </c>
      <c r="E1270" t="s">
        <v>3222</v>
      </c>
      <c r="F1270" t="s">
        <v>290</v>
      </c>
      <c r="G1270" t="s">
        <v>3163</v>
      </c>
      <c r="H1270" t="s">
        <v>19</v>
      </c>
      <c r="I1270" t="s">
        <v>116</v>
      </c>
      <c r="V1270">
        <v>1</v>
      </c>
    </row>
    <row r="1271" spans="4:22" x14ac:dyDescent="0.45">
      <c r="D1271" t="s">
        <v>3223</v>
      </c>
      <c r="E1271" t="s">
        <v>3224</v>
      </c>
      <c r="F1271" t="s">
        <v>290</v>
      </c>
      <c r="G1271" t="s">
        <v>3166</v>
      </c>
      <c r="H1271" t="s">
        <v>19</v>
      </c>
      <c r="I1271" t="s">
        <v>28</v>
      </c>
      <c r="V1271">
        <v>1</v>
      </c>
    </row>
    <row r="1272" spans="4:22" x14ac:dyDescent="0.45">
      <c r="D1272" t="s">
        <v>3225</v>
      </c>
      <c r="E1272" t="s">
        <v>3226</v>
      </c>
      <c r="F1272" t="s">
        <v>290</v>
      </c>
      <c r="G1272" t="s">
        <v>3169</v>
      </c>
      <c r="H1272" t="s">
        <v>19</v>
      </c>
      <c r="I1272" t="s">
        <v>3170</v>
      </c>
      <c r="V1272">
        <v>1</v>
      </c>
    </row>
    <row r="1273" spans="4:22" x14ac:dyDescent="0.45">
      <c r="D1273" t="s">
        <v>3227</v>
      </c>
      <c r="E1273" t="s">
        <v>3228</v>
      </c>
      <c r="F1273" t="s">
        <v>290</v>
      </c>
      <c r="G1273" t="s">
        <v>3229</v>
      </c>
      <c r="H1273" t="s">
        <v>19</v>
      </c>
      <c r="I1273" t="s">
        <v>3230</v>
      </c>
      <c r="V1273">
        <v>1</v>
      </c>
    </row>
    <row r="1274" spans="4:22" x14ac:dyDescent="0.45">
      <c r="D1274" t="s">
        <v>3231</v>
      </c>
      <c r="E1274" t="s">
        <v>3232</v>
      </c>
      <c r="F1274" t="s">
        <v>290</v>
      </c>
      <c r="G1274" t="s">
        <v>3173</v>
      </c>
      <c r="H1274" t="s">
        <v>19</v>
      </c>
      <c r="I1274" t="s">
        <v>3174</v>
      </c>
      <c r="V1274">
        <v>1</v>
      </c>
    </row>
    <row r="1275" spans="4:22" x14ac:dyDescent="0.45">
      <c r="D1275" t="s">
        <v>3233</v>
      </c>
      <c r="E1275" t="s">
        <v>3234</v>
      </c>
      <c r="F1275" t="s">
        <v>290</v>
      </c>
      <c r="G1275" t="s">
        <v>3177</v>
      </c>
      <c r="H1275" t="s">
        <v>19</v>
      </c>
      <c r="I1275" t="s">
        <v>3178</v>
      </c>
      <c r="V1275">
        <v>1</v>
      </c>
    </row>
    <row r="1276" spans="4:22" x14ac:dyDescent="0.45">
      <c r="D1276" t="s">
        <v>3235</v>
      </c>
      <c r="E1276" t="s">
        <v>3236</v>
      </c>
      <c r="F1276" t="s">
        <v>290</v>
      </c>
      <c r="G1276" t="s">
        <v>3163</v>
      </c>
      <c r="H1276" t="s">
        <v>19</v>
      </c>
      <c r="I1276" t="s">
        <v>116</v>
      </c>
      <c r="V1276">
        <v>1</v>
      </c>
    </row>
    <row r="1277" spans="4:22" x14ac:dyDescent="0.45">
      <c r="D1277" t="s">
        <v>3237</v>
      </c>
      <c r="E1277" t="s">
        <v>3238</v>
      </c>
      <c r="F1277" t="s">
        <v>290</v>
      </c>
      <c r="G1277" t="s">
        <v>3169</v>
      </c>
      <c r="H1277" t="s">
        <v>19</v>
      </c>
      <c r="I1277" t="s">
        <v>3170</v>
      </c>
      <c r="V1277">
        <v>1</v>
      </c>
    </row>
    <row r="1278" spans="4:22" x14ac:dyDescent="0.45">
      <c r="D1278" t="s">
        <v>3239</v>
      </c>
      <c r="E1278" t="s">
        <v>3240</v>
      </c>
      <c r="F1278" t="s">
        <v>290</v>
      </c>
      <c r="G1278" t="s">
        <v>3173</v>
      </c>
      <c r="H1278" t="s">
        <v>19</v>
      </c>
      <c r="I1278" t="s">
        <v>3174</v>
      </c>
      <c r="V1278">
        <v>1</v>
      </c>
    </row>
    <row r="1279" spans="4:22" x14ac:dyDescent="0.45">
      <c r="D1279" t="s">
        <v>3241</v>
      </c>
      <c r="E1279" t="s">
        <v>3242</v>
      </c>
      <c r="F1279" t="s">
        <v>290</v>
      </c>
      <c r="G1279" t="s">
        <v>3177</v>
      </c>
      <c r="H1279" t="s">
        <v>19</v>
      </c>
      <c r="I1279" t="s">
        <v>3178</v>
      </c>
      <c r="V1279">
        <v>1</v>
      </c>
    </row>
    <row r="1280" spans="4:22" x14ac:dyDescent="0.45">
      <c r="D1280" t="s">
        <v>3243</v>
      </c>
      <c r="E1280" t="s">
        <v>3244</v>
      </c>
      <c r="F1280" t="s">
        <v>290</v>
      </c>
      <c r="G1280" t="s">
        <v>3181</v>
      </c>
      <c r="H1280" t="s">
        <v>19</v>
      </c>
      <c r="I1280" t="s">
        <v>3182</v>
      </c>
      <c r="V1280">
        <v>1</v>
      </c>
    </row>
    <row r="1281" spans="4:22" x14ac:dyDescent="0.45">
      <c r="D1281" t="s">
        <v>3245</v>
      </c>
      <c r="E1281" t="s">
        <v>3246</v>
      </c>
      <c r="F1281" t="s">
        <v>290</v>
      </c>
      <c r="G1281" t="s">
        <v>3163</v>
      </c>
      <c r="H1281" t="s">
        <v>19</v>
      </c>
      <c r="I1281" t="s">
        <v>116</v>
      </c>
      <c r="V1281">
        <v>1</v>
      </c>
    </row>
    <row r="1282" spans="4:22" x14ac:dyDescent="0.45">
      <c r="D1282" t="s">
        <v>3247</v>
      </c>
      <c r="E1282" t="s">
        <v>3248</v>
      </c>
      <c r="F1282" t="s">
        <v>290</v>
      </c>
      <c r="G1282" t="s">
        <v>3169</v>
      </c>
      <c r="H1282" t="s">
        <v>19</v>
      </c>
      <c r="I1282" t="s">
        <v>3170</v>
      </c>
      <c r="V1282">
        <v>1</v>
      </c>
    </row>
    <row r="1283" spans="4:22" x14ac:dyDescent="0.45">
      <c r="D1283" t="s">
        <v>3249</v>
      </c>
      <c r="E1283" t="s">
        <v>3250</v>
      </c>
      <c r="F1283" t="s">
        <v>290</v>
      </c>
      <c r="G1283" t="s">
        <v>3173</v>
      </c>
      <c r="H1283" t="s">
        <v>19</v>
      </c>
      <c r="I1283" t="s">
        <v>3174</v>
      </c>
      <c r="V1283">
        <v>1</v>
      </c>
    </row>
    <row r="1284" spans="4:22" x14ac:dyDescent="0.45">
      <c r="D1284" t="s">
        <v>3251</v>
      </c>
      <c r="E1284" t="s">
        <v>3252</v>
      </c>
      <c r="F1284" t="s">
        <v>290</v>
      </c>
      <c r="G1284" t="s">
        <v>3177</v>
      </c>
      <c r="H1284" t="s">
        <v>19</v>
      </c>
      <c r="I1284" t="s">
        <v>3178</v>
      </c>
      <c r="V1284">
        <v>1</v>
      </c>
    </row>
    <row r="1285" spans="4:22" x14ac:dyDescent="0.45">
      <c r="D1285" t="s">
        <v>3253</v>
      </c>
      <c r="E1285" t="s">
        <v>3254</v>
      </c>
      <c r="F1285" t="s">
        <v>290</v>
      </c>
      <c r="G1285" t="s">
        <v>3181</v>
      </c>
      <c r="H1285" t="s">
        <v>19</v>
      </c>
      <c r="I1285" t="s">
        <v>3182</v>
      </c>
      <c r="V1285">
        <v>1</v>
      </c>
    </row>
    <row r="1286" spans="4:22" x14ac:dyDescent="0.45">
      <c r="D1286" t="s">
        <v>3255</v>
      </c>
      <c r="E1286" t="s">
        <v>3256</v>
      </c>
      <c r="F1286" t="s">
        <v>290</v>
      </c>
      <c r="G1286" t="s">
        <v>3169</v>
      </c>
      <c r="H1286" t="s">
        <v>19</v>
      </c>
      <c r="I1286" t="s">
        <v>3170</v>
      </c>
      <c r="V1286">
        <v>1</v>
      </c>
    </row>
    <row r="1287" spans="4:22" x14ac:dyDescent="0.45">
      <c r="D1287" t="s">
        <v>3257</v>
      </c>
      <c r="E1287" t="s">
        <v>3258</v>
      </c>
      <c r="F1287" t="s">
        <v>290</v>
      </c>
      <c r="G1287" t="s">
        <v>3173</v>
      </c>
      <c r="H1287" t="s">
        <v>19</v>
      </c>
      <c r="I1287" t="s">
        <v>3174</v>
      </c>
      <c r="V1287">
        <v>1</v>
      </c>
    </row>
    <row r="1288" spans="4:22" x14ac:dyDescent="0.45">
      <c r="D1288" t="s">
        <v>3259</v>
      </c>
      <c r="E1288" t="s">
        <v>3260</v>
      </c>
      <c r="F1288" t="s">
        <v>290</v>
      </c>
      <c r="G1288" t="s">
        <v>3177</v>
      </c>
      <c r="H1288" t="s">
        <v>19</v>
      </c>
      <c r="I1288" t="s">
        <v>3178</v>
      </c>
      <c r="V1288">
        <v>1</v>
      </c>
    </row>
    <row r="1289" spans="4:22" x14ac:dyDescent="0.45">
      <c r="D1289" t="s">
        <v>3261</v>
      </c>
      <c r="E1289" t="s">
        <v>3262</v>
      </c>
      <c r="F1289" t="s">
        <v>290</v>
      </c>
      <c r="G1289" t="s">
        <v>3181</v>
      </c>
      <c r="H1289" t="s">
        <v>19</v>
      </c>
      <c r="I1289" t="s">
        <v>3182</v>
      </c>
      <c r="V1289">
        <v>1</v>
      </c>
    </row>
    <row r="1290" spans="4:22" x14ac:dyDescent="0.45">
      <c r="D1290" t="s">
        <v>3263</v>
      </c>
      <c r="E1290" t="s">
        <v>3264</v>
      </c>
      <c r="F1290" t="s">
        <v>290</v>
      </c>
      <c r="G1290" t="s">
        <v>3265</v>
      </c>
      <c r="H1290" t="s">
        <v>19</v>
      </c>
      <c r="I1290" t="s">
        <v>3266</v>
      </c>
      <c r="V1290">
        <v>1</v>
      </c>
    </row>
    <row r="1291" spans="4:22" x14ac:dyDescent="0.45">
      <c r="D1291" t="s">
        <v>3267</v>
      </c>
      <c r="E1291" t="s">
        <v>3268</v>
      </c>
      <c r="F1291" t="s">
        <v>290</v>
      </c>
      <c r="G1291" t="s">
        <v>3269</v>
      </c>
      <c r="H1291" t="s">
        <v>19</v>
      </c>
      <c r="I1291" t="s">
        <v>221</v>
      </c>
      <c r="V1291">
        <v>1</v>
      </c>
    </row>
    <row r="1292" spans="4:22" x14ac:dyDescent="0.45">
      <c r="D1292" t="s">
        <v>3270</v>
      </c>
      <c r="E1292" t="s">
        <v>3271</v>
      </c>
      <c r="F1292" t="s">
        <v>290</v>
      </c>
      <c r="G1292" t="s">
        <v>3163</v>
      </c>
      <c r="H1292" t="s">
        <v>19</v>
      </c>
      <c r="I1292" t="s">
        <v>116</v>
      </c>
      <c r="V1292">
        <v>1</v>
      </c>
    </row>
    <row r="1293" spans="4:22" x14ac:dyDescent="0.45">
      <c r="D1293" t="s">
        <v>3272</v>
      </c>
      <c r="E1293" t="s">
        <v>3273</v>
      </c>
      <c r="F1293" t="s">
        <v>290</v>
      </c>
      <c r="G1293" t="s">
        <v>3169</v>
      </c>
      <c r="H1293" t="s">
        <v>19</v>
      </c>
      <c r="I1293" t="s">
        <v>3170</v>
      </c>
      <c r="V1293">
        <v>1</v>
      </c>
    </row>
    <row r="1294" spans="4:22" x14ac:dyDescent="0.45">
      <c r="D1294" t="s">
        <v>3274</v>
      </c>
      <c r="E1294" t="s">
        <v>3275</v>
      </c>
      <c r="F1294" t="s">
        <v>290</v>
      </c>
      <c r="G1294" t="s">
        <v>3229</v>
      </c>
      <c r="H1294" t="s">
        <v>19</v>
      </c>
      <c r="I1294" t="s">
        <v>3230</v>
      </c>
      <c r="V1294">
        <v>1</v>
      </c>
    </row>
    <row r="1295" spans="4:22" x14ac:dyDescent="0.45">
      <c r="D1295" t="s">
        <v>3276</v>
      </c>
      <c r="E1295" t="s">
        <v>3277</v>
      </c>
      <c r="F1295" t="s">
        <v>290</v>
      </c>
      <c r="G1295" t="s">
        <v>3173</v>
      </c>
      <c r="H1295" t="s">
        <v>19</v>
      </c>
      <c r="I1295" t="s">
        <v>3174</v>
      </c>
      <c r="V1295">
        <v>1</v>
      </c>
    </row>
    <row r="1296" spans="4:22" x14ac:dyDescent="0.45">
      <c r="D1296" t="s">
        <v>3278</v>
      </c>
      <c r="E1296" t="s">
        <v>3279</v>
      </c>
      <c r="F1296" t="s">
        <v>290</v>
      </c>
      <c r="G1296" t="s">
        <v>3177</v>
      </c>
      <c r="H1296" t="s">
        <v>19</v>
      </c>
      <c r="I1296" t="s">
        <v>3178</v>
      </c>
      <c r="V1296">
        <v>1</v>
      </c>
    </row>
    <row r="1297" spans="4:22" x14ac:dyDescent="0.45">
      <c r="D1297" t="s">
        <v>3280</v>
      </c>
      <c r="E1297" t="s">
        <v>3281</v>
      </c>
      <c r="F1297" t="s">
        <v>290</v>
      </c>
      <c r="G1297" t="s">
        <v>3181</v>
      </c>
      <c r="H1297" t="s">
        <v>19</v>
      </c>
      <c r="I1297" t="s">
        <v>3182</v>
      </c>
      <c r="V1297">
        <v>1</v>
      </c>
    </row>
    <row r="1298" spans="4:22" x14ac:dyDescent="0.45">
      <c r="D1298" t="s">
        <v>3282</v>
      </c>
      <c r="E1298" t="s">
        <v>3283</v>
      </c>
      <c r="F1298" t="s">
        <v>290</v>
      </c>
      <c r="G1298" t="s">
        <v>3169</v>
      </c>
      <c r="H1298" t="s">
        <v>19</v>
      </c>
      <c r="I1298" t="s">
        <v>3170</v>
      </c>
      <c r="V1298">
        <v>1</v>
      </c>
    </row>
    <row r="1299" spans="4:22" x14ac:dyDescent="0.45">
      <c r="D1299" t="s">
        <v>3284</v>
      </c>
      <c r="E1299" t="s">
        <v>3285</v>
      </c>
      <c r="F1299" t="s">
        <v>290</v>
      </c>
      <c r="G1299" t="s">
        <v>3173</v>
      </c>
      <c r="H1299" t="s">
        <v>19</v>
      </c>
      <c r="I1299" t="s">
        <v>3174</v>
      </c>
      <c r="V1299">
        <v>1</v>
      </c>
    </row>
    <row r="1300" spans="4:22" x14ac:dyDescent="0.45">
      <c r="D1300" t="s">
        <v>3286</v>
      </c>
      <c r="E1300" t="s">
        <v>3287</v>
      </c>
      <c r="F1300" t="s">
        <v>290</v>
      </c>
      <c r="G1300" t="s">
        <v>3177</v>
      </c>
      <c r="H1300" t="s">
        <v>19</v>
      </c>
      <c r="I1300" t="s">
        <v>3178</v>
      </c>
      <c r="V1300">
        <v>1</v>
      </c>
    </row>
    <row r="1301" spans="4:22" x14ac:dyDescent="0.45">
      <c r="D1301" t="s">
        <v>3288</v>
      </c>
      <c r="E1301" t="s">
        <v>3289</v>
      </c>
      <c r="F1301" t="s">
        <v>290</v>
      </c>
      <c r="G1301" t="s">
        <v>3181</v>
      </c>
      <c r="H1301" t="s">
        <v>19</v>
      </c>
      <c r="I1301" t="s">
        <v>3182</v>
      </c>
      <c r="V1301">
        <v>1</v>
      </c>
    </row>
    <row r="1302" spans="4:22" x14ac:dyDescent="0.45">
      <c r="D1302" t="s">
        <v>3290</v>
      </c>
      <c r="E1302" t="s">
        <v>3291</v>
      </c>
      <c r="F1302" t="s">
        <v>290</v>
      </c>
      <c r="G1302" t="s">
        <v>3163</v>
      </c>
      <c r="H1302" t="s">
        <v>19</v>
      </c>
      <c r="I1302" t="s">
        <v>116</v>
      </c>
      <c r="V1302">
        <v>1</v>
      </c>
    </row>
    <row r="1303" spans="4:22" x14ac:dyDescent="0.45">
      <c r="D1303" t="s">
        <v>3292</v>
      </c>
      <c r="E1303" t="s">
        <v>3293</v>
      </c>
      <c r="F1303" t="s">
        <v>290</v>
      </c>
      <c r="G1303" t="s">
        <v>3169</v>
      </c>
      <c r="H1303" t="s">
        <v>19</v>
      </c>
      <c r="I1303" t="s">
        <v>3170</v>
      </c>
      <c r="V1303">
        <v>1</v>
      </c>
    </row>
    <row r="1304" spans="4:22" x14ac:dyDescent="0.45">
      <c r="D1304" t="s">
        <v>3294</v>
      </c>
      <c r="E1304" t="s">
        <v>3295</v>
      </c>
      <c r="F1304" t="s">
        <v>290</v>
      </c>
      <c r="G1304" t="s">
        <v>3173</v>
      </c>
      <c r="H1304" t="s">
        <v>19</v>
      </c>
      <c r="I1304" t="s">
        <v>3174</v>
      </c>
      <c r="V1304">
        <v>1</v>
      </c>
    </row>
    <row r="1305" spans="4:22" x14ac:dyDescent="0.45">
      <c r="D1305" t="s">
        <v>3296</v>
      </c>
      <c r="E1305" t="s">
        <v>3297</v>
      </c>
      <c r="F1305" t="s">
        <v>290</v>
      </c>
      <c r="G1305" t="s">
        <v>3177</v>
      </c>
      <c r="H1305" t="s">
        <v>19</v>
      </c>
      <c r="I1305" t="s">
        <v>3178</v>
      </c>
      <c r="V1305">
        <v>1</v>
      </c>
    </row>
    <row r="1306" spans="4:22" x14ac:dyDescent="0.45">
      <c r="D1306" t="s">
        <v>3298</v>
      </c>
      <c r="E1306" t="s">
        <v>3299</v>
      </c>
      <c r="F1306" t="s">
        <v>290</v>
      </c>
      <c r="G1306" t="s">
        <v>3181</v>
      </c>
      <c r="H1306" t="s">
        <v>19</v>
      </c>
      <c r="I1306" t="s">
        <v>3182</v>
      </c>
      <c r="V1306">
        <v>1</v>
      </c>
    </row>
    <row r="1307" spans="4:22" x14ac:dyDescent="0.45">
      <c r="D1307" t="s">
        <v>3300</v>
      </c>
      <c r="E1307" t="s">
        <v>3301</v>
      </c>
      <c r="F1307" t="s">
        <v>290</v>
      </c>
      <c r="G1307" t="s">
        <v>3169</v>
      </c>
      <c r="H1307" t="s">
        <v>19</v>
      </c>
      <c r="I1307" t="s">
        <v>3170</v>
      </c>
      <c r="V1307">
        <v>1</v>
      </c>
    </row>
    <row r="1308" spans="4:22" x14ac:dyDescent="0.45">
      <c r="D1308" t="s">
        <v>3302</v>
      </c>
      <c r="E1308" t="s">
        <v>3303</v>
      </c>
      <c r="F1308" t="s">
        <v>290</v>
      </c>
      <c r="G1308" t="s">
        <v>3173</v>
      </c>
      <c r="H1308" t="s">
        <v>19</v>
      </c>
      <c r="I1308" t="s">
        <v>3174</v>
      </c>
      <c r="V1308">
        <v>1</v>
      </c>
    </row>
    <row r="1309" spans="4:22" x14ac:dyDescent="0.45">
      <c r="D1309" t="s">
        <v>3304</v>
      </c>
      <c r="E1309" t="s">
        <v>3305</v>
      </c>
      <c r="F1309" t="s">
        <v>290</v>
      </c>
      <c r="G1309" t="s">
        <v>3177</v>
      </c>
      <c r="H1309" t="s">
        <v>19</v>
      </c>
      <c r="I1309" t="s">
        <v>3178</v>
      </c>
      <c r="V1309">
        <v>1</v>
      </c>
    </row>
    <row r="1310" spans="4:22" x14ac:dyDescent="0.45">
      <c r="D1310" t="s">
        <v>3306</v>
      </c>
      <c r="E1310" t="s">
        <v>3307</v>
      </c>
      <c r="F1310" t="s">
        <v>290</v>
      </c>
      <c r="G1310" t="s">
        <v>3181</v>
      </c>
      <c r="H1310" t="s">
        <v>19</v>
      </c>
      <c r="I1310" t="s">
        <v>3182</v>
      </c>
      <c r="V1310">
        <v>1</v>
      </c>
    </row>
    <row r="1311" spans="4:22" x14ac:dyDescent="0.45">
      <c r="D1311" t="s">
        <v>3308</v>
      </c>
      <c r="E1311" t="s">
        <v>3309</v>
      </c>
      <c r="F1311" t="s">
        <v>290</v>
      </c>
      <c r="G1311" t="s">
        <v>3265</v>
      </c>
      <c r="H1311" t="s">
        <v>19</v>
      </c>
      <c r="I1311" t="s">
        <v>3266</v>
      </c>
      <c r="V1311">
        <v>1</v>
      </c>
    </row>
    <row r="1312" spans="4:22" x14ac:dyDescent="0.45">
      <c r="D1312" t="s">
        <v>3310</v>
      </c>
      <c r="E1312" t="s">
        <v>3311</v>
      </c>
      <c r="F1312" t="s">
        <v>290</v>
      </c>
      <c r="G1312" t="s">
        <v>3269</v>
      </c>
      <c r="H1312" t="s">
        <v>19</v>
      </c>
      <c r="I1312" t="s">
        <v>221</v>
      </c>
      <c r="V1312">
        <v>1</v>
      </c>
    </row>
    <row r="1313" spans="4:22" x14ac:dyDescent="0.45">
      <c r="D1313" t="s">
        <v>3312</v>
      </c>
      <c r="E1313" t="s">
        <v>3313</v>
      </c>
      <c r="F1313" t="s">
        <v>290</v>
      </c>
      <c r="G1313" t="s">
        <v>3163</v>
      </c>
      <c r="H1313" t="s">
        <v>19</v>
      </c>
      <c r="I1313" t="s">
        <v>116</v>
      </c>
      <c r="V1313">
        <v>1</v>
      </c>
    </row>
    <row r="1314" spans="4:22" x14ac:dyDescent="0.45">
      <c r="D1314" t="s">
        <v>3314</v>
      </c>
      <c r="E1314" t="s">
        <v>3315</v>
      </c>
      <c r="F1314" t="s">
        <v>290</v>
      </c>
      <c r="G1314" t="s">
        <v>3169</v>
      </c>
      <c r="H1314" t="s">
        <v>19</v>
      </c>
      <c r="I1314" t="s">
        <v>3170</v>
      </c>
      <c r="V1314">
        <v>1</v>
      </c>
    </row>
    <row r="1315" spans="4:22" x14ac:dyDescent="0.45">
      <c r="D1315" t="s">
        <v>3316</v>
      </c>
      <c r="E1315" t="s">
        <v>3317</v>
      </c>
      <c r="F1315" t="s">
        <v>290</v>
      </c>
      <c r="G1315" t="s">
        <v>3229</v>
      </c>
      <c r="H1315" t="s">
        <v>19</v>
      </c>
      <c r="I1315" t="s">
        <v>3230</v>
      </c>
      <c r="V1315">
        <v>1</v>
      </c>
    </row>
    <row r="1316" spans="4:22" x14ac:dyDescent="0.45">
      <c r="D1316" t="s">
        <v>3318</v>
      </c>
      <c r="E1316" t="s">
        <v>3319</v>
      </c>
      <c r="F1316" t="s">
        <v>290</v>
      </c>
      <c r="G1316" t="s">
        <v>3173</v>
      </c>
      <c r="H1316" t="s">
        <v>19</v>
      </c>
      <c r="I1316" t="s">
        <v>3174</v>
      </c>
      <c r="V1316">
        <v>1</v>
      </c>
    </row>
    <row r="1317" spans="4:22" x14ac:dyDescent="0.45">
      <c r="D1317" t="s">
        <v>3320</v>
      </c>
      <c r="E1317" t="s">
        <v>3321</v>
      </c>
      <c r="F1317" t="s">
        <v>290</v>
      </c>
      <c r="G1317" t="s">
        <v>3177</v>
      </c>
      <c r="H1317" t="s">
        <v>19</v>
      </c>
      <c r="I1317" t="s">
        <v>3178</v>
      </c>
      <c r="V1317">
        <v>1</v>
      </c>
    </row>
    <row r="1318" spans="4:22" x14ac:dyDescent="0.45">
      <c r="D1318" t="s">
        <v>3322</v>
      </c>
      <c r="E1318" t="s">
        <v>3323</v>
      </c>
      <c r="F1318" t="s">
        <v>290</v>
      </c>
      <c r="G1318" t="s">
        <v>3181</v>
      </c>
      <c r="H1318" t="s">
        <v>19</v>
      </c>
      <c r="I1318" t="s">
        <v>3182</v>
      </c>
      <c r="V1318">
        <v>1</v>
      </c>
    </row>
    <row r="1319" spans="4:22" x14ac:dyDescent="0.45">
      <c r="D1319" t="s">
        <v>3324</v>
      </c>
      <c r="E1319" t="s">
        <v>3325</v>
      </c>
      <c r="F1319" t="s">
        <v>290</v>
      </c>
      <c r="G1319" t="s">
        <v>3169</v>
      </c>
      <c r="H1319" t="s">
        <v>19</v>
      </c>
      <c r="I1319" t="s">
        <v>3170</v>
      </c>
      <c r="V1319">
        <v>1</v>
      </c>
    </row>
    <row r="1320" spans="4:22" x14ac:dyDescent="0.45">
      <c r="D1320" t="s">
        <v>3326</v>
      </c>
      <c r="E1320" t="s">
        <v>3327</v>
      </c>
      <c r="F1320" t="s">
        <v>290</v>
      </c>
      <c r="G1320" t="s">
        <v>3173</v>
      </c>
      <c r="H1320" t="s">
        <v>19</v>
      </c>
      <c r="I1320" t="s">
        <v>3174</v>
      </c>
      <c r="V1320">
        <v>1</v>
      </c>
    </row>
    <row r="1321" spans="4:22" x14ac:dyDescent="0.45">
      <c r="D1321" t="s">
        <v>3328</v>
      </c>
      <c r="E1321" t="s">
        <v>3329</v>
      </c>
      <c r="F1321" t="s">
        <v>290</v>
      </c>
      <c r="G1321" t="s">
        <v>3177</v>
      </c>
      <c r="H1321" t="s">
        <v>19</v>
      </c>
      <c r="I1321" t="s">
        <v>3178</v>
      </c>
      <c r="V1321">
        <v>1</v>
      </c>
    </row>
    <row r="1322" spans="4:22" x14ac:dyDescent="0.45">
      <c r="D1322" t="s">
        <v>3330</v>
      </c>
      <c r="E1322" t="s">
        <v>3331</v>
      </c>
      <c r="F1322" t="s">
        <v>290</v>
      </c>
      <c r="G1322" t="s">
        <v>3181</v>
      </c>
      <c r="H1322" t="s">
        <v>19</v>
      </c>
      <c r="I1322" t="s">
        <v>3182</v>
      </c>
      <c r="V1322">
        <v>1</v>
      </c>
    </row>
    <row r="1323" spans="4:22" x14ac:dyDescent="0.45">
      <c r="D1323" t="s">
        <v>3332</v>
      </c>
      <c r="E1323" t="s">
        <v>3333</v>
      </c>
      <c r="F1323" t="s">
        <v>290</v>
      </c>
      <c r="G1323" t="s">
        <v>3163</v>
      </c>
      <c r="H1323" t="s">
        <v>19</v>
      </c>
      <c r="I1323" t="s">
        <v>116</v>
      </c>
      <c r="V1323">
        <v>1</v>
      </c>
    </row>
    <row r="1324" spans="4:22" x14ac:dyDescent="0.45">
      <c r="D1324" t="s">
        <v>3334</v>
      </c>
      <c r="E1324" t="s">
        <v>3335</v>
      </c>
      <c r="F1324" t="s">
        <v>290</v>
      </c>
      <c r="G1324" t="s">
        <v>3169</v>
      </c>
      <c r="H1324" t="s">
        <v>19</v>
      </c>
      <c r="I1324" t="s">
        <v>3170</v>
      </c>
      <c r="V1324">
        <v>1</v>
      </c>
    </row>
    <row r="1325" spans="4:22" x14ac:dyDescent="0.45">
      <c r="D1325" t="s">
        <v>3336</v>
      </c>
      <c r="E1325" t="s">
        <v>3337</v>
      </c>
      <c r="F1325" t="s">
        <v>290</v>
      </c>
      <c r="G1325" t="s">
        <v>3173</v>
      </c>
      <c r="H1325" t="s">
        <v>19</v>
      </c>
      <c r="I1325" t="s">
        <v>3174</v>
      </c>
      <c r="V1325">
        <v>1</v>
      </c>
    </row>
    <row r="1326" spans="4:22" x14ac:dyDescent="0.45">
      <c r="D1326" t="s">
        <v>3338</v>
      </c>
      <c r="E1326" t="s">
        <v>3339</v>
      </c>
      <c r="F1326" t="s">
        <v>290</v>
      </c>
      <c r="G1326" t="s">
        <v>3177</v>
      </c>
      <c r="H1326" t="s">
        <v>19</v>
      </c>
      <c r="I1326" t="s">
        <v>3178</v>
      </c>
      <c r="V1326">
        <v>1</v>
      </c>
    </row>
    <row r="1327" spans="4:22" x14ac:dyDescent="0.45">
      <c r="D1327" t="s">
        <v>3340</v>
      </c>
      <c r="E1327" t="s">
        <v>3341</v>
      </c>
      <c r="F1327" t="s">
        <v>290</v>
      </c>
      <c r="G1327" t="s">
        <v>3181</v>
      </c>
      <c r="H1327" t="s">
        <v>19</v>
      </c>
      <c r="I1327" t="s">
        <v>3182</v>
      </c>
      <c r="V1327">
        <v>1</v>
      </c>
    </row>
    <row r="1328" spans="4:22" x14ac:dyDescent="0.45">
      <c r="D1328" t="s">
        <v>3342</v>
      </c>
      <c r="E1328" t="s">
        <v>3343</v>
      </c>
      <c r="F1328" t="s">
        <v>290</v>
      </c>
      <c r="G1328" t="s">
        <v>3265</v>
      </c>
      <c r="H1328" t="s">
        <v>19</v>
      </c>
      <c r="I1328" t="s">
        <v>3266</v>
      </c>
      <c r="V1328">
        <v>1</v>
      </c>
    </row>
    <row r="1329" spans="4:22" x14ac:dyDescent="0.45">
      <c r="D1329" t="s">
        <v>3344</v>
      </c>
      <c r="E1329" t="s">
        <v>3345</v>
      </c>
      <c r="F1329" t="s">
        <v>290</v>
      </c>
      <c r="G1329" t="s">
        <v>3269</v>
      </c>
      <c r="H1329" t="s">
        <v>19</v>
      </c>
      <c r="I1329" t="s">
        <v>221</v>
      </c>
      <c r="V1329">
        <v>1</v>
      </c>
    </row>
    <row r="1330" spans="4:22" x14ac:dyDescent="0.45">
      <c r="D1330" t="s">
        <v>3346</v>
      </c>
      <c r="E1330" t="s">
        <v>3347</v>
      </c>
      <c r="F1330" t="s">
        <v>290</v>
      </c>
      <c r="G1330" t="s">
        <v>3163</v>
      </c>
      <c r="H1330" t="s">
        <v>19</v>
      </c>
      <c r="I1330" t="s">
        <v>116</v>
      </c>
      <c r="V1330">
        <v>1</v>
      </c>
    </row>
    <row r="1331" spans="4:22" x14ac:dyDescent="0.45">
      <c r="D1331" t="s">
        <v>3348</v>
      </c>
      <c r="E1331" t="s">
        <v>3349</v>
      </c>
      <c r="F1331" t="s">
        <v>290</v>
      </c>
      <c r="G1331" t="s">
        <v>3169</v>
      </c>
      <c r="H1331" t="s">
        <v>19</v>
      </c>
      <c r="I1331" t="s">
        <v>3170</v>
      </c>
      <c r="V1331">
        <v>1</v>
      </c>
    </row>
    <row r="1332" spans="4:22" x14ac:dyDescent="0.45">
      <c r="D1332" t="s">
        <v>3350</v>
      </c>
      <c r="E1332" t="s">
        <v>3351</v>
      </c>
      <c r="F1332" t="s">
        <v>290</v>
      </c>
      <c r="G1332" t="s">
        <v>3229</v>
      </c>
      <c r="H1332" t="s">
        <v>19</v>
      </c>
      <c r="I1332" t="s">
        <v>3230</v>
      </c>
      <c r="V1332">
        <v>1</v>
      </c>
    </row>
    <row r="1333" spans="4:22" x14ac:dyDescent="0.45">
      <c r="D1333" t="s">
        <v>3352</v>
      </c>
      <c r="E1333" t="s">
        <v>3353</v>
      </c>
      <c r="F1333" t="s">
        <v>290</v>
      </c>
      <c r="G1333" t="s">
        <v>3173</v>
      </c>
      <c r="H1333" t="s">
        <v>19</v>
      </c>
      <c r="I1333" t="s">
        <v>3174</v>
      </c>
      <c r="V1333">
        <v>1</v>
      </c>
    </row>
    <row r="1334" spans="4:22" x14ac:dyDescent="0.45">
      <c r="D1334" t="s">
        <v>3354</v>
      </c>
      <c r="E1334" t="s">
        <v>3355</v>
      </c>
      <c r="F1334" t="s">
        <v>290</v>
      </c>
      <c r="G1334" t="s">
        <v>3177</v>
      </c>
      <c r="H1334" t="s">
        <v>19</v>
      </c>
      <c r="I1334" t="s">
        <v>3178</v>
      </c>
      <c r="V1334">
        <v>1</v>
      </c>
    </row>
    <row r="1335" spans="4:22" x14ac:dyDescent="0.45">
      <c r="D1335" t="s">
        <v>3356</v>
      </c>
      <c r="E1335" t="s">
        <v>3357</v>
      </c>
      <c r="F1335" t="s">
        <v>290</v>
      </c>
      <c r="G1335" t="s">
        <v>3181</v>
      </c>
      <c r="H1335" t="s">
        <v>19</v>
      </c>
      <c r="I1335" t="s">
        <v>3182</v>
      </c>
      <c r="V1335">
        <v>1</v>
      </c>
    </row>
    <row r="1336" spans="4:22" x14ac:dyDescent="0.45">
      <c r="D1336" t="s">
        <v>3358</v>
      </c>
      <c r="E1336" t="s">
        <v>3359</v>
      </c>
      <c r="F1336" t="s">
        <v>290</v>
      </c>
      <c r="G1336" t="s">
        <v>3177</v>
      </c>
      <c r="H1336" t="s">
        <v>19</v>
      </c>
      <c r="I1336" t="s">
        <v>3178</v>
      </c>
      <c r="V1336">
        <v>1</v>
      </c>
    </row>
    <row r="1337" spans="4:22" x14ac:dyDescent="0.45">
      <c r="D1337" t="s">
        <v>3360</v>
      </c>
      <c r="E1337" t="s">
        <v>3361</v>
      </c>
      <c r="F1337" t="s">
        <v>290</v>
      </c>
      <c r="G1337" t="s">
        <v>3181</v>
      </c>
      <c r="H1337" t="s">
        <v>19</v>
      </c>
      <c r="I1337" t="s">
        <v>3182</v>
      </c>
      <c r="V1337">
        <v>1</v>
      </c>
    </row>
    <row r="1338" spans="4:22" x14ac:dyDescent="0.45">
      <c r="D1338" t="s">
        <v>3358</v>
      </c>
      <c r="E1338" t="s">
        <v>3362</v>
      </c>
      <c r="F1338" t="s">
        <v>290</v>
      </c>
      <c r="G1338" t="s">
        <v>3177</v>
      </c>
      <c r="H1338" t="s">
        <v>19</v>
      </c>
      <c r="I1338" t="s">
        <v>3178</v>
      </c>
      <c r="V1338">
        <v>1</v>
      </c>
    </row>
    <row r="1339" spans="4:22" x14ac:dyDescent="0.45">
      <c r="D1339" t="s">
        <v>3360</v>
      </c>
      <c r="E1339" t="s">
        <v>3363</v>
      </c>
      <c r="G1339" t="s">
        <v>3181</v>
      </c>
      <c r="H1339" t="s">
        <v>19</v>
      </c>
      <c r="I1339" t="s">
        <v>3182</v>
      </c>
      <c r="V1339">
        <v>1</v>
      </c>
    </row>
    <row r="1340" spans="4:22" x14ac:dyDescent="0.45">
      <c r="H1340" t="s">
        <v>18</v>
      </c>
      <c r="J1340" t="s">
        <v>18</v>
      </c>
      <c r="P1340" t="s">
        <v>18</v>
      </c>
      <c r="U134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paste</vt:lpstr>
      <vt:lpstr>Pasted as values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Lukaszewicz</dc:creator>
  <cp:lastModifiedBy>Kacper Lukaszewicz</cp:lastModifiedBy>
  <dcterms:created xsi:type="dcterms:W3CDTF">2025-03-19T05:42:37Z</dcterms:created>
  <dcterms:modified xsi:type="dcterms:W3CDTF">2025-03-19T06:20:53Z</dcterms:modified>
</cp:coreProperties>
</file>