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B1B5951C-C9BE-4AB0-9A6C-DD8578C1B361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CPAT_National" sheetId="16" r:id="rId9"/>
    <sheet name="Table2_Industry" sheetId="17" r:id="rId10"/>
    <sheet name="MTInputs" sheetId="3" r:id="rId11"/>
    <sheet name="Data_Energy" sheetId="4" r:id="rId12"/>
    <sheet name="Data_Prices" sheetId="5" r:id="rId13"/>
    <sheet name="Data_Macro" sheetId="6" r:id="rId14"/>
    <sheet name="Data_Elast" sheetId="7" r:id="rId15"/>
    <sheet name="Data_EF" sheetId="11" r:id="rId16"/>
    <sheet name="Check" sheetId="8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E1864" i="8" l="1"/>
  <c r="AD1864" i="8"/>
  <c r="AC1864" i="8"/>
  <c r="AB1864" i="8"/>
  <c r="AA1864" i="8"/>
  <c r="Z1864" i="8"/>
  <c r="Y1864" i="8"/>
  <c r="X1864" i="8"/>
  <c r="W1864" i="8"/>
  <c r="V1864" i="8"/>
  <c r="U1864" i="8"/>
  <c r="T1864" i="8"/>
  <c r="S1864" i="8"/>
  <c r="R1864" i="8"/>
  <c r="Q1864" i="8"/>
  <c r="P1864" i="8"/>
  <c r="O1864" i="8"/>
  <c r="N1864" i="8"/>
  <c r="M1864" i="8"/>
  <c r="L186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7" i="2"/>
  <c r="N678" i="2"/>
  <c r="N679" i="2"/>
  <c r="N680" i="2"/>
  <c r="N681" i="2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L688" i="2"/>
  <c r="M688" i="2"/>
  <c r="M1028" i="8" s="1"/>
  <c r="M1029" i="8" s="1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Z1028" i="8" s="1"/>
  <c r="Z1029" i="8" s="1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Y1032" i="8" s="1"/>
  <c r="Y1033" i="8" s="1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S1040" i="8" s="1"/>
  <c r="S1041" i="8" s="1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B1052" i="8" s="1"/>
  <c r="AB1053" i="8" s="1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N3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N276" i="2"/>
  <c r="N277" i="2"/>
  <c r="N278" i="2"/>
  <c r="N279" i="2"/>
  <c r="N280" i="2"/>
  <c r="N281" i="2"/>
  <c r="N282" i="2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N628" i="8" s="1"/>
  <c r="N629" i="8" s="1"/>
  <c r="O288" i="2"/>
  <c r="P288" i="2"/>
  <c r="Q288" i="2"/>
  <c r="R288" i="2"/>
  <c r="S288" i="2"/>
  <c r="T288" i="2"/>
  <c r="U288" i="2"/>
  <c r="V288" i="2"/>
  <c r="W288" i="2"/>
  <c r="W628" i="8" s="1"/>
  <c r="W629" i="8" s="1"/>
  <c r="X288" i="2"/>
  <c r="Y288" i="2"/>
  <c r="Z288" i="2"/>
  <c r="AA288" i="2"/>
  <c r="AB288" i="2"/>
  <c r="AB628" i="8" s="1"/>
  <c r="AB629" i="8" s="1"/>
  <c r="AC288" i="2"/>
  <c r="AD288" i="2"/>
  <c r="AD628" i="8" s="1"/>
  <c r="AD629" i="8" s="1"/>
  <c r="AE288" i="2"/>
  <c r="AE628" i="8" s="1"/>
  <c r="AE629" i="8" s="1"/>
  <c r="L289" i="2"/>
  <c r="M289" i="2"/>
  <c r="N289" i="2"/>
  <c r="O289" i="2"/>
  <c r="P289" i="2"/>
  <c r="Q289" i="2"/>
  <c r="R289" i="2"/>
  <c r="R632" i="8" s="1"/>
  <c r="R633" i="8" s="1"/>
  <c r="S289" i="2"/>
  <c r="S632" i="8" s="1"/>
  <c r="S633" i="8" s="1"/>
  <c r="T289" i="2"/>
  <c r="U289" i="2"/>
  <c r="V289" i="2"/>
  <c r="V632" i="8" s="1"/>
  <c r="V633" i="8" s="1"/>
  <c r="W289" i="2"/>
  <c r="X289" i="2"/>
  <c r="Y289" i="2"/>
  <c r="Z289" i="2"/>
  <c r="AA289" i="2"/>
  <c r="AB289" i="2"/>
  <c r="AC289" i="2"/>
  <c r="AD289" i="2"/>
  <c r="AD632" i="8" s="1"/>
  <c r="AD633" i="8" s="1"/>
  <c r="AE289" i="2"/>
  <c r="L290" i="2"/>
  <c r="M290" i="2"/>
  <c r="N290" i="2"/>
  <c r="N636" i="8" s="1"/>
  <c r="N637" i="8" s="1"/>
  <c r="O290" i="2"/>
  <c r="O636" i="8" s="1"/>
  <c r="O637" i="8" s="1"/>
  <c r="P290" i="2"/>
  <c r="Q290" i="2"/>
  <c r="Q636" i="8" s="1"/>
  <c r="Q637" i="8" s="1"/>
  <c r="R290" i="2"/>
  <c r="R636" i="8" s="1"/>
  <c r="R637" i="8" s="1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E636" i="8" s="1"/>
  <c r="AE637" i="8" s="1"/>
  <c r="L291" i="2"/>
  <c r="M291" i="2"/>
  <c r="N291" i="2"/>
  <c r="O291" i="2"/>
  <c r="O640" i="8" s="1"/>
  <c r="O641" i="8" s="1"/>
  <c r="P291" i="2"/>
  <c r="P640" i="8" s="1"/>
  <c r="P641" i="8" s="1"/>
  <c r="Q291" i="2"/>
  <c r="R291" i="2"/>
  <c r="S291" i="2"/>
  <c r="T291" i="2"/>
  <c r="U291" i="2"/>
  <c r="V291" i="2"/>
  <c r="V640" i="8" s="1"/>
  <c r="V641" i="8" s="1"/>
  <c r="W291" i="2"/>
  <c r="X291" i="2"/>
  <c r="Y291" i="2"/>
  <c r="Z291" i="2"/>
  <c r="AA291" i="2"/>
  <c r="AB291" i="2"/>
  <c r="AC291" i="2"/>
  <c r="AD291" i="2"/>
  <c r="AE291" i="2"/>
  <c r="L292" i="2"/>
  <c r="M292" i="2"/>
  <c r="N292" i="2"/>
  <c r="O292" i="2"/>
  <c r="P292" i="2"/>
  <c r="Q292" i="2"/>
  <c r="Q644" i="8" s="1"/>
  <c r="Q645" i="8" s="1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C644" i="8" s="1"/>
  <c r="AC645" i="8" s="1"/>
  <c r="AD292" i="2"/>
  <c r="AE292" i="2"/>
  <c r="AE644" i="8" s="1"/>
  <c r="AE645" i="8" s="1"/>
  <c r="L293" i="2"/>
  <c r="M293" i="2"/>
  <c r="N293" i="2"/>
  <c r="O293" i="2"/>
  <c r="O648" i="8" s="1"/>
  <c r="O649" i="8" s="1"/>
  <c r="P293" i="2"/>
  <c r="Q293" i="2"/>
  <c r="R293" i="2"/>
  <c r="S293" i="2"/>
  <c r="T293" i="2"/>
  <c r="U293" i="2"/>
  <c r="U648" i="8" s="1"/>
  <c r="U649" i="8" s="1"/>
  <c r="V293" i="2"/>
  <c r="W293" i="2"/>
  <c r="W648" i="8" s="1"/>
  <c r="W649" i="8" s="1"/>
  <c r="X293" i="2"/>
  <c r="Y293" i="2"/>
  <c r="Z293" i="2"/>
  <c r="AA293" i="2"/>
  <c r="AB293" i="2"/>
  <c r="AC293" i="2"/>
  <c r="AD293" i="2"/>
  <c r="AE293" i="2"/>
  <c r="AE648" i="8" s="1"/>
  <c r="AE649" i="8" s="1"/>
  <c r="L294" i="2"/>
  <c r="M294" i="2"/>
  <c r="N294" i="2"/>
  <c r="O294" i="2"/>
  <c r="P294" i="2"/>
  <c r="P652" i="8" s="1"/>
  <c r="P653" i="8" s="1"/>
  <c r="Q294" i="2"/>
  <c r="Q652" i="8" s="1"/>
  <c r="Q653" i="8" s="1"/>
  <c r="R294" i="2"/>
  <c r="S294" i="2"/>
  <c r="T294" i="2"/>
  <c r="U294" i="2"/>
  <c r="V294" i="2"/>
  <c r="W294" i="2"/>
  <c r="W652" i="8" s="1"/>
  <c r="W653" i="8" s="1"/>
  <c r="X294" i="2"/>
  <c r="X652" i="8" s="1"/>
  <c r="X653" i="8" s="1"/>
  <c r="Y294" i="2"/>
  <c r="Z294" i="2"/>
  <c r="AA294" i="2"/>
  <c r="AB294" i="2"/>
  <c r="AC294" i="2"/>
  <c r="AD294" i="2"/>
  <c r="AE294" i="2"/>
  <c r="L295" i="2"/>
  <c r="M295" i="2"/>
  <c r="N295" i="2"/>
  <c r="O295" i="2"/>
  <c r="O656" i="8" s="1"/>
  <c r="O657" i="8" s="1"/>
  <c r="P295" i="2"/>
  <c r="P656" i="8" s="1"/>
  <c r="P657" i="8" s="1"/>
  <c r="Q295" i="2"/>
  <c r="R295" i="2"/>
  <c r="R656" i="8" s="1"/>
  <c r="R657" i="8" s="1"/>
  <c r="S295" i="2"/>
  <c r="S656" i="8" s="1"/>
  <c r="S657" i="8" s="1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F1864" i="8" l="1"/>
  <c r="D14" i="17"/>
  <c r="B102" i="17" s="1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M992" i="8" s="1"/>
  <c r="M993" i="8" s="1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AD656" i="8"/>
  <c r="AD657" i="8" s="1"/>
  <c r="AA1048" i="8"/>
  <c r="AA1049" i="8" s="1"/>
  <c r="S1044" i="8"/>
  <c r="S1045" i="8" s="1"/>
  <c r="AE1036" i="8"/>
  <c r="AE1037" i="8" s="1"/>
  <c r="W1032" i="8"/>
  <c r="W1033" i="8" s="1"/>
  <c r="O1028" i="8"/>
  <c r="O1029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AC656" i="8"/>
  <c r="AC657" i="8" s="1"/>
  <c r="U652" i="8"/>
  <c r="U653" i="8" s="1"/>
  <c r="AA648" i="8"/>
  <c r="AA649" i="8" s="1"/>
  <c r="M648" i="8"/>
  <c r="M649" i="8" s="1"/>
  <c r="S644" i="8"/>
  <c r="S645" i="8" s="1"/>
  <c r="Y640" i="8"/>
  <c r="Y641" i="8" s="1"/>
  <c r="W632" i="8"/>
  <c r="W633" i="8" s="1"/>
  <c r="AC628" i="8"/>
  <c r="AC629" i="8" s="1"/>
  <c r="O628" i="8"/>
  <c r="O62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Z1048" i="8"/>
  <c r="Z1049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V35" i="13"/>
  <c r="AB10" i="13"/>
  <c r="AB30" i="13" s="1"/>
  <c r="AE12" i="13"/>
  <c r="AE32" i="13" s="1"/>
  <c r="P13" i="13"/>
  <c r="P33" i="13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X632" i="8"/>
  <c r="X633" i="8" s="1"/>
  <c r="P628" i="8"/>
  <c r="P629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M1048" i="8"/>
  <c r="M1049" i="8" s="1"/>
  <c r="Y1040" i="8"/>
  <c r="Y1041" i="8" s="1"/>
  <c r="Q1036" i="8"/>
  <c r="Q1037" i="8" s="1"/>
  <c r="AC1028" i="8"/>
  <c r="AC1029" i="8" s="1"/>
  <c r="U1024" i="8"/>
  <c r="U1025" i="8" s="1"/>
  <c r="X15" i="13"/>
  <c r="X35" i="13" s="1"/>
  <c r="AB656" i="8"/>
  <c r="AB657" i="8" s="1"/>
  <c r="N656" i="8"/>
  <c r="N657" i="8" s="1"/>
  <c r="T652" i="8"/>
  <c r="T653" i="8" s="1"/>
  <c r="Z648" i="8"/>
  <c r="Z649" i="8" s="1"/>
  <c r="L648" i="8"/>
  <c r="L649" i="8" s="1"/>
  <c r="R644" i="8"/>
  <c r="R645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S1024" i="8"/>
  <c r="S1025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X648" i="8"/>
  <c r="X649" i="8" s="1"/>
  <c r="AB636" i="8"/>
  <c r="AB637" i="8" s="1"/>
  <c r="AE1052" i="8"/>
  <c r="AE1053" i="8" s="1"/>
  <c r="Y1028" i="8"/>
  <c r="Y1029" i="8" s="1"/>
  <c r="Y656" i="8"/>
  <c r="Y657" i="8" s="1"/>
  <c r="AE652" i="8"/>
  <c r="AE653" i="8" s="1"/>
  <c r="O644" i="8"/>
  <c r="O645" i="8" s="1"/>
  <c r="U640" i="8"/>
  <c r="U641" i="8" s="1"/>
  <c r="AA636" i="8"/>
  <c r="AA637" i="8" s="1"/>
  <c r="M636" i="8"/>
  <c r="M637" i="8" s="1"/>
  <c r="Y628" i="8"/>
  <c r="Y629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W656" i="8"/>
  <c r="W657" i="8" s="1"/>
  <c r="AC652" i="8"/>
  <c r="AC653" i="8" s="1"/>
  <c r="O652" i="8"/>
  <c r="O653" i="8" s="1"/>
  <c r="AA644" i="8"/>
  <c r="AA645" i="8" s="1"/>
  <c r="M644" i="8"/>
  <c r="M645" i="8" s="1"/>
  <c r="S640" i="8"/>
  <c r="S641" i="8" s="1"/>
  <c r="Y636" i="8"/>
  <c r="Y637" i="8" s="1"/>
  <c r="AE632" i="8"/>
  <c r="AE633" i="8" s="1"/>
  <c r="Q632" i="8"/>
  <c r="Q633" i="8" s="1"/>
  <c r="N1052" i="8"/>
  <c r="N1053" i="8" s="1"/>
  <c r="T1048" i="8"/>
  <c r="T1049" i="8" s="1"/>
  <c r="Z1044" i="8"/>
  <c r="Z1045" i="8" s="1"/>
  <c r="L1044" i="8"/>
  <c r="L1045" i="8" s="1"/>
  <c r="R1040" i="8"/>
  <c r="R1041" i="8" s="1"/>
  <c r="X1036" i="8"/>
  <c r="X1037" i="8" s="1"/>
  <c r="AD1032" i="8"/>
  <c r="AD1033" i="8" s="1"/>
  <c r="P1032" i="8"/>
  <c r="P1033" i="8" s="1"/>
  <c r="V1028" i="8"/>
  <c r="V1029" i="8" s="1"/>
  <c r="AB1024" i="8"/>
  <c r="AB1025" i="8" s="1"/>
  <c r="N1024" i="8"/>
  <c r="N1025" i="8" s="1"/>
  <c r="P36" i="13"/>
  <c r="O12" i="13"/>
  <c r="O32" i="13" s="1"/>
  <c r="AA656" i="8"/>
  <c r="AA657" i="8" s="1"/>
  <c r="Y648" i="8"/>
  <c r="Y649" i="8" s="1"/>
  <c r="AC636" i="8"/>
  <c r="AC637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L1028" i="8"/>
  <c r="L1029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AC1044" i="8"/>
  <c r="AC1045" i="8" s="1"/>
  <c r="U1040" i="8"/>
  <c r="U1041" i="8" s="1"/>
  <c r="M1036" i="8"/>
  <c r="M1037" i="8" s="1"/>
  <c r="Q1024" i="8"/>
  <c r="Q1025" i="8" s="1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X636" i="8"/>
  <c r="X637" i="8" s="1"/>
  <c r="P632" i="8"/>
  <c r="P633" i="8" s="1"/>
  <c r="V628" i="8"/>
  <c r="V629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S1048" i="8"/>
  <c r="S1049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U656" i="8"/>
  <c r="U657" i="8" s="1"/>
  <c r="AA652" i="8"/>
  <c r="AA653" i="8" s="1"/>
  <c r="M652" i="8"/>
  <c r="M653" i="8" s="1"/>
  <c r="S648" i="8"/>
  <c r="S649" i="8" s="1"/>
  <c r="Y644" i="8"/>
  <c r="Y645" i="8" s="1"/>
  <c r="AE640" i="8"/>
  <c r="AE641" i="8" s="1"/>
  <c r="Q640" i="8"/>
  <c r="Q641" i="8" s="1"/>
  <c r="W636" i="8"/>
  <c r="W637" i="8" s="1"/>
  <c r="AC632" i="8"/>
  <c r="AC633" i="8" s="1"/>
  <c r="O632" i="8"/>
  <c r="O633" i="8" s="1"/>
  <c r="U628" i="8"/>
  <c r="U629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O14" i="13"/>
  <c r="O34" i="13" s="1"/>
  <c r="M656" i="8"/>
  <c r="M657" i="8" s="1"/>
  <c r="X1048" i="8"/>
  <c r="X1049" i="8" s="1"/>
  <c r="R1024" i="8"/>
  <c r="R1025" i="8" s="1"/>
  <c r="L656" i="8"/>
  <c r="L657" i="8" s="1"/>
  <c r="T632" i="8"/>
  <c r="T633" i="8" s="1"/>
  <c r="L628" i="8"/>
  <c r="L629" i="8" s="1"/>
  <c r="S1032" i="8"/>
  <c r="S1033" i="8" s="1"/>
  <c r="N644" i="8"/>
  <c r="N645" i="8" s="1"/>
  <c r="X628" i="8"/>
  <c r="X629" i="8" s="1"/>
  <c r="U1048" i="8"/>
  <c r="U1049" i="8" s="1"/>
  <c r="T656" i="8"/>
  <c r="T657" i="8" s="1"/>
  <c r="Z652" i="8"/>
  <c r="Z653" i="8" s="1"/>
  <c r="L652" i="8"/>
  <c r="L653" i="8" s="1"/>
  <c r="R648" i="8"/>
  <c r="R649" i="8" s="1"/>
  <c r="X644" i="8"/>
  <c r="X645" i="8" s="1"/>
  <c r="AD640" i="8"/>
  <c r="AD641" i="8" s="1"/>
  <c r="V636" i="8"/>
  <c r="V637" i="8" s="1"/>
  <c r="AB632" i="8"/>
  <c r="AB633" i="8" s="1"/>
  <c r="N632" i="8"/>
  <c r="N633" i="8" s="1"/>
  <c r="T628" i="8"/>
  <c r="T629" i="8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U1036" i="8"/>
  <c r="U1037" i="8" s="1"/>
  <c r="AA1032" i="8"/>
  <c r="AA1033" i="8" s="1"/>
  <c r="M1032" i="8"/>
  <c r="M1033" i="8" s="1"/>
  <c r="S1028" i="8"/>
  <c r="S1029" i="8" s="1"/>
  <c r="Y1024" i="8"/>
  <c r="Y1025" i="8" s="1"/>
  <c r="X11" i="13"/>
  <c r="X31" i="13" s="1"/>
  <c r="N14" i="13"/>
  <c r="N34" i="13" s="1"/>
  <c r="P156" i="13"/>
  <c r="U632" i="8"/>
  <c r="U633" i="8" s="1"/>
  <c r="P1044" i="8"/>
  <c r="P1045" i="8" s="1"/>
  <c r="Z656" i="8"/>
  <c r="Z657" i="8" s="1"/>
  <c r="R652" i="8"/>
  <c r="R653" i="8" s="1"/>
  <c r="AD644" i="8"/>
  <c r="AD645" i="8" s="1"/>
  <c r="P644" i="8"/>
  <c r="P645" i="8" s="1"/>
  <c r="W1048" i="8"/>
  <c r="W1049" i="8" s="1"/>
  <c r="AA1036" i="8"/>
  <c r="AA1037" i="8" s="1"/>
  <c r="AE1024" i="8"/>
  <c r="AE1025" i="8" s="1"/>
  <c r="AC14" i="13"/>
  <c r="AC34" i="13" s="1"/>
  <c r="X656" i="8"/>
  <c r="X657" i="8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Y1036" i="8"/>
  <c r="Y1037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Y652" i="8"/>
  <c r="Y653" i="8" s="1"/>
  <c r="Q648" i="8"/>
  <c r="Q649" i="8" s="1"/>
  <c r="W644" i="8"/>
  <c r="W645" i="8" s="1"/>
  <c r="AC640" i="8"/>
  <c r="AC641" i="8" s="1"/>
  <c r="U636" i="8"/>
  <c r="U637" i="8" s="1"/>
  <c r="AA632" i="8"/>
  <c r="AA633" i="8" s="1"/>
  <c r="M632" i="8"/>
  <c r="M633" i="8" s="1"/>
  <c r="S628" i="8"/>
  <c r="S629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AD648" i="8"/>
  <c r="AD649" i="8" s="1"/>
  <c r="P648" i="8"/>
  <c r="P649" i="8" s="1"/>
  <c r="V644" i="8"/>
  <c r="V645" i="8" s="1"/>
  <c r="AB640" i="8"/>
  <c r="AB641" i="8" s="1"/>
  <c r="N640" i="8"/>
  <c r="N641" i="8" s="1"/>
  <c r="T636" i="8"/>
  <c r="T637" i="8" s="1"/>
  <c r="Z632" i="8"/>
  <c r="Z633" i="8" s="1"/>
  <c r="L632" i="8"/>
  <c r="L633" i="8" s="1"/>
  <c r="R628" i="8"/>
  <c r="R629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AE1028" i="8"/>
  <c r="AE1029" i="8" s="1"/>
  <c r="Q1028" i="8"/>
  <c r="Q1029" i="8" s="1"/>
  <c r="W1024" i="8"/>
  <c r="W1025" i="8" s="1"/>
  <c r="U11" i="13"/>
  <c r="U31" i="13" s="1"/>
  <c r="X13" i="13"/>
  <c r="X33" i="13" s="1"/>
  <c r="AD15" i="13"/>
  <c r="AD35" i="13" s="1"/>
  <c r="M16" i="13"/>
  <c r="M36" i="13" s="1"/>
  <c r="M628" i="8"/>
  <c r="M629" i="8" s="1"/>
  <c r="Z628" i="8"/>
  <c r="Z629" i="8" s="1"/>
  <c r="O1044" i="8"/>
  <c r="O1045" i="8" s="1"/>
  <c r="AD652" i="8"/>
  <c r="AD653" i="8" s="1"/>
  <c r="AB644" i="8"/>
  <c r="AB645" i="8" s="1"/>
  <c r="Z636" i="8"/>
  <c r="Z637" i="8" s="1"/>
  <c r="AC1052" i="8"/>
  <c r="AC1053" i="8" s="1"/>
  <c r="M1044" i="8"/>
  <c r="M1045" i="8" s="1"/>
  <c r="AE1032" i="8"/>
  <c r="AE1033" i="8" s="1"/>
  <c r="AC1024" i="8"/>
  <c r="AC1025" i="8" s="1"/>
  <c r="AE656" i="8"/>
  <c r="AE657" i="8" s="1"/>
  <c r="Q656" i="8"/>
  <c r="Q657" i="8" s="1"/>
  <c r="AC648" i="8"/>
  <c r="AC649" i="8" s="1"/>
  <c r="U644" i="8"/>
  <c r="U645" i="8" s="1"/>
  <c r="AA640" i="8"/>
  <c r="AA641" i="8" s="1"/>
  <c r="M640" i="8"/>
  <c r="M641" i="8" s="1"/>
  <c r="S636" i="8"/>
  <c r="S637" i="8" s="1"/>
  <c r="Y632" i="8"/>
  <c r="Y633" i="8" s="1"/>
  <c r="Q628" i="8"/>
  <c r="Q629" i="8" s="1"/>
  <c r="V1052" i="8"/>
  <c r="V1053" i="8" s="1"/>
  <c r="AB1048" i="8"/>
  <c r="AB1049" i="8" s="1"/>
  <c r="N1048" i="8"/>
  <c r="N1049" i="8" s="1"/>
  <c r="T1044" i="8"/>
  <c r="T1045" i="8" s="1"/>
  <c r="Z1040" i="8"/>
  <c r="Z1041" i="8" s="1"/>
  <c r="L1040" i="8"/>
  <c r="L1041" i="8" s="1"/>
  <c r="R1036" i="8"/>
  <c r="R1037" i="8" s="1"/>
  <c r="X1032" i="8"/>
  <c r="X1033" i="8" s="1"/>
  <c r="AD1028" i="8"/>
  <c r="AD1029" i="8" s="1"/>
  <c r="P1028" i="8"/>
  <c r="P1029" i="8" s="1"/>
  <c r="V1024" i="8"/>
  <c r="V1025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N731" i="2" s="1"/>
  <c r="N254" i="14" s="1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V58" i="9"/>
  <c r="G368" i="2" s="1"/>
  <c r="F733" i="2"/>
  <c r="N733" i="2" s="1"/>
  <c r="N256" i="14" s="1"/>
  <c r="N60" i="9"/>
  <c r="V60" i="9"/>
  <c r="G769" i="2" s="1"/>
  <c r="P56" i="9"/>
  <c r="T55" i="9"/>
  <c r="E764" i="2" s="1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N730" i="2" s="1"/>
  <c r="N253" i="14" s="1"/>
  <c r="H367" i="2"/>
  <c r="N95" i="14" s="1"/>
  <c r="G332" i="2"/>
  <c r="N343" i="2" s="1"/>
  <c r="V55" i="9"/>
  <c r="G764" i="2" s="1"/>
  <c r="V59" i="9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N743" i="2" s="1"/>
  <c r="G736" i="2"/>
  <c r="G731" i="2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L308" i="2"/>
  <c r="G336" i="2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N341" i="2" s="1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E716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K27" i="10"/>
  <c r="D18" i="17" s="1"/>
  <c r="E102" i="17" s="1"/>
  <c r="J27" i="10"/>
  <c r="I27" i="10"/>
  <c r="H27" i="10"/>
  <c r="G27" i="10"/>
  <c r="D17" i="17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D15" i="17" l="1"/>
  <c r="S36" i="17" s="1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M287" i="14"/>
  <c r="AA287" i="14"/>
  <c r="N287" i="14"/>
  <c r="AB287" i="14"/>
  <c r="O287" i="14"/>
  <c r="AC287" i="14"/>
  <c r="P287" i="14"/>
  <c r="AD287" i="14"/>
  <c r="Q287" i="14"/>
  <c r="AE287" i="14"/>
  <c r="R287" i="14"/>
  <c r="S287" i="14"/>
  <c r="U287" i="14"/>
  <c r="V287" i="14"/>
  <c r="T287" i="14"/>
  <c r="L287" i="14"/>
  <c r="Y287" i="14"/>
  <c r="X287" i="14"/>
  <c r="Z287" i="14"/>
  <c r="W287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L740" i="2" s="1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T274" i="14"/>
  <c r="U274" i="14"/>
  <c r="Y274" i="14"/>
  <c r="O274" i="14"/>
  <c r="AC274" i="14"/>
  <c r="W274" i="14"/>
  <c r="X274" i="14"/>
  <c r="Z274" i="14"/>
  <c r="AA274" i="14"/>
  <c r="AB274" i="14"/>
  <c r="AD274" i="14"/>
  <c r="L274" i="14"/>
  <c r="AE274" i="14"/>
  <c r="N274" i="14"/>
  <c r="M274" i="14"/>
  <c r="P274" i="14"/>
  <c r="S274" i="14"/>
  <c r="R274" i="14"/>
  <c r="V274" i="14"/>
  <c r="Q274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J736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X48" i="10"/>
  <c r="X138" i="5" s="1"/>
  <c r="X218" i="14" s="1"/>
  <c r="Z48" i="10"/>
  <c r="Z138" i="5" s="1"/>
  <c r="Z218" i="14" s="1"/>
  <c r="L48" i="10"/>
  <c r="L138" i="5" s="1"/>
  <c r="L218" i="14" s="1"/>
  <c r="AA48" i="10"/>
  <c r="AA138" i="5" s="1"/>
  <c r="AA218" i="14" s="1"/>
  <c r="M48" i="10"/>
  <c r="M138" i="5" s="1"/>
  <c r="M218" i="14" s="1"/>
  <c r="AB48" i="10"/>
  <c r="AB138" i="5" s="1"/>
  <c r="AB218" i="14" s="1"/>
  <c r="N48" i="10"/>
  <c r="N138" i="5" s="1"/>
  <c r="N218" i="14" s="1"/>
  <c r="AC48" i="10"/>
  <c r="AC138" i="5" s="1"/>
  <c r="AC218" i="14" s="1"/>
  <c r="O48" i="10"/>
  <c r="O138" i="5" s="1"/>
  <c r="O218" i="14" s="1"/>
  <c r="AD48" i="10"/>
  <c r="AD138" i="5" s="1"/>
  <c r="AD218" i="14" s="1"/>
  <c r="P48" i="10"/>
  <c r="P138" i="5" s="1"/>
  <c r="P218" i="14" s="1"/>
  <c r="AE48" i="10"/>
  <c r="AE138" i="5" s="1"/>
  <c r="AE218" i="14" s="1"/>
  <c r="T48" i="10"/>
  <c r="T138" i="5" s="1"/>
  <c r="T218" i="14" s="1"/>
  <c r="Q48" i="10"/>
  <c r="Q138" i="5" s="1"/>
  <c r="Q218" i="14" s="1"/>
  <c r="AF48" i="10"/>
  <c r="R48" i="10"/>
  <c r="R138" i="5" s="1"/>
  <c r="R218" i="14" s="1"/>
  <c r="AG48" i="10"/>
  <c r="S48" i="10"/>
  <c r="S138" i="5" s="1"/>
  <c r="S218" i="14" s="1"/>
  <c r="AH48" i="10"/>
  <c r="AI48" i="10"/>
  <c r="U48" i="10"/>
  <c r="U138" i="5" s="1"/>
  <c r="U218" i="14" s="1"/>
  <c r="V48" i="10"/>
  <c r="V138" i="5" s="1"/>
  <c r="V218" i="14" s="1"/>
  <c r="W48" i="10"/>
  <c r="W138" i="5" s="1"/>
  <c r="W218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N1156" i="8"/>
  <c r="N1157" i="8" s="1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U44" i="17" l="1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53" i="17" s="1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V53" i="17" s="1"/>
  <c r="AD25" i="17"/>
  <c r="R38" i="17"/>
  <c r="AE27" i="17"/>
  <c r="P40" i="17"/>
  <c r="O28" i="17"/>
  <c r="Y39" i="17"/>
  <c r="AD26" i="17"/>
  <c r="Z39" i="17"/>
  <c r="AE26" i="17"/>
  <c r="L38" i="17"/>
  <c r="T32" i="17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Z26" i="17"/>
  <c r="Y25" i="17"/>
  <c r="Z25" i="17"/>
  <c r="M28" i="17"/>
  <c r="T29" i="17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U51" i="17" s="1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L1188" i="8"/>
  <c r="L1189" i="8" s="1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U53" i="17" l="1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L94" i="17" s="1"/>
  <c r="L95" i="17" s="1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Q47" i="17"/>
  <c r="AC47" i="17"/>
  <c r="V47" i="17"/>
  <c r="AC48" i="17"/>
  <c r="O47" i="17"/>
  <c r="T50" i="17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60" i="17" s="1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AC703" i="2"/>
  <c r="AC705" i="2"/>
  <c r="AC704" i="2"/>
  <c r="AC699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V984" i="8"/>
  <c r="V985" i="8" s="1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X702" i="2"/>
  <c r="X700" i="2"/>
  <c r="X699" i="2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N66" i="15" s="1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R703" i="2" l="1"/>
  <c r="AC984" i="8"/>
  <c r="AC985" i="8" s="1"/>
  <c r="AC698" i="2"/>
  <c r="AC231" i="14"/>
  <c r="AC701" i="2"/>
  <c r="AC702" i="2"/>
  <c r="AC700" i="2"/>
  <c r="V699" i="2"/>
  <c r="X698" i="2"/>
  <c r="V698" i="2"/>
  <c r="V1056" i="8" s="1"/>
  <c r="V1057" i="8" s="1"/>
  <c r="X705" i="2"/>
  <c r="X1084" i="8" s="1"/>
  <c r="X1085" i="8" s="1"/>
  <c r="X984" i="8"/>
  <c r="X985" i="8" s="1"/>
  <c r="X704" i="2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59" i="17"/>
  <c r="L63" i="17" s="1"/>
  <c r="L64" i="17" s="1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X1060" i="8"/>
  <c r="X1061" i="8" s="1"/>
  <c r="AC1064" i="8"/>
  <c r="AC1065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X1072" i="8"/>
  <c r="X1073" i="8" s="1"/>
  <c r="AC1084" i="8"/>
  <c r="AC108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C1076" i="8"/>
  <c r="AC1077" i="8" s="1"/>
  <c r="AA1072" i="8"/>
  <c r="AA1073" i="8" s="1"/>
  <c r="AE1072" i="8"/>
  <c r="AE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C1080" i="8"/>
  <c r="AC1081" i="8" s="1"/>
  <c r="X1080" i="8"/>
  <c r="X1081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C1060" i="8"/>
  <c r="AC1061" i="8" s="1"/>
  <c r="AB1072" i="8"/>
  <c r="AB1073" i="8" s="1"/>
  <c r="X1064" i="8"/>
  <c r="X1065" i="8" s="1"/>
  <c r="R1076" i="8"/>
  <c r="R1077" i="8" s="1"/>
  <c r="AA1080" i="8"/>
  <c r="AA1081" i="8" s="1"/>
  <c r="Q1072" i="8"/>
  <c r="Q1073" i="8" s="1"/>
  <c r="AB1068" i="8"/>
  <c r="AB1069" i="8" s="1"/>
  <c r="X1056" i="8"/>
  <c r="X1057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V1060" i="8"/>
  <c r="V1061" i="8" s="1"/>
  <c r="O1056" i="8"/>
  <c r="O1057" i="8" s="1"/>
  <c r="U1076" i="8"/>
  <c r="U1077" i="8" s="1"/>
  <c r="Q1068" i="8"/>
  <c r="Q1069" i="8" s="1"/>
  <c r="AC1056" i="8"/>
  <c r="AC1057" i="8" s="1"/>
  <c r="Q1060" i="8"/>
  <c r="Q1061" i="8" s="1"/>
  <c r="O1060" i="8"/>
  <c r="O1061" i="8" s="1"/>
  <c r="O1064" i="8"/>
  <c r="O1065" i="8" s="1"/>
  <c r="U1056" i="8"/>
  <c r="U1057" i="8" s="1"/>
  <c r="AC1068" i="8"/>
  <c r="AC1069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C1072" i="8"/>
  <c r="AC1073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D1455" i="8" l="1"/>
  <c r="T225" i="14"/>
  <c r="T228" i="14"/>
  <c r="T227" i="14"/>
  <c r="T226" i="14"/>
  <c r="T231" i="14"/>
  <c r="T230" i="14"/>
  <c r="T224" i="14"/>
  <c r="L900" i="8"/>
  <c r="L901" i="8" s="1"/>
  <c r="L61" i="17"/>
  <c r="L65" i="17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L82" i="17" l="1"/>
  <c r="L1866" i="8" s="1"/>
  <c r="L93" i="17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N260" i="2"/>
  <c r="N20" i="15" s="1"/>
  <c r="N261" i="2"/>
  <c r="N21" i="15" s="1"/>
  <c r="N1843" i="8" s="1"/>
  <c r="M261" i="2"/>
  <c r="M21" i="15" s="1"/>
  <c r="M1843" i="8" s="1"/>
  <c r="M260" i="2"/>
  <c r="M20" i="15" s="1"/>
  <c r="M363" i="2"/>
  <c r="N363" i="2"/>
  <c r="L260" i="2"/>
  <c r="L20" i="15" s="1"/>
  <c r="L261" i="2"/>
  <c r="L21" i="15" s="1"/>
  <c r="L1843" i="8" s="1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N932" i="8" s="1"/>
  <c r="N933" i="8" s="1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N940" i="8" s="1"/>
  <c r="N941" i="8" s="1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L1842" i="8" l="1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928" i="8" s="1"/>
  <c r="N929" i="8" s="1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U996" i="8" l="1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329" i="14"/>
  <c r="L75" i="17" s="1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260" i="2"/>
  <c r="T20" i="15" s="1"/>
  <c r="T363" i="2"/>
  <c r="T864" i="8" s="1"/>
  <c r="T865" i="8" s="1"/>
  <c r="T261" i="2"/>
  <c r="T21" i="15" s="1"/>
  <c r="T1843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260" i="2"/>
  <c r="Q20" i="15" s="1"/>
  <c r="Q261" i="2"/>
  <c r="Q21" i="15" s="1"/>
  <c r="Q1843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261" i="2"/>
  <c r="AE21" i="15" s="1"/>
  <c r="AE1843" i="8" s="1"/>
  <c r="AE260" i="2"/>
  <c r="AE20" i="15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260" i="2"/>
  <c r="Y20" i="15" s="1"/>
  <c r="Y261" i="2"/>
  <c r="Y21" i="15" s="1"/>
  <c r="Y1843" i="8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260" i="2"/>
  <c r="AD20" i="15" s="1"/>
  <c r="AD363" i="2"/>
  <c r="AD261" i="2"/>
  <c r="AD21" i="15" s="1"/>
  <c r="AD1843" i="8" s="1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261" i="2"/>
  <c r="S21" i="15" s="1"/>
  <c r="S1843" i="8" s="1"/>
  <c r="S363" i="2"/>
  <c r="S864" i="8" s="1"/>
  <c r="S865" i="8" s="1"/>
  <c r="S260" i="2"/>
  <c r="S20" i="15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260" i="2"/>
  <c r="P20" i="15" s="1"/>
  <c r="P363" i="2"/>
  <c r="P864" i="8" s="1"/>
  <c r="P865" i="8" s="1"/>
  <c r="P261" i="2"/>
  <c r="P21" i="15" s="1"/>
  <c r="P1843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261" i="2"/>
  <c r="W21" i="15" s="1"/>
  <c r="W1843" i="8" s="1"/>
  <c r="W363" i="2"/>
  <c r="W260" i="2"/>
  <c r="W20" i="15" s="1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260" i="2"/>
  <c r="X20" i="15" s="1"/>
  <c r="X261" i="2"/>
  <c r="X21" i="15" s="1"/>
  <c r="X1843" i="8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329" i="14"/>
  <c r="N75" i="17" s="1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261" i="2"/>
  <c r="R21" i="15" s="1"/>
  <c r="R1843" i="8" s="1"/>
  <c r="R363" i="2"/>
  <c r="R864" i="8" s="1"/>
  <c r="R865" i="8" s="1"/>
  <c r="R260" i="2"/>
  <c r="R20" i="15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261" i="2"/>
  <c r="AA21" i="15" s="1"/>
  <c r="AA1843" i="8" s="1"/>
  <c r="AA363" i="2"/>
  <c r="AA260" i="2"/>
  <c r="AA20" i="15" s="1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261" i="2"/>
  <c r="Z21" i="15" s="1"/>
  <c r="Z1843" i="8" s="1"/>
  <c r="Z363" i="2"/>
  <c r="Z260" i="2"/>
  <c r="Z20" i="15" s="1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329" i="14"/>
  <c r="M75" i="17" s="1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261" i="2"/>
  <c r="AC21" i="15" s="1"/>
  <c r="AC1843" i="8" s="1"/>
  <c r="AC260" i="2"/>
  <c r="AC20" i="15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260" i="2"/>
  <c r="U20" i="15" s="1"/>
  <c r="U363" i="2"/>
  <c r="U864" i="8" s="1"/>
  <c r="U865" i="8" s="1"/>
  <c r="U261" i="2"/>
  <c r="U21" i="15" s="1"/>
  <c r="U1843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261" i="2"/>
  <c r="AB21" i="15" s="1"/>
  <c r="AB1843" i="8" s="1"/>
  <c r="AB260" i="2"/>
  <c r="AB20" i="15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261" i="2"/>
  <c r="O21" i="15" s="1"/>
  <c r="O1843" i="8" s="1"/>
  <c r="O363" i="2"/>
  <c r="O864" i="8" s="1"/>
  <c r="O865" i="8" s="1"/>
  <c r="O260" i="2"/>
  <c r="O20" i="15" s="1"/>
  <c r="O83" i="14"/>
  <c r="O101" i="14" s="1"/>
  <c r="O91" i="14"/>
  <c r="O109" i="14" s="1"/>
  <c r="U302" i="14"/>
  <c r="U320" i="14" s="1"/>
  <c r="U294" i="14"/>
  <c r="U312" i="14" s="1"/>
  <c r="V330" i="2"/>
  <c r="V261" i="2"/>
  <c r="V21" i="15" s="1"/>
  <c r="V1843" i="8" s="1"/>
  <c r="V363" i="2"/>
  <c r="V260" i="2"/>
  <c r="V20" i="15" s="1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T932" i="8" s="1"/>
  <c r="T933" i="8" s="1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T940" i="8" s="1"/>
  <c r="T941" i="8" s="1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N22" i="15" l="1"/>
  <c r="N24" i="15" s="1"/>
  <c r="N69" i="17"/>
  <c r="L22" i="15"/>
  <c r="L24" i="15" s="1"/>
  <c r="L69" i="17"/>
  <c r="L84" i="17" s="1"/>
  <c r="M22" i="15"/>
  <c r="M1836" i="8" s="1"/>
  <c r="M69" i="17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V352" i="2"/>
  <c r="V392" i="2" s="1"/>
  <c r="V948" i="8" s="1"/>
  <c r="V949" i="8" s="1"/>
  <c r="Q354" i="2"/>
  <c r="Q836" i="8" s="1"/>
  <c r="Q837" i="8" s="1"/>
  <c r="T378" i="2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928" i="8" s="1"/>
  <c r="T929" i="8" s="1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T924" i="8" s="1"/>
  <c r="T925" i="8" s="1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I102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M24" i="15" l="1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R390" i="2"/>
  <c r="R69" i="17" s="1"/>
  <c r="M62" i="2"/>
  <c r="N62" i="2" s="1"/>
  <c r="R1567" i="8"/>
  <c r="P360" i="2"/>
  <c r="T375" i="2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M28" i="15" l="1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329" i="14" s="1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329" i="14"/>
  <c r="O75" i="17" s="1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329" i="14"/>
  <c r="R75" i="17" s="1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329" i="14"/>
  <c r="P75" i="17" s="1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329" i="14"/>
  <c r="T75" i="17" s="1"/>
  <c r="L427" i="2"/>
  <c r="L547" i="2"/>
  <c r="L607" i="2"/>
  <c r="L487" i="2"/>
  <c r="M133" i="14"/>
  <c r="M488" i="2"/>
  <c r="M548" i="2"/>
  <c r="M608" i="2"/>
  <c r="M428" i="2"/>
  <c r="S329" i="14"/>
  <c r="S75" i="17" s="1"/>
  <c r="M165" i="14"/>
  <c r="N612" i="2"/>
  <c r="N552" i="2"/>
  <c r="N432" i="2"/>
  <c r="N492" i="2"/>
  <c r="N176" i="14"/>
  <c r="N178" i="14" s="1"/>
  <c r="U329" i="14"/>
  <c r="U75" i="17" s="1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329" i="14"/>
  <c r="Q75" i="17" s="1"/>
  <c r="N1682" i="8"/>
  <c r="N139" i="5"/>
  <c r="N648" i="2" s="1"/>
  <c r="V329" i="14"/>
  <c r="V75" i="17" s="1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O920" i="8" l="1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329" i="14" s="1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659" i="2"/>
  <c r="L37" i="15" s="1"/>
  <c r="L660" i="2"/>
  <c r="L38" i="15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659" i="2"/>
  <c r="M37" i="15" s="1"/>
  <c r="M762" i="2"/>
  <c r="M767" i="2"/>
  <c r="M1280" i="8" s="1"/>
  <c r="M1281" i="8" s="1"/>
  <c r="M766" i="2"/>
  <c r="M660" i="2"/>
  <c r="M38" i="15" s="1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659" i="2"/>
  <c r="N37" i="15" s="1"/>
  <c r="N766" i="2"/>
  <c r="N660" i="2"/>
  <c r="N38" i="15" s="1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329" i="14" s="1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L91" i="17" s="1"/>
  <c r="L92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L96" i="17" l="1"/>
  <c r="L1868" i="8"/>
  <c r="M18" i="15"/>
  <c r="M59" i="17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L87" i="15" s="1"/>
  <c r="L1853" i="8" s="1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329" i="14" s="1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M63" i="17" l="1"/>
  <c r="M64" i="17" s="1"/>
  <c r="M84" i="17"/>
  <c r="N18" i="15"/>
  <c r="N19" i="15" s="1"/>
  <c r="N1834" i="8" s="1"/>
  <c r="N59" i="17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329" i="14" s="1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659" i="2"/>
  <c r="O37" i="15" s="1"/>
  <c r="O762" i="2"/>
  <c r="O658" i="2"/>
  <c r="O768" i="2"/>
  <c r="O1284" i="8" s="1"/>
  <c r="O1285" i="8" s="1"/>
  <c r="O660" i="2"/>
  <c r="O38" i="15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713" i="8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659" i="2"/>
  <c r="P37" i="15" s="1"/>
  <c r="P768" i="2"/>
  <c r="P1284" i="8" s="1"/>
  <c r="P1285" i="8" s="1"/>
  <c r="P762" i="2"/>
  <c r="P764" i="2"/>
  <c r="P1268" i="8" s="1"/>
  <c r="P1269" i="8" s="1"/>
  <c r="P660" i="2"/>
  <c r="P38" i="15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659" i="2"/>
  <c r="Q37" i="15" s="1"/>
  <c r="Q768" i="2"/>
  <c r="Q1284" i="8" s="1"/>
  <c r="Q1285" i="8" s="1"/>
  <c r="Q660" i="2"/>
  <c r="Q38" i="15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N28" i="15" l="1"/>
  <c r="N25" i="15"/>
  <c r="N1837" i="8" s="1"/>
  <c r="N63" i="17"/>
  <c r="N64" i="17" s="1"/>
  <c r="N84" i="17"/>
  <c r="O18" i="15"/>
  <c r="O19" i="15" s="1"/>
  <c r="O25" i="15" s="1"/>
  <c r="O59" i="17"/>
  <c r="M35" i="15"/>
  <c r="M60" i="17"/>
  <c r="M61" i="17" s="1"/>
  <c r="M65" i="17" s="1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329" i="14" s="1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O28" i="15" l="1"/>
  <c r="O1834" i="8"/>
  <c r="N26" i="15"/>
  <c r="N66" i="17" s="1"/>
  <c r="O63" i="17"/>
  <c r="O64" i="17" s="1"/>
  <c r="O84" i="17"/>
  <c r="M82" i="17"/>
  <c r="M93" i="17"/>
  <c r="M94" i="17" s="1"/>
  <c r="M95" i="17" s="1"/>
  <c r="N1469" i="8"/>
  <c r="N87" i="17"/>
  <c r="L1469" i="8"/>
  <c r="L87" i="17"/>
  <c r="P18" i="15"/>
  <c r="P19" i="15" s="1"/>
  <c r="P25" i="15" s="1"/>
  <c r="P59" i="17"/>
  <c r="N35" i="15"/>
  <c r="N36" i="15" s="1"/>
  <c r="N42" i="15" s="1"/>
  <c r="N43" i="15" s="1"/>
  <c r="N60" i="17"/>
  <c r="N61" i="17" s="1"/>
  <c r="N65" i="17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329" i="14" s="1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1" i="17" l="1"/>
  <c r="M92" i="17" s="1"/>
  <c r="M1866" i="8"/>
  <c r="M83" i="17"/>
  <c r="M1867" i="8" s="1"/>
  <c r="L85" i="17"/>
  <c r="L1867" i="8"/>
  <c r="L1865" i="8"/>
  <c r="M96" i="17"/>
  <c r="M1868" i="8"/>
  <c r="N27" i="15"/>
  <c r="N1835" i="8" s="1"/>
  <c r="N1838" i="8"/>
  <c r="P28" i="15"/>
  <c r="P63" i="17"/>
  <c r="P64" i="17" s="1"/>
  <c r="P84" i="17"/>
  <c r="P1834" i="8"/>
  <c r="N1840" i="8"/>
  <c r="N1844" i="8"/>
  <c r="N82" i="17"/>
  <c r="N93" i="17"/>
  <c r="N94" i="17" s="1"/>
  <c r="N95" i="17" s="1"/>
  <c r="N1841" i="8"/>
  <c r="N67" i="17"/>
  <c r="N68" i="17" s="1"/>
  <c r="N81" i="17" s="1"/>
  <c r="Q18" i="15"/>
  <c r="Q19" i="15" s="1"/>
  <c r="Q25" i="15" s="1"/>
  <c r="Q59" i="17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329" i="14" s="1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713" i="8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M1865" i="8" l="1"/>
  <c r="M85" i="17"/>
  <c r="N91" i="17"/>
  <c r="N92" i="17" s="1"/>
  <c r="N96" i="17" s="1"/>
  <c r="N1866" i="8"/>
  <c r="Q63" i="17"/>
  <c r="Q64" i="17" s="1"/>
  <c r="Q84" i="17"/>
  <c r="N83" i="17"/>
  <c r="Q28" i="15"/>
  <c r="Q1834" i="8"/>
  <c r="R18" i="15"/>
  <c r="R19" i="15" s="1"/>
  <c r="R28" i="15" s="1"/>
  <c r="R59" i="17"/>
  <c r="O35" i="15"/>
  <c r="O36" i="15" s="1"/>
  <c r="O42" i="15" s="1"/>
  <c r="O60" i="17"/>
  <c r="O61" i="17" s="1"/>
  <c r="O65" i="17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329" i="14" s="1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N1868" i="8" l="1"/>
  <c r="N85" i="17"/>
  <c r="N1867" i="8"/>
  <c r="N1865" i="8"/>
  <c r="R63" i="17"/>
  <c r="R64" i="17" s="1"/>
  <c r="R84" i="17"/>
  <c r="R25" i="15"/>
  <c r="R1837" i="8" s="1"/>
  <c r="R1834" i="8"/>
  <c r="O93" i="17"/>
  <c r="O94" i="17" s="1"/>
  <c r="O95" i="17" s="1"/>
  <c r="O82" i="17"/>
  <c r="P1469" i="8"/>
  <c r="P87" i="17"/>
  <c r="S18" i="15"/>
  <c r="S19" i="15" s="1"/>
  <c r="S25" i="15" s="1"/>
  <c r="S59" i="17"/>
  <c r="O1469" i="8"/>
  <c r="O87" i="17"/>
  <c r="Q1469" i="8"/>
  <c r="Q87" i="17"/>
  <c r="P35" i="15"/>
  <c r="P36" i="15" s="1"/>
  <c r="P60" i="17"/>
  <c r="P61" i="17" s="1"/>
  <c r="P65" i="17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O91" i="17" l="1"/>
  <c r="O92" i="17" s="1"/>
  <c r="O96" i="17" s="1"/>
  <c r="O1866" i="8"/>
  <c r="O1868" i="8"/>
  <c r="S28" i="15"/>
  <c r="S63" i="17"/>
  <c r="S64" i="17" s="1"/>
  <c r="S84" i="17"/>
  <c r="S1834" i="8"/>
  <c r="R26" i="15"/>
  <c r="R66" i="17" s="1"/>
  <c r="P82" i="17"/>
  <c r="P93" i="17"/>
  <c r="P94" i="17" s="1"/>
  <c r="P95" i="17" s="1"/>
  <c r="O83" i="17"/>
  <c r="O1841" i="8"/>
  <c r="O44" i="15"/>
  <c r="O1855" i="8" s="1"/>
  <c r="Q35" i="15"/>
  <c r="Q36" i="15" s="1"/>
  <c r="Q60" i="17"/>
  <c r="Q61" i="17" s="1"/>
  <c r="Q65" i="17" s="1"/>
  <c r="T18" i="15"/>
  <c r="T19" i="15" s="1"/>
  <c r="T59" i="17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P91" i="17" l="1"/>
  <c r="P92" i="17" s="1"/>
  <c r="P1868" i="8" s="1"/>
  <c r="P1866" i="8"/>
  <c r="P96" i="17"/>
  <c r="O85" i="17"/>
  <c r="O1867" i="8"/>
  <c r="O1865" i="8"/>
  <c r="T63" i="17"/>
  <c r="T64" i="17" s="1"/>
  <c r="T84" i="17"/>
  <c r="R27" i="15"/>
  <c r="R1835" i="8" s="1"/>
  <c r="R1838" i="8"/>
  <c r="Q82" i="17"/>
  <c r="Q93" i="17"/>
  <c r="Q94" i="17" s="1"/>
  <c r="Q95" i="17" s="1"/>
  <c r="F1498" i="8"/>
  <c r="AE70" i="17"/>
  <c r="U18" i="15"/>
  <c r="U19" i="15" s="1"/>
  <c r="U59" i="17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Q91" i="17" l="1"/>
  <c r="Q92" i="17" s="1"/>
  <c r="Q1868" i="8" s="1"/>
  <c r="Q1866" i="8"/>
  <c r="Q96" i="17"/>
  <c r="F102" i="17"/>
  <c r="P85" i="17"/>
  <c r="P1867" i="8"/>
  <c r="P1865" i="8"/>
  <c r="U63" i="17"/>
  <c r="U64" i="17" s="1"/>
  <c r="U84" i="17"/>
  <c r="V18" i="15"/>
  <c r="V19" i="15" s="1"/>
  <c r="V59" i="17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V355" i="14"/>
  <c r="V357" i="14" s="1"/>
  <c r="AA350" i="14"/>
  <c r="AD340" i="14"/>
  <c r="AD342" i="14" s="1"/>
  <c r="Z348" i="14"/>
  <c r="X352" i="14"/>
  <c r="X354" i="14" s="1"/>
  <c r="Z350" i="14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85" i="17" l="1"/>
  <c r="Q1867" i="8"/>
  <c r="Q1865" i="8"/>
  <c r="V63" i="17"/>
  <c r="V64" i="17" s="1"/>
  <c r="V84" i="17"/>
  <c r="W18" i="15"/>
  <c r="W19" i="15" s="1"/>
  <c r="W59" i="17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W63" i="17" l="1"/>
  <c r="W64" i="17" s="1"/>
  <c r="W84" i="17"/>
  <c r="X18" i="15"/>
  <c r="X19" i="15" s="1"/>
  <c r="X59" i="17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X63" i="17" l="1"/>
  <c r="X64" i="17" s="1"/>
  <c r="X84" i="17"/>
  <c r="Y18" i="15"/>
  <c r="Y19" i="15" s="1"/>
  <c r="Y1834" i="8" s="1"/>
  <c r="Y59" i="17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Y63" i="17" l="1"/>
  <c r="Y64" i="17" s="1"/>
  <c r="Y84" i="17"/>
  <c r="Z18" i="15"/>
  <c r="Z19" i="15" s="1"/>
  <c r="Z59" i="17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Z63" i="17" l="1"/>
  <c r="Z64" i="17" s="1"/>
  <c r="Z84" i="17"/>
  <c r="AA18" i="15"/>
  <c r="AA19" i="15" s="1"/>
  <c r="AA25" i="15" s="1"/>
  <c r="AA59" i="17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A63" i="17" l="1"/>
  <c r="AA64" i="17" s="1"/>
  <c r="AA84" i="17"/>
  <c r="AB18" i="15"/>
  <c r="AB59" i="17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AB19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B63" i="17" l="1"/>
  <c r="AB64" i="17" s="1"/>
  <c r="AB84" i="17"/>
  <c r="AC18" i="15"/>
  <c r="AC19" i="15" s="1"/>
  <c r="AC59" i="17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AC360" i="14"/>
  <c r="AC362" i="14" s="1"/>
  <c r="R370" i="14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C63" i="17" l="1"/>
  <c r="AC64" i="17" s="1"/>
  <c r="AC84" i="17"/>
  <c r="AD18" i="15"/>
  <c r="AD19" i="15" s="1"/>
  <c r="AD59" i="17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W375" i="14"/>
  <c r="W377" i="14" s="1"/>
  <c r="AA366" i="14"/>
  <c r="S374" i="14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/>
  <c r="AE1525" i="8"/>
  <c r="F1525" i="8" s="1"/>
  <c r="AE1541" i="8"/>
  <c r="AE1542" i="8" s="1"/>
  <c r="F1542" i="8" s="1"/>
  <c r="AD63" i="17" l="1"/>
  <c r="AD64" i="17" s="1"/>
  <c r="AD84" i="17"/>
  <c r="AE18" i="15"/>
  <c r="AE19" i="15" s="1"/>
  <c r="AE28" i="15" s="1"/>
  <c r="AE59" i="17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W376" i="14"/>
  <c r="W378" i="14" s="1"/>
  <c r="R374" i="14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64" i="17" s="1"/>
  <c r="AE84" i="17"/>
  <c r="AE1834" i="8"/>
  <c r="AE25" i="15"/>
  <c r="AE1837" i="8" s="1"/>
  <c r="AD1837" i="8"/>
  <c r="AD26" i="15"/>
  <c r="AD66" i="17" s="1"/>
  <c r="AC27" i="15"/>
  <c r="AC1835" i="8" s="1"/>
  <c r="AC1838" i="8"/>
  <c r="F1834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/>
  <c r="AE26" i="15" l="1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/>
  <c r="X376" i="14"/>
  <c r="X378" i="14" s="1"/>
  <c r="AA372" i="14"/>
  <c r="AA374" i="14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Y386" i="14" s="1"/>
  <c r="R388" i="14"/>
  <c r="R390" i="14" s="1"/>
  <c r="AC382" i="14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1575" i="8" l="1"/>
  <c r="W1574" i="8"/>
  <c r="W1576" i="8"/>
  <c r="AB388" i="14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AB390" i="14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AA390" i="14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660" i="2"/>
  <c r="W38" i="15" s="1"/>
  <c r="W752" i="2"/>
  <c r="W659" i="2"/>
  <c r="W37" i="15" s="1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W40" i="15" l="1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659" i="2"/>
  <c r="V37" i="15" s="1"/>
  <c r="V757" i="2"/>
  <c r="V756" i="2"/>
  <c r="V758" i="2"/>
  <c r="V762" i="2"/>
  <c r="V763" i="2"/>
  <c r="V1264" i="8" s="1"/>
  <c r="V1265" i="8" s="1"/>
  <c r="V764" i="2"/>
  <c r="V1268" i="8" s="1"/>
  <c r="V1269" i="8" s="1"/>
  <c r="V660" i="2"/>
  <c r="V38" i="15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659" i="2"/>
  <c r="S37" i="15" s="1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S660" i="2"/>
  <c r="S38" i="15" s="1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1284" i="8" s="1"/>
  <c r="T1285" i="8" s="1"/>
  <c r="T757" i="2"/>
  <c r="T755" i="2"/>
  <c r="T751" i="2"/>
  <c r="T766" i="2"/>
  <c r="T658" i="2"/>
  <c r="T756" i="2"/>
  <c r="T764" i="2"/>
  <c r="T1268" i="8" s="1"/>
  <c r="T1269" i="8" s="1"/>
  <c r="T754" i="2"/>
  <c r="T762" i="2"/>
  <c r="T763" i="2"/>
  <c r="T1264" i="8" s="1"/>
  <c r="T1265" i="8" s="1"/>
  <c r="T660" i="2"/>
  <c r="T38" i="15" s="1"/>
  <c r="T767" i="2"/>
  <c r="T1280" i="8" s="1"/>
  <c r="T1281" i="8" s="1"/>
  <c r="T659" i="2"/>
  <c r="T37" i="15" s="1"/>
  <c r="T1683" i="8"/>
  <c r="T657" i="2"/>
  <c r="T753" i="2"/>
  <c r="T758" i="2"/>
  <c r="T752" i="2"/>
  <c r="T765" i="2"/>
  <c r="T769" i="2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S40" i="15" l="1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660" i="2"/>
  <c r="U38" i="15" s="1"/>
  <c r="U755" i="2"/>
  <c r="U1683" i="8"/>
  <c r="U752" i="2"/>
  <c r="U753" i="2"/>
  <c r="U754" i="2"/>
  <c r="U659" i="2"/>
  <c r="U37" i="15" s="1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T1336" i="8" s="1"/>
  <c r="T1337" i="8" s="1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T1252" i="8"/>
  <c r="T1253" i="8" s="1"/>
  <c r="T1224" i="8"/>
  <c r="T1225" i="8" s="1"/>
  <c r="T774" i="2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T785" i="2"/>
  <c r="T1324" i="8" s="1"/>
  <c r="T1325" i="8" s="1"/>
  <c r="T1288" i="8"/>
  <c r="T1289" i="8" s="1"/>
  <c r="T786" i="2"/>
  <c r="T1328" i="8" s="1"/>
  <c r="T1329" i="8" s="1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T90" i="15" s="1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659" i="2"/>
  <c r="R37" i="15" s="1"/>
  <c r="R762" i="2"/>
  <c r="R660" i="2"/>
  <c r="R38" i="15" s="1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V1304" i="8" l="1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K102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659" i="2"/>
  <c r="X37" i="15" s="1"/>
  <c r="X758" i="2"/>
  <c r="X658" i="2"/>
  <c r="X755" i="2"/>
  <c r="X1683" i="8"/>
  <c r="X756" i="2"/>
  <c r="X757" i="2"/>
  <c r="X660" i="2"/>
  <c r="X38" i="15" s="1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T1340" i="8" l="1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659" i="2"/>
  <c r="Z37" i="15" s="1"/>
  <c r="Z766" i="2"/>
  <c r="Z757" i="2"/>
  <c r="Z767" i="2"/>
  <c r="Z1280" i="8" s="1"/>
  <c r="Z1281" i="8" s="1"/>
  <c r="Z660" i="2"/>
  <c r="Z38" i="15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659" i="2"/>
  <c r="Y37" i="15" s="1"/>
  <c r="Y752" i="2"/>
  <c r="Y754" i="2"/>
  <c r="Y757" i="2"/>
  <c r="Y660" i="2"/>
  <c r="Y38" i="15" s="1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W1469" i="8" l="1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659" i="2"/>
  <c r="AB37" i="15" s="1"/>
  <c r="AB754" i="2"/>
  <c r="AB762" i="2"/>
  <c r="AB757" i="2"/>
  <c r="AB767" i="2"/>
  <c r="AB1280" i="8" s="1"/>
  <c r="AB1281" i="8" s="1"/>
  <c r="AB769" i="2"/>
  <c r="AB660" i="2"/>
  <c r="AB38" i="15" s="1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659" i="2"/>
  <c r="AA37" i="15" s="1"/>
  <c r="AA758" i="2"/>
  <c r="AA751" i="2"/>
  <c r="AA657" i="2"/>
  <c r="AA1683" i="8"/>
  <c r="AA756" i="2"/>
  <c r="AA769" i="2"/>
  <c r="AA658" i="2"/>
  <c r="AA764" i="2"/>
  <c r="AA1268" i="8" s="1"/>
  <c r="AA1269" i="8" s="1"/>
  <c r="AA660" i="2"/>
  <c r="AA38" i="15" s="1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713" i="8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V1469" i="8" l="1"/>
  <c r="V87" i="17"/>
  <c r="T1469" i="8"/>
  <c r="T87" i="17"/>
  <c r="J102" i="17" s="1"/>
  <c r="S1469" i="8"/>
  <c r="S87" i="17"/>
  <c r="R35" i="15"/>
  <c r="R36" i="15" s="1"/>
  <c r="R42" i="15" s="1"/>
  <c r="R60" i="17"/>
  <c r="R61" i="17" s="1"/>
  <c r="R65" i="17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660" i="2"/>
  <c r="AC38" i="15" s="1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AC659" i="2"/>
  <c r="AC37" i="15" s="1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R82" i="17" l="1"/>
  <c r="R93" i="17"/>
  <c r="R94" i="17" s="1"/>
  <c r="R95" i="17" s="1"/>
  <c r="U1469" i="8"/>
  <c r="U87" i="17"/>
  <c r="S35" i="15"/>
  <c r="S36" i="15" s="1"/>
  <c r="S42" i="15" s="1"/>
  <c r="S60" i="17"/>
  <c r="S61" i="17" s="1"/>
  <c r="S65" i="17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R91" i="17" l="1"/>
  <c r="R92" i="17" s="1"/>
  <c r="R96" i="17" s="1"/>
  <c r="R1866" i="8"/>
  <c r="S82" i="17"/>
  <c r="S93" i="17"/>
  <c r="S94" i="17" s="1"/>
  <c r="S95" i="17" s="1"/>
  <c r="T35" i="15"/>
  <c r="T36" i="15" s="1"/>
  <c r="T60" i="17"/>
  <c r="T61" i="17" s="1"/>
  <c r="T65" i="17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S91" i="17" l="1"/>
  <c r="S92" i="17" s="1"/>
  <c r="S1866" i="8"/>
  <c r="R1868" i="8"/>
  <c r="R85" i="17"/>
  <c r="R1867" i="8"/>
  <c r="R1865" i="8"/>
  <c r="S96" i="17"/>
  <c r="S1868" i="8"/>
  <c r="T82" i="17"/>
  <c r="T93" i="17"/>
  <c r="T94" i="17" s="1"/>
  <c r="U35" i="15"/>
  <c r="U36" i="15" s="1"/>
  <c r="U60" i="17"/>
  <c r="U61" i="17" s="1"/>
  <c r="U65" i="17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AD659" i="2"/>
  <c r="AD37" i="15" s="1"/>
  <c r="AD660" i="2"/>
  <c r="AD38" i="15" s="1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T91" i="17" l="1"/>
  <c r="T92" i="17" s="1"/>
  <c r="T1868" i="8" s="1"/>
  <c r="T1866" i="8"/>
  <c r="S85" i="17"/>
  <c r="S1867" i="8"/>
  <c r="S1865" i="8"/>
  <c r="U82" i="17"/>
  <c r="U93" i="17"/>
  <c r="U94" i="17" s="1"/>
  <c r="U95" i="17" s="1"/>
  <c r="M102" i="17"/>
  <c r="T95" i="17"/>
  <c r="N102" i="17" s="1"/>
  <c r="L102" i="17"/>
  <c r="T96" i="17"/>
  <c r="Q102" i="17" s="1"/>
  <c r="AA1469" i="8"/>
  <c r="AA87" i="17"/>
  <c r="AB1469" i="8"/>
  <c r="AB87" i="17"/>
  <c r="V35" i="15"/>
  <c r="V36" i="15" s="1"/>
  <c r="V42" i="15" s="1"/>
  <c r="V60" i="17"/>
  <c r="V61" i="17" s="1"/>
  <c r="V65" i="17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660" i="2"/>
  <c r="AE38" i="15" s="1"/>
  <c r="AE763" i="2"/>
  <c r="AE1264" i="8" s="1"/>
  <c r="AE1265" i="8" s="1"/>
  <c r="F1265" i="8" s="1"/>
  <c r="AE762" i="2"/>
  <c r="AE659" i="2"/>
  <c r="AE37" i="15" s="1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U91" i="17" l="1"/>
  <c r="U92" i="17" s="1"/>
  <c r="U1866" i="8"/>
  <c r="T1867" i="8"/>
  <c r="T1865" i="8"/>
  <c r="U96" i="17"/>
  <c r="U1868" i="8"/>
  <c r="V82" i="17"/>
  <c r="V93" i="17"/>
  <c r="V94" i="17" s="1"/>
  <c r="V95" i="17" s="1"/>
  <c r="G102" i="17"/>
  <c r="T85" i="17"/>
  <c r="H102" i="17" s="1"/>
  <c r="AC1469" i="8"/>
  <c r="AC87" i="17"/>
  <c r="W35" i="15"/>
  <c r="W36" i="15" s="1"/>
  <c r="W42" i="15" s="1"/>
  <c r="W60" i="17"/>
  <c r="W61" i="17" s="1"/>
  <c r="W65" i="17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V91" i="17" l="1"/>
  <c r="V92" i="17" s="1"/>
  <c r="V96" i="17" s="1"/>
  <c r="V1866" i="8"/>
  <c r="F1869" i="8"/>
  <c r="U85" i="17"/>
  <c r="U1867" i="8"/>
  <c r="U1865" i="8"/>
  <c r="W82" i="17"/>
  <c r="W93" i="17"/>
  <c r="W94" i="17" s="1"/>
  <c r="W95" i="17" s="1"/>
  <c r="X35" i="15"/>
  <c r="X36" i="15" s="1"/>
  <c r="X42" i="15" s="1"/>
  <c r="X60" i="17"/>
  <c r="X61" i="17" s="1"/>
  <c r="X65" i="17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V1868" i="8" l="1"/>
  <c r="W91" i="17"/>
  <c r="W92" i="17" s="1"/>
  <c r="W1866" i="8"/>
  <c r="V85" i="17"/>
  <c r="V1867" i="8"/>
  <c r="V1865" i="8"/>
  <c r="W96" i="17"/>
  <c r="W1868" i="8"/>
  <c r="X82" i="17"/>
  <c r="X93" i="17"/>
  <c r="X94" i="17" s="1"/>
  <c r="X95" i="17" s="1"/>
  <c r="Y35" i="15"/>
  <c r="Y36" i="15" s="1"/>
  <c r="Y42" i="15" s="1"/>
  <c r="Y60" i="17"/>
  <c r="Y61" i="17" s="1"/>
  <c r="Y65" i="17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1713" i="8" s="1"/>
  <c r="F1713" i="8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X91" i="17" l="1"/>
  <c r="X92" i="17" s="1"/>
  <c r="X96" i="17" s="1"/>
  <c r="X1866" i="8"/>
  <c r="W85" i="17"/>
  <c r="W1867" i="8"/>
  <c r="W1865" i="8"/>
  <c r="X1868" i="8"/>
  <c r="Y82" i="17"/>
  <c r="Y93" i="17"/>
  <c r="Y94" i="17" s="1"/>
  <c r="Y95" i="17" s="1"/>
  <c r="Z35" i="15"/>
  <c r="Z36" i="15" s="1"/>
  <c r="Z60" i="17"/>
  <c r="Z61" i="17" s="1"/>
  <c r="Z65" i="17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91" i="17" l="1"/>
  <c r="Y92" i="17" s="1"/>
  <c r="Y1866" i="8"/>
  <c r="X85" i="17"/>
  <c r="X1867" i="8"/>
  <c r="X1865" i="8"/>
  <c r="Y96" i="17"/>
  <c r="Y1868" i="8"/>
  <c r="Z82" i="17"/>
  <c r="Z93" i="17"/>
  <c r="Z94" i="17" s="1"/>
  <c r="Z95" i="17" s="1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AA60" i="17"/>
  <c r="AA61" i="17" s="1"/>
  <c r="AA65" i="17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Z91" i="17" l="1"/>
  <c r="Z92" i="17" s="1"/>
  <c r="Z1866" i="8"/>
  <c r="Y85" i="17"/>
  <c r="Y1867" i="8"/>
  <c r="Y1865" i="8"/>
  <c r="Z96" i="17"/>
  <c r="Z1868" i="8"/>
  <c r="AA82" i="17"/>
  <c r="AA93" i="17"/>
  <c r="AA94" i="17" s="1"/>
  <c r="AA95" i="17" s="1"/>
  <c r="AB35" i="15"/>
  <c r="AB36" i="15" s="1"/>
  <c r="AB42" i="15" s="1"/>
  <c r="AB60" i="17"/>
  <c r="AB61" i="17" s="1"/>
  <c r="AB65" i="17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AA91" i="17" l="1"/>
  <c r="AA92" i="17" s="1"/>
  <c r="AA96" i="17" s="1"/>
  <c r="AA1866" i="8"/>
  <c r="Z85" i="17"/>
  <c r="Z1867" i="8"/>
  <c r="Z1865" i="8"/>
  <c r="AB82" i="17"/>
  <c r="AB93" i="17"/>
  <c r="AB94" i="17" s="1"/>
  <c r="AB95" i="17" s="1"/>
  <c r="AC35" i="15"/>
  <c r="AC36" i="15" s="1"/>
  <c r="AC60" i="17"/>
  <c r="AC61" i="17" s="1"/>
  <c r="AC65" i="17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A1868" i="8" l="1"/>
  <c r="AB91" i="17"/>
  <c r="AB92" i="17" s="1"/>
  <c r="AB96" i="17" s="1"/>
  <c r="AB1866" i="8"/>
  <c r="AA85" i="17"/>
  <c r="AA1867" i="8"/>
  <c r="AA1865" i="8"/>
  <c r="AC82" i="17"/>
  <c r="AC93" i="17"/>
  <c r="AC94" i="17" s="1"/>
  <c r="AC95" i="17" s="1"/>
  <c r="AD35" i="15"/>
  <c r="AD36" i="15" s="1"/>
  <c r="AD42" i="15" s="1"/>
  <c r="AD60" i="17"/>
  <c r="AD61" i="17" s="1"/>
  <c r="AD65" i="17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B1868" i="8" l="1"/>
  <c r="AC91" i="17"/>
  <c r="AC92" i="17" s="1"/>
  <c r="AC1866" i="8"/>
  <c r="AB85" i="17"/>
  <c r="AB1867" i="8"/>
  <c r="AB1865" i="8"/>
  <c r="AC96" i="17"/>
  <c r="AC1868" i="8"/>
  <c r="AD82" i="17"/>
  <c r="AD93" i="17"/>
  <c r="AD94" i="17" s="1"/>
  <c r="AD95" i="17" s="1"/>
  <c r="AE35" i="15"/>
  <c r="AE36" i="15" s="1"/>
  <c r="AE42" i="15" s="1"/>
  <c r="AE1844" i="8" s="1"/>
  <c r="AE60" i="17"/>
  <c r="AE61" i="17" s="1"/>
  <c r="AE65" i="17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91" i="17" l="1"/>
  <c r="AD92" i="17" s="1"/>
  <c r="AD1866" i="8"/>
  <c r="AD96" i="17"/>
  <c r="AD1868" i="8"/>
  <c r="AC85" i="17"/>
  <c r="AC1867" i="8"/>
  <c r="AC1865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E91" i="17" l="1"/>
  <c r="AE92" i="17" s="1"/>
  <c r="AE1866" i="8"/>
  <c r="F1866" i="8" s="1"/>
  <c r="AD85" i="17"/>
  <c r="AD1867" i="8"/>
  <c r="AD1865" i="8"/>
  <c r="AE96" i="17"/>
  <c r="AE1868" i="8"/>
  <c r="F1868" i="8" s="1"/>
  <c r="AE67" i="17"/>
  <c r="AE68" i="17" s="1"/>
  <c r="AE81" i="17" s="1"/>
  <c r="AE83" i="17" s="1"/>
  <c r="AE1841" i="8"/>
  <c r="F1841" i="8" s="1"/>
  <c r="D1831" i="8" s="1"/>
  <c r="F1855" i="8"/>
  <c r="AE85" i="17" l="1"/>
  <c r="AE1867" i="8"/>
  <c r="F1867" i="8" s="1"/>
  <c r="AE1865" i="8"/>
  <c r="F1865" i="8" s="1"/>
  <c r="D1861" i="8" l="1"/>
</calcChain>
</file>

<file path=xl/sharedStrings.xml><?xml version="1.0" encoding="utf-8"?>
<sst xmlns="http://schemas.openxmlformats.org/spreadsheetml/2006/main" count="16776" uniqueCount="3643">
  <si>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</si>
  <si>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</si>
  <si>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</si>
  <si>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</si>
  <si>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</si>
  <si>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</si>
  <si>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</si>
  <si>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</si>
  <si>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</si>
  <si>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</si>
  <si>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</si>
  <si>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</si>
  <si>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</si>
  <si>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</si>
  <si>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</si>
  <si>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</si>
  <si>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</si>
  <si>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</si>
  <si>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</si>
  <si>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</si>
  <si>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</si>
  <si>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</si>
  <si>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</si>
  <si>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</si>
  <si>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</si>
  <si>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</si>
  <si>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</si>
  <si>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</si>
  <si>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</si>
  <si>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</si>
  <si>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</si>
  <si>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</si>
  <si>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</si>
  <si>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</si>
  <si>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</si>
  <si>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</si>
  <si>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</si>
  <si>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</si>
  <si>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</si>
  <si>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</si>
  <si>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</si>
  <si>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</si>
  <si>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</si>
  <si>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</si>
  <si>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</si>
  <si>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</si>
  <si>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</si>
  <si>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</si>
  <si>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</si>
  <si>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</si>
  <si>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</si>
  <si>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</si>
  <si>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</si>
  <si>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</si>
  <si>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</si>
  <si>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</si>
  <si>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</si>
  <si>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</si>
  <si>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</si>
  <si>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</si>
  <si>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</si>
  <si>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</si>
  <si>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</si>
  <si>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</si>
  <si>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</si>
  <si>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</si>
  <si>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</si>
  <si>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</si>
  <si>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</si>
  <si>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</si>
  <si>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</si>
  <si>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</si>
  <si>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</si>
  <si>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</si>
  <si>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</si>
  <si>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</si>
  <si>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</si>
  <si>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</si>
  <si>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</si>
  <si>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</si>
  <si>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</si>
  <si>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</si>
  <si>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</si>
  <si>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</si>
  <si>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</si>
  <si>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</si>
  <si>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</si>
  <si>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</si>
  <si>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</si>
  <si>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</si>
  <si>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</si>
  <si>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</si>
  <si>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</si>
  <si>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</si>
  <si>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</si>
  <si>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</si>
  <si>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</si>
  <si>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</si>
  <si>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</si>
  <si>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</si>
  <si>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</si>
  <si>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</si>
  <si>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</si>
  <si>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</si>
  <si>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</si>
  <si>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</si>
  <si>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</si>
  <si>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</si>
  <si>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</si>
  <si>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</si>
  <si>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</si>
  <si>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</si>
  <si>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</si>
  <si>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</si>
  <si>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</si>
  <si>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</si>
  <si>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</si>
  <si>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</si>
  <si>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</si>
  <si>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</si>
  <si>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</si>
  <si>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</si>
  <si>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</si>
  <si>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</si>
  <si>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</si>
  <si>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</si>
  <si>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</si>
  <si>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</si>
  <si>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</si>
  <si>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</si>
  <si>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</si>
  <si>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</si>
  <si>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</si>
  <si>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</si>
  <si>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</si>
  <si>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</si>
  <si>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</si>
  <si>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</si>
  <si>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</si>
  <si>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</si>
  <si>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</si>
  <si>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</si>
  <si>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</si>
  <si>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</si>
  <si>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</si>
  <si>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</si>
  <si>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</si>
  <si>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</si>
  <si>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</si>
  <si>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</si>
  <si>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</si>
  <si>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</si>
  <si>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</si>
  <si>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</si>
  <si>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</si>
  <si>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</si>
  <si>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</si>
  <si>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</si>
  <si>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</si>
  <si>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</si>
  <si>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</si>
  <si>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</si>
  <si>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</si>
  <si>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</si>
  <si>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</si>
  <si>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</si>
  <si>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</si>
  <si>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</si>
  <si>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</si>
  <si>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</si>
  <si>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</si>
  <si>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</si>
  <si>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</si>
  <si>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</si>
  <si>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</si>
  <si>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</si>
  <si>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</si>
  <si>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</si>
  <si>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</si>
  <si>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</si>
  <si>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</si>
  <si>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</si>
  <si>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</si>
  <si>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</si>
  <si>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</si>
  <si>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</si>
  <si>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</si>
  <si>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</si>
  <si>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</si>
  <si>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</si>
  <si>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</si>
  <si>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</si>
  <si>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</si>
  <si>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</si>
  <si>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</si>
  <si>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</si>
  <si>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</si>
  <si>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</si>
  <si>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</si>
  <si>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</si>
  <si>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</si>
  <si>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</si>
  <si>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</si>
  <si>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</si>
  <si>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</si>
  <si>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</si>
  <si>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</si>
  <si>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</si>
  <si>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</si>
  <si>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</si>
  <si>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</si>
  <si>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</si>
  <si>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</si>
  <si>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</si>
  <si>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</si>
  <si>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</si>
  <si>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</si>
  <si>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</si>
  <si>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</si>
  <si>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</si>
  <si>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</si>
  <si>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</si>
  <si>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</si>
  <si>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</si>
  <si>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</si>
  <si>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</si>
  <si>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</si>
  <si>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</si>
  <si>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</si>
  <si>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</si>
  <si>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</si>
  <si>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</si>
  <si>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</si>
  <si>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</si>
  <si>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</si>
  <si>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</si>
  <si>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</si>
  <si>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</si>
  <si>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</si>
  <si>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</si>
  <si>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</si>
  <si>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</si>
  <si>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</si>
  <si>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</si>
  <si>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</si>
  <si>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</si>
  <si>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</si>
  <si>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</si>
  <si>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</si>
  <si>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</si>
  <si>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</si>
  <si>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</si>
  <si>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</si>
  <si>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</si>
  <si>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</si>
  <si>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</si>
  <si>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</si>
  <si>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</si>
  <si>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</si>
  <si>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</si>
  <si>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</si>
  <si>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</si>
  <si>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</si>
  <si>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</si>
  <si>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</si>
  <si>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</si>
  <si>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</si>
  <si>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</si>
  <si>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</si>
  <si>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</si>
  <si>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</si>
  <si>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</si>
  <si>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</si>
  <si>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</si>
  <si>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</si>
  <si>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</si>
  <si>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</si>
  <si>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</si>
  <si>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</si>
  <si>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</si>
  <si>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</si>
  <si>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</si>
  <si>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</si>
  <si>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</si>
  <si>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</si>
  <si>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</si>
  <si>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</si>
  <si>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</si>
  <si>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</si>
  <si>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</si>
  <si>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</si>
  <si>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</si>
  <si>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</si>
  <si>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</si>
  <si>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</si>
  <si>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</si>
  <si>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</si>
  <si>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</si>
  <si>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</si>
  <si>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</si>
  <si>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</si>
  <si>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</si>
  <si>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</si>
  <si>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</si>
  <si>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</si>
  <si>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</si>
  <si>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</si>
  <si>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</si>
  <si>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</si>
  <si>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</si>
  <si>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</si>
  <si>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</si>
  <si>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</si>
  <si>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</si>
  <si>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</si>
  <si>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</si>
  <si>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</si>
  <si>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</si>
  <si>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</si>
  <si>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</si>
  <si>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</si>
  <si>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</si>
  <si>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</si>
  <si>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</si>
  <si>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</si>
  <si>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</si>
  <si>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</si>
  <si>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</si>
  <si>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</si>
  <si>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</si>
  <si>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</si>
  <si>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</si>
  <si>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</si>
  <si>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</si>
  <si>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</si>
  <si>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</si>
  <si>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</si>
  <si>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</si>
  <si>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</si>
  <si>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</si>
  <si>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</si>
  <si>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</si>
  <si>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</si>
  <si>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</si>
  <si>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</si>
  <si>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</si>
  <si>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</si>
  <si>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</si>
  <si>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</si>
  <si>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</si>
  <si>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</si>
  <si>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</si>
  <si>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</si>
  <si>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</si>
  <si>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</si>
  <si>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</si>
  <si>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</si>
  <si>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</si>
  <si>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</si>
  <si>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</si>
  <si>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</si>
  <si>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</si>
  <si>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</si>
  <si>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</si>
  <si>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</si>
  <si>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</si>
  <si>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</si>
  <si>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</si>
  <si>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</si>
  <si>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</si>
  <si>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</si>
  <si>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</si>
  <si>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</si>
  <si>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</si>
  <si>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</si>
  <si>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</si>
  <si>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</si>
  <si>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</si>
  <si>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</si>
  <si>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</si>
  <si>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</si>
  <si>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</si>
  <si>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</si>
  <si>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</si>
  <si>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</si>
  <si>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</si>
  <si>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</si>
  <si>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</si>
  <si>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</si>
  <si>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</si>
  <si>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</si>
  <si>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</si>
  <si>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</si>
  <si>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</si>
  <si>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</si>
  <si>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</si>
  <si>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</si>
  <si>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</si>
  <si>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</si>
  <si>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</si>
  <si>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</si>
  <si>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</si>
  <si>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</si>
  <si>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</si>
  <si>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</si>
  <si>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</si>
  <si>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</si>
  <si>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</si>
  <si>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</si>
  <si>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</si>
  <si>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</si>
  <si>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</si>
  <si>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</si>
  <si>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</si>
  <si>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</si>
  <si>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</si>
  <si>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</si>
  <si>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</si>
  <si>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</si>
  <si>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</si>
  <si>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</si>
  <si>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</si>
  <si>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</si>
  <si>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</si>
  <si>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</si>
  <si>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</si>
  <si>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</si>
  <si>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</si>
  <si>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</si>
  <si>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</si>
  <si>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</si>
  <si>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</si>
  <si>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</si>
  <si>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</si>
  <si>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</si>
  <si>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</si>
  <si>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</si>
  <si>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</si>
  <si>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</si>
  <si>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</si>
  <si>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</si>
  <si>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</si>
  <si>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</si>
  <si>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</si>
  <si>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</si>
  <si>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</si>
  <si>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</si>
  <si>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</si>
  <si>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</si>
  <si>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</si>
  <si>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</si>
  <si>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</si>
  <si>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</si>
  <si>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</si>
  <si>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</si>
  <si>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</si>
  <si>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</si>
  <si>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</si>
  <si>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</si>
  <si>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</si>
  <si>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</si>
  <si>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</si>
  <si>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</si>
  <si>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</si>
  <si>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</si>
  <si>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</si>
  <si>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</si>
  <si>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</si>
  <si>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</si>
  <si>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</si>
  <si>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</si>
  <si>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</si>
  <si>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</si>
  <si>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</si>
  <si>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</si>
  <si>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</si>
  <si>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</si>
  <si>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</si>
  <si>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</si>
  <si>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</si>
  <si>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</si>
  <si>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</si>
  <si>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</si>
  <si>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</si>
  <si>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</si>
  <si>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</si>
  <si>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</si>
  <si>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</si>
  <si>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</si>
  <si>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</si>
  <si>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</si>
  <si>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</si>
  <si>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</si>
  <si>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</si>
  <si>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</si>
  <si>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</si>
  <si>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</si>
  <si>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</si>
  <si>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</si>
  <si>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</si>
  <si>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</si>
  <si>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</si>
  <si>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</si>
  <si>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</si>
  <si>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</si>
  <si>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</si>
  <si>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</si>
  <si>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</si>
  <si>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</si>
  <si>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</si>
  <si>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</si>
  <si>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</si>
  <si>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</si>
  <si>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</si>
  <si>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</si>
  <si>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</si>
  <si>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</si>
  <si>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</si>
  <si>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</si>
  <si>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</si>
  <si>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</si>
  <si>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</si>
  <si>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</si>
  <si>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</si>
  <si>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</si>
  <si>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</si>
  <si>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</si>
  <si>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</si>
  <si>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</si>
  <si>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</si>
  <si>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</si>
  <si>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</si>
  <si>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</si>
  <si>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</si>
  <si>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</si>
  <si>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</si>
  <si>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</si>
  <si>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</si>
  <si>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</si>
  <si>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</si>
  <si>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</si>
  <si>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</si>
  <si>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</si>
  <si>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</si>
  <si>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</si>
  <si>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</si>
  <si>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</si>
  <si>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</si>
  <si>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</si>
  <si>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</si>
  <si>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</si>
  <si>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</si>
  <si>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</si>
  <si>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</si>
  <si>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</si>
  <si>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</si>
  <si>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</si>
  <si>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</si>
  <si>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</si>
  <si>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</si>
  <si>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</si>
  <si>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</si>
  <si>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</si>
  <si>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</si>
  <si>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</si>
  <si>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</si>
  <si>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</si>
  <si>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</si>
  <si>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</si>
  <si>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</si>
  <si>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</si>
  <si>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</si>
  <si>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</si>
  <si>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</si>
  <si>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</si>
  <si>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</si>
  <si>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</si>
  <si>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</si>
  <si>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</si>
  <si>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</si>
  <si>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</si>
  <si>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</si>
  <si>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</si>
  <si>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</si>
  <si>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</si>
  <si>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</si>
  <si>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</si>
  <si>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</si>
  <si>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</si>
  <si>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</si>
  <si>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</si>
  <si>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</si>
  <si>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</si>
  <si>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</si>
  <si>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</si>
  <si>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</si>
  <si>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</si>
  <si>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</si>
  <si>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</si>
  <si>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</si>
  <si>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</si>
  <si>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</si>
  <si>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</si>
  <si>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</si>
  <si>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</si>
  <si>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</si>
  <si>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</si>
  <si>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</si>
  <si>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</si>
  <si>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</si>
  <si>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</si>
  <si>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</si>
  <si>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</si>
  <si>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</si>
  <si>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</si>
  <si>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</si>
  <si>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</si>
  <si>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</si>
  <si>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</si>
  <si>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</si>
  <si>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</si>
  <si>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</si>
  <si>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</si>
  <si>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</si>
  <si>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</si>
  <si>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</si>
  <si>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</si>
  <si>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</si>
  <si>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</si>
  <si>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</si>
  <si>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</si>
  <si>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</si>
  <si>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</si>
  <si>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</si>
  <si>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</si>
  <si>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</si>
  <si>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</si>
  <si>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</si>
  <si>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</si>
  <si>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</si>
  <si>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</si>
  <si>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</si>
  <si>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</si>
  <si>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</si>
  <si>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</si>
  <si>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</si>
  <si>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</si>
  <si>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</si>
  <si>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</si>
  <si>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</si>
  <si>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</si>
  <si>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</si>
  <si>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</si>
  <si>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</si>
  <si>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</si>
  <si>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</si>
  <si>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</si>
  <si>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</si>
  <si>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</si>
  <si>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</si>
  <si>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</si>
  <si>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</si>
  <si>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</si>
  <si>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</si>
  <si>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</si>
  <si>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</si>
  <si>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</si>
  <si>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</si>
  <si>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</si>
  <si>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</si>
  <si>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</si>
  <si>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</si>
  <si>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</si>
  <si>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</si>
  <si>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</si>
  <si>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</si>
  <si>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</si>
  <si>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</si>
  <si>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</si>
  <si>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</si>
  <si>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</si>
  <si>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</si>
  <si>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</si>
  <si>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</si>
  <si>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</si>
  <si>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</si>
  <si>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</si>
  <si>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</si>
  <si>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</si>
  <si>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</si>
  <si>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</si>
  <si>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</si>
  <si>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</si>
  <si>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</si>
  <si>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</si>
  <si>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</si>
  <si>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</si>
  <si>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</si>
  <si>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</si>
  <si>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</si>
  <si>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</si>
  <si>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</si>
  <si>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</si>
  <si>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</si>
  <si>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</si>
  <si>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</si>
  <si>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</si>
  <si>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</si>
  <si>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</si>
  <si>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</si>
  <si>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</si>
  <si>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</si>
  <si>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</si>
  <si>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</si>
  <si>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</si>
  <si>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</si>
  <si>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</si>
  <si>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</si>
  <si>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</si>
  <si>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</si>
  <si>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</si>
  <si>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</si>
  <si>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</si>
  <si>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</si>
  <si>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</si>
  <si>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</si>
  <si>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</si>
  <si>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</si>
  <si>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</si>
  <si>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</si>
  <si>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</si>
  <si>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</si>
  <si>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</si>
  <si>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</si>
  <si>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</si>
  <si>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</si>
  <si>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</si>
  <si>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</si>
  <si>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</si>
  <si>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</si>
  <si>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</si>
  <si>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</si>
  <si>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</si>
  <si>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</si>
  <si>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</si>
  <si>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</si>
  <si>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</si>
  <si>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</si>
  <si>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</si>
  <si>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</si>
  <si>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</si>
  <si>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</si>
  <si>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</si>
  <si>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</si>
  <si>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</si>
  <si>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</si>
  <si>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</si>
  <si>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</si>
  <si>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</si>
  <si>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</si>
  <si>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</si>
  <si>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</si>
  <si>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</si>
  <si>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</si>
  <si>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</si>
  <si>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</si>
  <si>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</si>
  <si>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</si>
  <si>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</si>
  <si>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</si>
  <si>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</si>
  <si>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</si>
  <si>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</si>
  <si>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</si>
  <si>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</si>
  <si>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</si>
  <si>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</si>
  <si>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</si>
  <si>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</si>
  <si>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</si>
  <si>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</si>
  <si>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</si>
  <si>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</si>
  <si>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</si>
  <si>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</si>
  <si>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</si>
  <si>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</si>
  <si>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</si>
  <si>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</si>
  <si>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</si>
  <si>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</si>
  <si>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</si>
  <si>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</si>
  <si>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</si>
  <si>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</si>
  <si>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</si>
  <si>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</si>
  <si>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</si>
  <si>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</si>
  <si>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</si>
  <si>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</si>
  <si>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</si>
  <si>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</si>
  <si>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</si>
  <si>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</si>
  <si>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</si>
  <si>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</si>
  <si>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</si>
  <si>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</si>
  <si>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</si>
  <si>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</si>
  <si>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</si>
  <si>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</si>
  <si>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</si>
  <si>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</si>
  <si>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</si>
  <si>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</si>
  <si>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</si>
  <si>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</si>
  <si>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</si>
  <si>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</si>
  <si>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</si>
  <si>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</si>
  <si>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</si>
  <si>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</si>
  <si>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</si>
  <si>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</si>
  <si>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</si>
  <si>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</si>
  <si>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</si>
  <si>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</si>
  <si>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</si>
  <si>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</si>
  <si>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</si>
  <si>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</si>
  <si>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</si>
  <si>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</si>
  <si>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</si>
  <si>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</si>
  <si>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</si>
  <si>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</si>
  <si>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</si>
  <si>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</si>
  <si>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</si>
  <si>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</si>
  <si>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</si>
  <si>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</si>
  <si>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</si>
  <si>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</si>
  <si>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</si>
  <si>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</si>
  <si>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</si>
  <si>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</si>
  <si>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</si>
  <si>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</si>
  <si>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</si>
  <si>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</si>
  <si>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</si>
  <si>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</si>
  <si>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</si>
  <si>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</si>
  <si>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</si>
  <si>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</si>
  <si>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</si>
  <si>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</si>
  <si>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</si>
  <si>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</si>
  <si>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</si>
  <si>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</si>
  <si>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</si>
  <si>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</si>
  <si>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</si>
  <si>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</si>
  <si>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</si>
  <si>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</si>
  <si>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</si>
  <si>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</si>
  <si>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</si>
  <si>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</si>
  <si>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</si>
  <si>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</si>
  <si>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</si>
  <si>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</si>
  <si>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</si>
  <si>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</si>
  <si>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</si>
  <si>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</si>
  <si>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</si>
  <si>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</si>
  <si>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</si>
  <si>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</si>
  <si>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</si>
  <si>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</si>
  <si>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</si>
  <si>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</si>
  <si>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</si>
  <si>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</si>
  <si>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</si>
  <si>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</si>
  <si>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</si>
  <si>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</si>
  <si>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</si>
  <si>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</si>
  <si>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</si>
  <si>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</si>
  <si>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</si>
  <si>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</si>
  <si>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</si>
  <si>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</si>
  <si>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</si>
  <si>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</si>
  <si>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</si>
  <si>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</si>
  <si>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</si>
  <si>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</si>
  <si>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</si>
  <si>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</si>
  <si>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</si>
  <si>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</si>
  <si>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</si>
  <si>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</si>
  <si>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</si>
  <si>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</si>
  <si>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</si>
  <si>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</si>
  <si>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</si>
  <si>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</si>
  <si>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</si>
  <si>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</si>
  <si>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</si>
  <si>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</si>
  <si>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</si>
  <si>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</si>
  <si>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</si>
  <si>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</si>
  <si>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</si>
  <si>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</si>
  <si>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</si>
  <si>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</si>
  <si>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</si>
  <si>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</si>
  <si>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</si>
  <si>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</si>
  <si>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</si>
  <si>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</si>
  <si>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</si>
  <si>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</si>
  <si>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</si>
  <si>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</si>
  <si>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</si>
  <si>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</si>
  <si>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</si>
  <si>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</si>
  <si>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</si>
  <si>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</si>
  <si>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</si>
  <si>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</si>
  <si>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</si>
  <si>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</si>
  <si>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</si>
  <si>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</si>
  <si>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</si>
  <si>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</si>
  <si>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</si>
  <si>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</si>
  <si>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</si>
  <si>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</si>
  <si>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</si>
  <si>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</si>
  <si>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</si>
  <si>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</si>
  <si>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</si>
  <si>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</si>
  <si>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</si>
  <si>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</si>
  <si>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</si>
  <si>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</si>
  <si>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</si>
  <si>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</si>
  <si>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</si>
  <si>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</si>
  <si>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</si>
  <si>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</si>
  <si>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</si>
  <si>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</si>
  <si>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</si>
  <si>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</si>
  <si>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</si>
  <si>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</si>
  <si>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</si>
  <si>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</si>
  <si>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</si>
  <si>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</si>
  <si>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</si>
  <si>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</si>
  <si>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</si>
  <si>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</si>
  <si>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</si>
  <si>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</si>
  <si>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</si>
  <si>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</si>
  <si>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</si>
  <si>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</si>
  <si>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</si>
  <si>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</si>
  <si>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</si>
  <si>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</si>
  <si>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</si>
  <si>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</si>
  <si>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</si>
  <si>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</si>
  <si>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</si>
  <si>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</si>
  <si>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</si>
  <si>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</si>
  <si>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</si>
  <si>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</si>
  <si>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</si>
  <si>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</si>
  <si>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</si>
  <si>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</si>
  <si>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</si>
  <si>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</si>
  <si>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</si>
  <si>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</si>
  <si>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</si>
  <si>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</si>
  <si>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</si>
  <si>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</si>
  <si>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</si>
  <si>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</si>
  <si>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</si>
  <si>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</si>
  <si>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</si>
  <si>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</si>
  <si>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</si>
  <si>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</si>
  <si>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</si>
  <si>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</si>
  <si>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</si>
  <si>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</si>
  <si>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</si>
  <si>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</si>
  <si>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</si>
  <si>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</si>
  <si>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</si>
  <si>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</si>
  <si>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</si>
  <si>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</si>
  <si>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</si>
  <si>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</si>
  <si>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</si>
  <si>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</si>
  <si>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</si>
  <si>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</si>
  <si>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</si>
  <si>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</si>
  <si>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</si>
  <si>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</si>
  <si>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</si>
  <si>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</si>
  <si>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</si>
  <si>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</si>
  <si>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</si>
  <si>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</si>
  <si>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</si>
  <si>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</si>
  <si>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</si>
  <si>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</si>
  <si>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</si>
  <si>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</si>
  <si>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</si>
  <si>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</si>
  <si>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</si>
  <si>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</si>
  <si>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</si>
  <si>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</si>
  <si>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</si>
  <si>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</si>
  <si>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</si>
  <si>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</si>
  <si>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</si>
  <si>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</si>
  <si>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</si>
  <si>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</si>
  <si>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</si>
  <si>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</si>
  <si>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</si>
  <si>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</si>
  <si>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</si>
  <si>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</si>
  <si>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</si>
  <si>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</si>
  <si>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</si>
  <si>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</si>
  <si>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</si>
  <si>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</si>
  <si>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</si>
  <si>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</si>
  <si>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</si>
  <si>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</si>
  <si>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</si>
  <si>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</si>
  <si>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</si>
  <si>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</si>
  <si>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</si>
  <si>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</si>
  <si>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</si>
  <si>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</si>
  <si>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</si>
  <si>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</si>
  <si>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</si>
  <si>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</si>
  <si>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</si>
  <si>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</si>
  <si>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</si>
  <si>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</si>
  <si>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</si>
  <si>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</si>
  <si>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</si>
  <si>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</si>
  <si>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</si>
  <si>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</si>
  <si>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</si>
  <si>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</si>
  <si>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</si>
  <si>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</si>
  <si>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</si>
  <si>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</si>
  <si>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</si>
  <si>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</si>
  <si>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</si>
  <si>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</si>
  <si>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</si>
  <si>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</si>
  <si>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</si>
  <si>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</si>
  <si>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</si>
  <si>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</si>
  <si>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</si>
  <si>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</si>
  <si>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</si>
  <si>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</si>
  <si>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</si>
  <si>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</si>
  <si>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</si>
  <si>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</si>
  <si>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</si>
  <si>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</si>
  <si>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</si>
  <si>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</si>
  <si>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</si>
  <si>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</si>
  <si>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</si>
  <si>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</si>
  <si>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</si>
  <si>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</si>
  <si>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</si>
  <si>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</si>
  <si>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</si>
  <si>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</si>
  <si>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</si>
  <si>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</si>
  <si>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</si>
  <si>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</si>
  <si>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</si>
  <si>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</si>
  <si>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</si>
  <si>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</si>
  <si>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</si>
  <si>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</si>
  <si>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</si>
  <si>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</si>
  <si>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</si>
  <si>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</si>
  <si>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</si>
  <si>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</si>
  <si>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</si>
  <si>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</si>
  <si>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</si>
  <si>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</si>
  <si>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</si>
  <si>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</si>
  <si>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</si>
  <si>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</si>
  <si>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</si>
  <si>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</si>
  <si>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</si>
  <si>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</si>
  <si>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</si>
  <si>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</si>
  <si>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</si>
  <si>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</si>
  <si>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</si>
  <si>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</si>
  <si>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</si>
  <si>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</si>
  <si>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</si>
  <si>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</si>
  <si>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</si>
  <si>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</si>
  <si>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</si>
  <si>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</si>
  <si>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</si>
  <si>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</si>
  <si>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</si>
  <si>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</si>
  <si>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</si>
  <si>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</si>
  <si>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</si>
  <si>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</si>
  <si>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</si>
  <si>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</si>
  <si>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</si>
  <si>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</si>
  <si>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</si>
  <si>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</si>
  <si>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</si>
  <si>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</si>
  <si>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</si>
  <si>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</si>
  <si>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</si>
  <si>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</si>
  <si>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</si>
  <si>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</si>
  <si>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</si>
  <si>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</si>
  <si>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</si>
  <si>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</si>
  <si>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</si>
  <si>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</si>
  <si>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</si>
  <si>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</si>
  <si>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</si>
  <si>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</si>
  <si>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</si>
  <si>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</si>
  <si>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</si>
  <si>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</si>
  <si>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</si>
  <si>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</si>
  <si>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</si>
  <si>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</si>
  <si>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</si>
  <si>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</si>
  <si>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</si>
  <si>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</si>
  <si>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</si>
  <si>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</si>
  <si>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</si>
  <si>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</si>
  <si>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</si>
  <si>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</si>
  <si>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</si>
  <si>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</si>
  <si>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</si>
  <si>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</si>
  <si>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</si>
  <si>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</si>
  <si>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</si>
  <si>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</si>
  <si>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</si>
  <si>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</si>
  <si>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</si>
  <si>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</si>
  <si>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</si>
  <si>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</si>
  <si>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</si>
  <si>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</si>
  <si>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</si>
  <si>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</si>
  <si>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</si>
  <si>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</si>
  <si>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</si>
  <si>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</si>
  <si>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</si>
  <si>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</si>
  <si>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</si>
  <si>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</si>
  <si>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</si>
  <si>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</si>
  <si>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</si>
  <si>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</si>
  <si>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</si>
  <si>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</si>
  <si>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</si>
  <si>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</si>
  <si>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</si>
  <si>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</si>
  <si>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</si>
  <si>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</si>
  <si>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</si>
  <si>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</si>
  <si>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</si>
  <si>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</si>
  <si>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</si>
  <si>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</si>
  <si>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</si>
  <si>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</si>
  <si>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</si>
  <si>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</si>
  <si>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</si>
  <si>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</si>
  <si>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</si>
  <si>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</si>
  <si>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</si>
  <si>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</si>
  <si>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</si>
  <si>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</si>
  <si>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</si>
  <si>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</si>
  <si>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</si>
  <si>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</si>
  <si>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</si>
  <si>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</si>
  <si>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</si>
  <si>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</si>
  <si>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</si>
  <si>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</si>
  <si>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</si>
  <si>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</si>
  <si>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</si>
  <si>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</si>
  <si>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</si>
  <si>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</si>
  <si>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</si>
  <si>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</si>
  <si>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</si>
  <si>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</si>
  <si>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</si>
  <si>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</si>
  <si>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</si>
  <si>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</si>
  <si>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</si>
  <si>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</si>
  <si>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</si>
  <si>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</si>
  <si>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</si>
  <si>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</si>
  <si>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</si>
  <si>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</si>
  <si>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</si>
  <si>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</si>
  <si>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</si>
  <si>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</si>
  <si>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</si>
  <si>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</si>
  <si>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</si>
  <si>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</si>
  <si>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</si>
  <si>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</si>
  <si>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</si>
  <si>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</si>
  <si>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</si>
  <si>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</si>
  <si>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</si>
  <si>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</si>
  <si>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</si>
  <si>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</si>
  <si>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</si>
  <si>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</si>
  <si>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</si>
  <si>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</si>
  <si>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</si>
  <si>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</si>
  <si>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</si>
  <si>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</si>
  <si>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</si>
  <si>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</si>
  <si>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</si>
  <si>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</si>
  <si>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</si>
  <si>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</si>
  <si>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</si>
  <si>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</si>
  <si>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</si>
  <si>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</si>
  <si>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</si>
  <si>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</si>
  <si>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</si>
  <si>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</si>
  <si>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</si>
  <si>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</si>
  <si>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</si>
  <si>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</si>
  <si>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</si>
  <si>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</si>
  <si>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</si>
  <si>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</si>
  <si>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</si>
  <si>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</si>
  <si>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</si>
  <si>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</si>
  <si>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</si>
  <si>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</si>
  <si>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</si>
  <si>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</si>
  <si>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</si>
  <si>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</si>
  <si>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</si>
  <si>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</si>
  <si>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</si>
  <si>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</si>
  <si>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</si>
  <si>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</si>
  <si>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</si>
  <si>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</si>
  <si>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</si>
  <si>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</si>
  <si>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</si>
  <si>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</si>
  <si>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</si>
  <si>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</si>
  <si>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</si>
  <si>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</si>
  <si>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</si>
  <si>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</si>
  <si>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</si>
  <si>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</si>
  <si>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</si>
  <si>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</si>
  <si>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</si>
  <si>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</si>
  <si>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</si>
  <si>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</si>
  <si>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</si>
  <si>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</si>
  <si>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</si>
  <si>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</si>
  <si>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</si>
  <si>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</si>
  <si>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</si>
  <si>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</si>
  <si>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</si>
  <si>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</si>
  <si>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</si>
  <si>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</si>
  <si>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</si>
  <si>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</si>
  <si>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</si>
  <si>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</si>
  <si>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</si>
  <si>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</si>
  <si>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</si>
  <si>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</si>
  <si>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</si>
  <si>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</si>
  <si>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</si>
  <si>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</si>
  <si>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</si>
  <si>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</si>
  <si>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</si>
  <si>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</si>
  <si>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</si>
  <si>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</si>
  <si>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</si>
  <si>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</si>
  <si>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</si>
  <si>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</si>
  <si>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</si>
  <si>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</si>
  <si>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</si>
  <si>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</si>
  <si>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</si>
  <si>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</si>
  <si>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</si>
  <si>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</si>
  <si>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</si>
  <si>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</si>
  <si>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</si>
  <si>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</si>
  <si>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</si>
  <si>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</si>
  <si>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</si>
  <si>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</si>
  <si>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</si>
  <si>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</si>
  <si>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</si>
  <si>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</si>
  <si>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</si>
  <si>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</si>
  <si>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</si>
  <si>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</si>
  <si>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</si>
  <si>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</si>
  <si>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</si>
  <si>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</si>
  <si>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</si>
  <si>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</si>
  <si>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</si>
  <si>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</si>
  <si>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</si>
  <si>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</si>
  <si>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</si>
  <si>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</si>
  <si>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</si>
  <si>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</si>
  <si>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</si>
  <si>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</si>
  <si>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</si>
  <si>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</si>
  <si>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</si>
  <si>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</si>
  <si>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</si>
  <si>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</si>
  <si>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</si>
  <si>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</si>
  <si>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</si>
  <si>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</si>
  <si>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</si>
  <si>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</si>
  <si>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</si>
  <si>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</si>
  <si>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</si>
  <si>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</si>
  <si>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</si>
  <si>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</si>
  <si>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</si>
  <si>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</si>
  <si>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</si>
  <si>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</si>
  <si>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</si>
  <si>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</si>
  <si>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</si>
  <si>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</si>
  <si>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</si>
  <si>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</si>
  <si>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</si>
  <si>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</si>
  <si>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</si>
  <si>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</si>
  <si>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</si>
  <si>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</si>
  <si>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</si>
  <si>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</si>
  <si>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</si>
  <si>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</si>
  <si>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</si>
  <si>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</si>
  <si>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</si>
  <si>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</si>
  <si>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</si>
  <si>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</si>
  <si>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</si>
  <si>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</si>
  <si>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</si>
  <si>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</si>
  <si>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</si>
  <si>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</si>
  <si>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</si>
  <si>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</si>
  <si>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</si>
  <si>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</si>
  <si>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</si>
  <si>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</si>
  <si>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</si>
  <si>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</si>
  <si>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</si>
  <si>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</si>
  <si>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</si>
  <si>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</si>
  <si>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</si>
  <si>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</si>
  <si>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</si>
  <si>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</si>
  <si>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</si>
  <si>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</si>
  <si>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</si>
  <si>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</si>
  <si>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</si>
  <si>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</si>
  <si>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</si>
  <si>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</si>
  <si>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</si>
  <si>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</si>
  <si>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</si>
  <si>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</si>
  <si>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</si>
  <si>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</si>
  <si>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</si>
  <si>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</si>
  <si>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</si>
  <si>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</si>
  <si>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</si>
  <si>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</si>
  <si>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</si>
  <si>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</si>
  <si>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</si>
  <si>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</si>
  <si>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</si>
  <si>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</si>
  <si>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</si>
  <si>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</si>
  <si>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</si>
  <si>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</si>
  <si>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</si>
  <si>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</si>
  <si>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</si>
  <si>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</si>
  <si>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</si>
  <si>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</si>
  <si>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</si>
  <si>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</si>
  <si>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</si>
  <si>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</si>
  <si>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</si>
  <si>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</si>
  <si>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</si>
  <si>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</si>
  <si>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</si>
  <si>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</si>
  <si>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</si>
  <si>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</si>
  <si>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</si>
  <si>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</si>
  <si>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</si>
  <si>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</si>
  <si>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</si>
  <si>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</si>
  <si>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</si>
  <si>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</si>
  <si>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</si>
  <si>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</si>
  <si>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</si>
  <si>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</si>
  <si>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</si>
  <si>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</si>
  <si>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</si>
  <si>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</si>
  <si>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</si>
  <si>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</si>
  <si>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</si>
  <si>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</si>
  <si>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</si>
  <si>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</si>
  <si>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</si>
  <si>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</si>
  <si>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</si>
  <si>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</si>
  <si>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</si>
  <si>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</si>
  <si>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</si>
  <si>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</si>
  <si>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</si>
  <si>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</si>
  <si>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</si>
  <si>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</si>
  <si>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</si>
  <si>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</si>
  <si>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</si>
  <si>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</si>
  <si>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</si>
  <si>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</si>
  <si>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</si>
  <si>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</si>
  <si>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</si>
  <si>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</si>
  <si>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</si>
  <si>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</si>
  <si>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</si>
  <si>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</si>
  <si>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</si>
  <si>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</si>
  <si>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</si>
  <si>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</si>
  <si>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</si>
  <si>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</si>
  <si>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</si>
  <si>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</si>
  <si>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</si>
  <si>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</si>
  <si>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</si>
  <si>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</si>
  <si>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</si>
  <si>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</si>
  <si>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</si>
  <si>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</si>
  <si>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</si>
  <si>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</si>
  <si>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</si>
  <si>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</si>
  <si>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</si>
  <si>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</si>
  <si>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</si>
  <si>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</si>
  <si>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</si>
  <si>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</si>
  <si>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</si>
  <si>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</si>
  <si>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</si>
  <si>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</si>
  <si>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</si>
  <si>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</si>
  <si>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</si>
  <si>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</si>
  <si>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</si>
  <si>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</si>
  <si>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</si>
  <si>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</si>
  <si>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</si>
  <si>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</si>
  <si>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</si>
  <si>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</si>
  <si>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</si>
  <si>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</si>
  <si>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</si>
  <si>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</si>
  <si>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</si>
  <si>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</si>
  <si>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</si>
  <si>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</si>
  <si>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</si>
  <si>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</si>
  <si>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</si>
  <si>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</si>
  <si>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</si>
  <si>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</si>
  <si>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</si>
  <si>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</si>
  <si>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</si>
  <si>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</si>
  <si>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</si>
  <si>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</si>
  <si>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</si>
  <si>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</si>
  <si>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</si>
  <si>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</si>
  <si>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</si>
  <si>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</si>
  <si>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</si>
  <si>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</si>
  <si>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</si>
  <si>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</si>
  <si>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</si>
  <si>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</si>
  <si>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</si>
  <si>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</si>
  <si>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</si>
  <si>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</si>
  <si>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</si>
  <si>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</si>
  <si>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</si>
  <si>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</si>
  <si>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</si>
  <si>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</si>
  <si>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</si>
  <si>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</si>
  <si>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</si>
  <si>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</si>
  <si>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</si>
  <si>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</si>
  <si>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</si>
  <si>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</si>
  <si>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</si>
  <si>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</si>
  <si>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</si>
  <si>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</si>
  <si>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</si>
  <si>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</si>
  <si>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</si>
  <si>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</si>
  <si>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</si>
  <si>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</si>
  <si>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</si>
  <si>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</si>
  <si>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</si>
  <si>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</si>
  <si>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</si>
  <si>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</si>
  <si>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</si>
  <si>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</si>
  <si>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</si>
  <si>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</si>
  <si>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</si>
  <si>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</si>
  <si>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</si>
  <si>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</si>
  <si>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</si>
  <si>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</si>
  <si>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</si>
  <si>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</si>
  <si>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</si>
  <si>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</si>
  <si>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</si>
  <si>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</si>
  <si>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</si>
  <si>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</si>
  <si>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</si>
  <si>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</si>
  <si>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</si>
  <si>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</si>
  <si>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</si>
  <si>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</si>
  <si>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</si>
  <si>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</si>
  <si>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</si>
  <si>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</si>
  <si>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</si>
  <si>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</si>
  <si>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</si>
  <si>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</si>
  <si>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</si>
  <si>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</si>
  <si>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</si>
  <si>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</si>
  <si>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</si>
  <si>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</si>
  <si>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</si>
  <si>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</si>
  <si>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</si>
  <si>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</si>
  <si>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</si>
  <si>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</si>
  <si>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</si>
  <si>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</si>
  <si>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</si>
  <si>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</si>
  <si>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</si>
  <si>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</si>
  <si>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</si>
  <si>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</si>
  <si>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</si>
  <si>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</si>
  <si>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</si>
  <si>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</si>
  <si>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</si>
  <si>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</si>
  <si>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</si>
  <si>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</si>
  <si>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</si>
  <si>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</si>
  <si>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</si>
  <si>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</si>
  <si>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</si>
  <si>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</si>
  <si>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</si>
  <si>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</si>
  <si>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</si>
  <si>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</si>
  <si>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</si>
  <si>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</si>
  <si>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</si>
  <si>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</si>
  <si>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</si>
  <si>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</si>
  <si>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</si>
  <si>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</si>
  <si>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</si>
  <si>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</si>
  <si>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</si>
  <si>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</si>
  <si>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</si>
  <si>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</si>
  <si>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</si>
  <si>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</si>
  <si>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</si>
  <si>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</si>
  <si>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</si>
  <si>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</si>
  <si>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</si>
  <si>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</si>
  <si>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</si>
  <si>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</si>
  <si>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</si>
  <si>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</si>
  <si>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</si>
  <si>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</si>
  <si>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</si>
  <si>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</si>
  <si>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</si>
  <si>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</si>
  <si>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</si>
  <si>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</si>
  <si>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</si>
  <si>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</si>
  <si>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</si>
  <si>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</si>
  <si>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</si>
  <si>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</si>
  <si>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</si>
  <si>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</si>
  <si>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</si>
  <si>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</si>
  <si>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</si>
  <si>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</si>
  <si>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</si>
  <si>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</si>
  <si>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</si>
  <si>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</si>
  <si>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</si>
  <si>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</si>
  <si>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</si>
  <si>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</si>
  <si>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</si>
  <si>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</si>
  <si>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</si>
  <si>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</si>
  <si>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</si>
  <si>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</si>
  <si>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</si>
  <si>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</si>
  <si>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</si>
  <si>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</si>
  <si>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</si>
  <si>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</si>
  <si>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</si>
  <si>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</si>
  <si>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</si>
  <si>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</si>
  <si>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</si>
  <si>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</si>
  <si>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</si>
  <si>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</si>
  <si>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</si>
  <si>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</si>
  <si>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</si>
  <si>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</si>
  <si>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</si>
  <si>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</si>
  <si>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</si>
  <si>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</si>
  <si>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</si>
  <si>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</si>
  <si>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</si>
  <si>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</si>
  <si>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</si>
  <si>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</si>
  <si>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</si>
  <si>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</si>
  <si>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</si>
  <si>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</si>
  <si>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</si>
  <si>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</si>
  <si>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</si>
  <si>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</si>
  <si>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</si>
  <si>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</si>
  <si>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</si>
  <si>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</si>
  <si>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</si>
  <si>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</si>
  <si>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</si>
  <si>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</si>
  <si>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</si>
  <si>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</si>
  <si>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</si>
  <si>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</si>
  <si>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</si>
  <si>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</si>
  <si>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</si>
  <si>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</si>
  <si>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</si>
  <si>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</si>
  <si>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</si>
  <si>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</si>
  <si>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</si>
  <si>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</si>
  <si>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</si>
  <si>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</si>
  <si>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</si>
  <si>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</si>
  <si>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</si>
  <si>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</si>
  <si>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</si>
  <si>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</si>
  <si>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</si>
  <si>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</si>
  <si>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</si>
  <si>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 (ad hoc ER at $100); replace from IPCC research report. Lever: biocarbon for charge/injection carbon; electrode efficiency</t>
  </si>
  <si>
    <t>PLACEHOLDER (ad hoc ER at $100); replace from IPCC research report. Lever: n/a (no = 0)</t>
  </si>
  <si>
    <t>placeholder</t>
  </si>
  <si>
    <t>PLACEHOLDER (ad hoc ER at $100); replace from IPCC research report. Lever: flux (carbonate) reduction; deep options are process change/CCS</t>
  </si>
  <si>
    <t>PLACEHOLDER (ad hoc ER at $100); replace from IPCC research report. Lever: decarbonated raw materials; CCS excluded before 2035</t>
  </si>
  <si>
    <t>PLACEHOLDER (ad hoc ER at $100); replace from IPCC research report. Lever: n/a (np = 0; SMR CO2 is fp)</t>
  </si>
  <si>
    <t>PLACEHOLDER (ad hoc ER at $100); replace from IPCC research report. Lever: n/a (np &lt; 0, captured CO2)</t>
  </si>
  <si>
    <t>PLACEHOLDER (ad hoc ER at $100); replace from IPCC research report. Lever: n/a (np = 0)</t>
  </si>
  <si>
    <t>PLACEHOLDER (ad hoc ER at $100); replace from IPCC research report. Lever: nitric-acid N2O: secondary/tertiary catalysts, NSCR</t>
  </si>
  <si>
    <t>PLACEHOLDER (ad hoc ER at $100); replace from IPCC research report. Lever: anode carbon consumption; inert anodes not commercial before 2035</t>
  </si>
  <si>
    <t>PLACEHOLDER (ad hoc ER at $100); replace from IPCC research report. Lever: PFC: anode-effect management, point feeders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</si>
  <si>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</si>
  <si>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</si>
  <si>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</si>
  <si>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</si>
  <si>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</si>
  <si>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</si>
  <si>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</si>
  <si>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</si>
  <si>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</si>
  <si>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</si>
  <si>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</si>
  <si>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</si>
  <si>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</si>
  <si>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</si>
  <si>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</si>
  <si>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</si>
  <si>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</si>
  <si>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</si>
  <si>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</si>
  <si>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</si>
  <si>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</si>
  <si>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</si>
  <si>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</si>
  <si>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</si>
  <si>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</si>
  <si>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</si>
  <si>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</si>
  <si>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</si>
  <si>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</si>
  <si>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</si>
  <si>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</si>
  <si>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</si>
  <si>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</si>
  <si>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</si>
  <si>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</si>
  <si>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</si>
  <si>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</si>
  <si>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</si>
  <si>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</si>
  <si>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</si>
  <si>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</si>
  <si>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</si>
  <si>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</si>
  <si>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</si>
  <si>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</si>
  <si>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</si>
  <si>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</si>
  <si>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</si>
  <si>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</si>
  <si>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</si>
  <si>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</si>
  <si>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</si>
  <si>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</si>
  <si>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</si>
  <si>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</si>
  <si>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</si>
  <si>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</si>
  <si>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</si>
  <si>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</si>
  <si>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</si>
  <si>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</si>
  <si>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</si>
  <si>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</si>
  <si>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</si>
  <si>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</si>
  <si>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</si>
  <si>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</si>
  <si>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</si>
  <si>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</si>
  <si>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</si>
  <si>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</si>
  <si>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</si>
  <si>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</si>
  <si>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</si>
  <si>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</si>
  <si>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</si>
  <si>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</si>
  <si>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</si>
  <si>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</si>
  <si>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</si>
  <si>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</si>
  <si>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</si>
  <si>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</si>
  <si>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</si>
  <si>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</si>
  <si>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</si>
  <si>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</si>
  <si>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</si>
  <si>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</si>
  <si>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</si>
  <si>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</si>
  <si>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</si>
  <si>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</si>
  <si>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</si>
  <si>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</si>
  <si>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</si>
  <si>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</si>
  <si>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</si>
  <si>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</si>
  <si>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</si>
  <si>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</si>
  <si>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</si>
  <si>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</si>
  <si>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</si>
  <si>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</si>
  <si>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</si>
  <si>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</si>
  <si>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</si>
  <si>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</si>
  <si>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</si>
  <si>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</si>
  <si>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</si>
  <si>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</si>
  <si>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</si>
  <si>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</si>
  <si>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</si>
  <si>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</si>
  <si>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</si>
  <si>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</si>
  <si>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</si>
  <si>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</si>
  <si>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</si>
  <si>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</si>
  <si>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</si>
  <si>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</si>
  <si>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</si>
  <si>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</si>
  <si>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</si>
  <si>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</si>
  <si>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</si>
  <si>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</si>
  <si>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</si>
  <si>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</si>
  <si>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</si>
  <si>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</si>
  <si>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</si>
  <si>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</si>
  <si>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</si>
  <si>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</si>
  <si>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</si>
  <si>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</si>
  <si>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</si>
  <si>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</si>
  <si>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</si>
  <si>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</si>
  <si>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</si>
  <si>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</si>
  <si>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</si>
  <si>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</si>
  <si>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</si>
  <si>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</si>
  <si>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</si>
  <si>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</si>
  <si>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</si>
  <si>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</si>
  <si>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</si>
  <si>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</si>
  <si>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</si>
  <si>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</si>
  <si>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</si>
  <si>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</si>
  <si>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</si>
  <si>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</si>
  <si>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</si>
  <si>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</si>
  <si>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</si>
  <si>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</si>
  <si>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</si>
  <si>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</si>
  <si>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</si>
  <si>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</si>
  <si>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</si>
  <si>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</si>
  <si>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</si>
  <si>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</si>
  <si>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</si>
  <si>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</si>
  <si>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</si>
  <si>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</si>
  <si>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</si>
  <si>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</si>
  <si>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</si>
  <si>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</si>
  <si>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</si>
  <si>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</si>
  <si>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</si>
  <si>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</si>
  <si>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</si>
  <si>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</si>
  <si>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</si>
  <si>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</si>
  <si>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</si>
  <si>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</si>
  <si>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</si>
  <si>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</si>
  <si>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</si>
  <si>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</si>
  <si>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</si>
  <si>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</si>
  <si>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</si>
  <si>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</si>
  <si>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</si>
  <si>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</si>
  <si>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</si>
  <si>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</si>
  <si>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</si>
  <si>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</si>
  <si>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</si>
  <si>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</si>
  <si>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</si>
  <si>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</si>
  <si>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</si>
  <si>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</si>
  <si>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</si>
  <si>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</si>
  <si>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</si>
  <si>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</si>
  <si>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</si>
  <si>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</si>
  <si>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</si>
  <si>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</si>
  <si>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</si>
  <si>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</si>
  <si>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</si>
  <si>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</si>
  <si>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</si>
  <si>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</si>
  <si>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</si>
  <si>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</si>
  <si>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</si>
  <si>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</si>
  <si>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</si>
  <si>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</si>
  <si>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</si>
  <si>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</si>
  <si>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</si>
  <si>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</si>
  <si>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</si>
  <si>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</si>
  <si>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</si>
  <si>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</si>
  <si>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</si>
  <si>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</si>
  <si>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</si>
  <si>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</si>
  <si>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</si>
  <si>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</si>
  <si>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</si>
  <si>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</si>
  <si>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</si>
  <si>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</si>
  <si>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</si>
  <si>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</si>
  <si>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</si>
  <si>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</si>
  <si>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</si>
  <si>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</si>
  <si>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</si>
  <si>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</si>
  <si>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</si>
  <si>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</si>
  <si>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</si>
  <si>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</si>
  <si>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</si>
  <si>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</si>
  <si>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</si>
  <si>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</si>
  <si>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</si>
  <si>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</si>
  <si>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</si>
  <si>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</si>
  <si>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</si>
  <si>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</si>
  <si>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</si>
  <si>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</si>
  <si>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</si>
  <si>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</si>
  <si>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</si>
  <si>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</si>
  <si>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</si>
  <si>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</si>
  <si>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</si>
  <si>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</si>
  <si>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</si>
  <si>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</si>
  <si>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</si>
  <si>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</si>
  <si>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</si>
  <si>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</si>
  <si>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</si>
  <si>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</si>
  <si>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</si>
  <si>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</si>
  <si>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</si>
  <si>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</si>
  <si>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</si>
  <si>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</si>
  <si>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</si>
  <si>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</si>
  <si>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</si>
  <si>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</si>
  <si>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</si>
  <si>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</si>
  <si>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</si>
  <si>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</si>
  <si>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</si>
  <si>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</si>
  <si>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</si>
  <si>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</si>
  <si>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</si>
  <si>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</si>
  <si>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</si>
  <si>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</si>
  <si>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</si>
  <si>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</si>
  <si>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</si>
  <si>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</si>
  <si>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</si>
  <si>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</si>
  <si>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</si>
  <si>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</si>
  <si>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</si>
  <si>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</si>
  <si>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</si>
  <si>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</si>
  <si>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</si>
  <si>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</si>
  <si>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</si>
  <si>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</si>
  <si>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</si>
  <si>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</si>
  <si>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</si>
  <si>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</si>
  <si>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</si>
  <si>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</si>
  <si>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</si>
  <si>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</si>
  <si>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</si>
  <si>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</si>
  <si>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</si>
  <si>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</si>
  <si>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</si>
  <si>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</si>
  <si>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</si>
  <si>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</si>
  <si>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</si>
  <si>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</si>
  <si>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</si>
  <si>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</si>
  <si>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</si>
  <si>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</si>
  <si>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</si>
  <si>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</si>
  <si>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</si>
  <si>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</si>
  <si>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</si>
  <si>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</si>
  <si>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</si>
  <si>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</si>
  <si>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</si>
  <si>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</si>
  <si>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</si>
  <si>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</si>
  <si>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</si>
  <si>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</si>
  <si>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</si>
  <si>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</si>
  <si>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</si>
  <si>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</si>
  <si>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</si>
  <si>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</si>
  <si>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</si>
  <si>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</si>
  <si>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</si>
  <si>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</si>
  <si>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</si>
  <si>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</si>
  <si>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</si>
  <si>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</si>
  <si>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</si>
  <si>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</si>
  <si>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</si>
  <si>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</si>
  <si>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</si>
  <si>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</si>
  <si>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</si>
  <si>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</si>
  <si>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</si>
  <si>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</si>
  <si>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</si>
  <si>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</si>
  <si>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</si>
  <si>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</si>
  <si>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</si>
  <si>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</si>
  <si>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</si>
  <si>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</si>
  <si>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</si>
  <si>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</si>
  <si>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</si>
  <si>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</si>
  <si>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</si>
  <si>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</si>
  <si>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</si>
  <si>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</si>
  <si>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</si>
  <si>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</si>
  <si>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</si>
  <si>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</si>
  <si>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</si>
  <si>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</si>
  <si>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</si>
  <si>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</si>
  <si>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</si>
  <si>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</si>
  <si>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</si>
  <si>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</si>
  <si>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</si>
  <si>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</si>
  <si>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</si>
  <si>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</si>
  <si>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</si>
  <si>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</si>
  <si>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</si>
  <si>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</si>
  <si>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</si>
  <si>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</si>
  <si>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</si>
  <si>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</si>
  <si>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</si>
  <si>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</si>
  <si>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</si>
  <si>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</si>
  <si>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</si>
  <si>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</si>
  <si>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</si>
  <si>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</si>
  <si>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</si>
  <si>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</si>
  <si>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</si>
  <si>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</si>
  <si>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</si>
  <si>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</si>
  <si>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</si>
  <si>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</si>
  <si>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</si>
  <si>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</si>
  <si>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</si>
  <si>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</si>
  <si>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</si>
  <si>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</si>
  <si>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</si>
  <si>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</si>
  <si>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</si>
  <si>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</si>
  <si>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</si>
  <si>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</si>
  <si>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</si>
  <si>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</si>
  <si>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</si>
  <si>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</si>
  <si>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</si>
  <si>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</si>
  <si>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</si>
  <si>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</si>
  <si>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</si>
  <si>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</si>
  <si>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</si>
  <si>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</si>
  <si>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</si>
  <si>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</si>
  <si>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</si>
  <si>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</si>
  <si>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</si>
  <si>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</si>
  <si>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</si>
  <si>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</si>
  <si>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</si>
  <si>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</si>
  <si>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</si>
  <si>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</si>
  <si>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</si>
  <si>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</si>
  <si>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</si>
  <si>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</si>
  <si>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</si>
  <si>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</si>
  <si>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</si>
  <si>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</si>
  <si>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</si>
  <si>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</si>
  <si>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</si>
  <si>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</si>
  <si>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</si>
  <si>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</si>
  <si>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</si>
  <si>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</si>
  <si>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</si>
  <si>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</si>
  <si>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</si>
  <si>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</si>
  <si>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</si>
  <si>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</si>
  <si>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</si>
  <si>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</si>
  <si>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</si>
  <si>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</si>
  <si>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</si>
  <si>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</si>
  <si>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</si>
  <si>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</si>
  <si>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</si>
  <si>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</si>
  <si>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</si>
  <si>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</si>
  <si>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</si>
  <si>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</si>
  <si>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</si>
  <si>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</si>
  <si>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</si>
  <si>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</si>
  <si>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</si>
  <si>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</si>
  <si>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</si>
  <si>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</si>
  <si>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</si>
  <si>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</si>
  <si>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</si>
  <si>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</si>
  <si>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</si>
  <si>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</si>
  <si>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</si>
  <si>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</si>
  <si>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</si>
  <si>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</si>
  <si>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</si>
  <si>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</si>
  <si>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</si>
  <si>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</si>
  <si>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</si>
  <si>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</si>
  <si>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</si>
  <si>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</si>
  <si>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</si>
  <si>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</si>
  <si>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</si>
  <si>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</si>
  <si>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</si>
  <si>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</si>
  <si>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</si>
  <si>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</si>
  <si>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</si>
  <si>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</si>
  <si>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</si>
  <si>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</si>
  <si>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</si>
  <si>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</si>
  <si>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</si>
  <si>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</si>
  <si>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</si>
  <si>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</si>
  <si>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</si>
  <si>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</si>
  <si>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</si>
  <si>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</si>
  <si>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</si>
  <si>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</si>
  <si>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</si>
  <si>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</si>
  <si>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</si>
  <si>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</si>
  <si>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</si>
  <si>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</si>
  <si>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</si>
  <si>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</si>
  <si>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</si>
  <si>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</si>
  <si>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</si>
  <si>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</si>
  <si>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</si>
  <si>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</si>
  <si>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</si>
  <si>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</si>
  <si>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</si>
  <si>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</si>
  <si>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</si>
  <si>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</si>
  <si>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</si>
  <si>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</si>
  <si>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</si>
  <si>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</si>
  <si>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</si>
  <si>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</si>
  <si>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</si>
  <si>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</si>
  <si>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</si>
  <si>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</si>
  <si>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</si>
  <si>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</si>
  <si>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</si>
  <si>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</si>
  <si>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</si>
  <si>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</si>
  <si>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</si>
  <si>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</si>
  <si>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</si>
  <si>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</si>
  <si>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</si>
  <si>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</si>
  <si>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</si>
  <si>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</si>
  <si>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</si>
  <si>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</si>
  <si>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</si>
  <si>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</si>
  <si>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</si>
  <si>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</si>
  <si>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</si>
  <si>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</si>
  <si>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</si>
  <si>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</si>
  <si>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</si>
  <si>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</si>
  <si>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</si>
  <si>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</si>
  <si>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</si>
  <si>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</si>
  <si>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</si>
  <si>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</si>
  <si>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</si>
  <si>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</si>
  <si>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</si>
  <si>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</si>
  <si>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</si>
  <si>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</si>
  <si>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</si>
  <si>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</si>
  <si>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</si>
  <si>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</si>
  <si>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</si>
  <si>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</si>
  <si>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</si>
  <si>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</si>
  <si>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</si>
  <si>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</si>
  <si>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</si>
  <si>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</si>
  <si>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</si>
  <si>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</si>
  <si>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</si>
  <si>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</si>
  <si>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</si>
  <si>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</si>
  <si>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</si>
  <si>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</si>
  <si>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</si>
  <si>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</si>
  <si>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</si>
  <si>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</si>
  <si>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</si>
  <si>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</si>
  <si>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</si>
  <si>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</si>
  <si>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</si>
  <si>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</si>
  <si>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</si>
  <si>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</si>
  <si>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</si>
  <si>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</si>
  <si>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</si>
  <si>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</si>
  <si>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</si>
  <si>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</si>
  <si>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</si>
  <si>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</si>
  <si>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</si>
  <si>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</si>
  <si>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</si>
  <si>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</si>
  <si>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</si>
  <si>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</si>
  <si>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</si>
  <si>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</si>
  <si>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</si>
  <si>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</si>
  <si>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</si>
  <si>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</si>
  <si>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</si>
  <si>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</si>
  <si>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</si>
  <si>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</si>
  <si>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</si>
  <si>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</si>
  <si>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</si>
  <si>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</si>
  <si>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</si>
  <si>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</si>
  <si>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</si>
  <si>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</si>
  <si>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</si>
  <si>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</si>
  <si>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</si>
  <si>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</si>
  <si>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</si>
  <si>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</si>
  <si>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</si>
  <si>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</si>
  <si>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</si>
  <si>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</si>
  <si>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</si>
  <si>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</si>
  <si>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</si>
  <si>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</si>
  <si>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</si>
  <si>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</si>
  <si>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</si>
  <si>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</si>
  <si>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</si>
  <si>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</si>
  <si>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</si>
  <si>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</si>
  <si>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</si>
  <si>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</si>
  <si>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</si>
  <si>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</si>
  <si>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</si>
  <si>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</si>
  <si>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</si>
  <si>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</si>
  <si>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</si>
  <si>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</si>
  <si>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</si>
  <si>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</si>
  <si>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</si>
  <si>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</si>
  <si>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</si>
  <si>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</si>
  <si>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</si>
  <si>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</si>
  <si>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</si>
  <si>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</si>
  <si>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</si>
  <si>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</si>
  <si>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</si>
  <si>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</si>
  <si>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</si>
  <si>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</si>
  <si>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</si>
  <si>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</si>
  <si>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</si>
  <si>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</si>
  <si>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</si>
  <si>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</si>
  <si>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</si>
  <si>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</si>
  <si>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</si>
  <si>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</si>
  <si>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</si>
  <si>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</si>
  <si>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</si>
  <si>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</si>
  <si>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</si>
  <si>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</si>
  <si>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</si>
  <si>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</si>
  <si>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</si>
  <si>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</si>
  <si>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</si>
  <si>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</si>
  <si>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</si>
  <si>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</si>
  <si>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</si>
  <si>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</si>
  <si>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</si>
  <si>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</si>
  <si>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</si>
  <si>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</si>
  <si>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</si>
  <si>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</si>
  <si>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</si>
  <si>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</si>
  <si>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</si>
  <si>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</si>
  <si>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</si>
  <si>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</si>
  <si>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</si>
  <si>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</si>
  <si>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</si>
  <si>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</si>
  <si>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</si>
  <si>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</si>
  <si>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</si>
  <si>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</si>
  <si>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</si>
  <si>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</si>
  <si>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</si>
  <si>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</si>
  <si>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</si>
  <si>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</si>
  <si>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</si>
  <si>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</si>
  <si>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</si>
  <si>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</si>
  <si>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</si>
  <si>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</si>
  <si>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</si>
  <si>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</si>
  <si>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</si>
  <si>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</si>
  <si>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</si>
  <si>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</si>
  <si>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</si>
  <si>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</si>
  <si>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</si>
  <si>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</si>
  <si>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</si>
  <si>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</si>
  <si>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</si>
  <si>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</si>
  <si>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</si>
  <si>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</si>
  <si>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</si>
  <si>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</si>
  <si>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</si>
  <si>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</si>
  <si>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</si>
  <si>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</si>
  <si>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</si>
  <si>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</si>
  <si>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</si>
  <si>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</si>
  <si>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</si>
  <si>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</si>
  <si>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</si>
  <si>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</si>
  <si>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</si>
  <si>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</si>
  <si>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</si>
  <si>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</si>
  <si>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</si>
  <si>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</si>
  <si>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</si>
  <si>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</si>
  <si>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</si>
  <si>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</si>
  <si>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</si>
  <si>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</si>
  <si>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</si>
  <si>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</si>
  <si>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</si>
  <si>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</si>
  <si>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</si>
  <si>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</si>
  <si>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</si>
  <si>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</si>
  <si>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</si>
  <si>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</si>
  <si>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</si>
  <si>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</si>
  <si>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</si>
  <si>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</si>
  <si>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</si>
  <si>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</si>
  <si>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</si>
  <si>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</si>
  <si>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</si>
  <si>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</si>
  <si>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</si>
  <si>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</si>
  <si>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</si>
  <si>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</si>
  <si>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</si>
  <si>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</si>
  <si>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</si>
  <si>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</si>
  <si>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</si>
  <si>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</si>
  <si>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</si>
  <si>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</si>
  <si>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</si>
  <si>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</si>
  <si>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</si>
  <si>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</si>
  <si>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</si>
  <si>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</si>
  <si>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</si>
  <si>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</si>
  <si>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</si>
  <si>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</si>
  <si>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</si>
  <si>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</si>
  <si>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</si>
  <si>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</si>
  <si>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</si>
  <si>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</si>
  <si>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</si>
  <si>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</si>
  <si>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</si>
  <si>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</si>
  <si>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</si>
  <si>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</si>
  <si>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</si>
  <si>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</si>
  <si>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</si>
  <si>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</si>
  <si>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</si>
  <si>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</si>
  <si>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</si>
  <si>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</si>
  <si>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</si>
  <si>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</si>
  <si>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</si>
  <si>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</si>
  <si>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</si>
  <si>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</si>
  <si>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</si>
  <si>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</si>
  <si>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</si>
  <si>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</si>
  <si>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</si>
  <si>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</si>
  <si>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</si>
  <si>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</si>
  <si>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</si>
  <si>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</si>
  <si>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</si>
  <si>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</si>
  <si>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</si>
  <si>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</si>
  <si>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</si>
  <si>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</si>
  <si>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</si>
  <si>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</si>
  <si>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</si>
  <si>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</si>
  <si>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</si>
  <si>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</si>
  <si>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</si>
  <si>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</si>
  <si>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</si>
  <si>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</si>
  <si>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</si>
  <si>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</si>
  <si>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</si>
  <si>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</si>
  <si>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</si>
  <si>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</si>
  <si>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</si>
  <si>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</si>
  <si>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</si>
  <si>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</si>
  <si>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</si>
  <si>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</si>
  <si>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</si>
  <si>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</si>
  <si>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</si>
  <si>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</si>
  <si>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</si>
  <si>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</si>
  <si>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</si>
  <si>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</si>
  <si>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</si>
  <si>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</si>
  <si>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</si>
  <si>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</si>
  <si>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</si>
  <si>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</si>
  <si>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</si>
  <si>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</si>
  <si>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</si>
  <si>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</si>
  <si>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</si>
  <si>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</si>
  <si>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</si>
  <si>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</si>
  <si>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</si>
  <si>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</si>
  <si>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</si>
  <si>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</si>
  <si>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</si>
  <si>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</si>
  <si>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</si>
  <si>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</si>
  <si>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</si>
  <si>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</si>
  <si>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</si>
  <si>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</si>
  <si>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</si>
  <si>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</si>
  <si>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</si>
  <si>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</si>
  <si>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</si>
  <si>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</si>
  <si>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</si>
  <si>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</si>
  <si>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</si>
  <si>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</si>
  <si>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</si>
  <si>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</si>
  <si>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</si>
  <si>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</si>
  <si>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</si>
  <si>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</si>
  <si>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</si>
  <si>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</si>
  <si>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</si>
  <si>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</si>
  <si>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</si>
  <si>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</si>
  <si>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</si>
  <si>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</si>
  <si>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</si>
  <si>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</si>
  <si>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</si>
  <si>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</si>
  <si>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</si>
  <si>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</si>
  <si>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</si>
  <si>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</si>
  <si>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</si>
  <si>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</si>
  <si>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</si>
  <si>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</si>
  <si>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</si>
  <si>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</si>
  <si>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</si>
  <si>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</si>
  <si>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</si>
  <si>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</si>
  <si>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</si>
  <si>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</si>
  <si>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</si>
  <si>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</si>
  <si>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</si>
  <si>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</si>
  <si>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</si>
  <si>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</si>
  <si>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</si>
  <si>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</si>
  <si>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</si>
  <si>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</si>
  <si>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</si>
  <si>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</si>
  <si>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</si>
  <si>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</si>
  <si>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</si>
  <si>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</si>
  <si>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</si>
  <si>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</si>
  <si>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</si>
  <si>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</si>
  <si>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</si>
  <si>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</si>
  <si>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</si>
  <si>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</si>
  <si>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</si>
  <si>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</si>
  <si>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</si>
  <si>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</si>
  <si>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</si>
  <si>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</si>
  <si>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</si>
  <si>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</si>
  <si>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</si>
  <si>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</si>
  <si>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</si>
  <si>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</si>
  <si>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</si>
  <si>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</si>
  <si>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</si>
  <si>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</si>
  <si>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</si>
  <si>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</si>
  <si>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</si>
  <si>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</si>
  <si>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</si>
  <si>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</si>
  <si>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</si>
  <si>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</si>
  <si>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</si>
  <si>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</si>
  <si>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</si>
  <si>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</si>
  <si>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</si>
  <si>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</si>
  <si>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</si>
  <si>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</si>
  <si>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</si>
  <si>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</si>
  <si>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</si>
  <si>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</si>
  <si>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</si>
  <si>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</si>
  <si>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</si>
  <si>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</si>
  <si>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</si>
  <si>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</si>
  <si>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</si>
  <si>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</si>
  <si>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</si>
  <si>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</si>
  <si>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</si>
  <si>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</si>
  <si>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</si>
  <si>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</si>
  <si>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</si>
  <si>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</si>
  <si>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</si>
  <si>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</si>
  <si>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</si>
  <si>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</si>
  <si>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</si>
  <si>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</si>
  <si>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</si>
  <si>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</si>
  <si>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</si>
  <si>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</si>
  <si>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</si>
  <si>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</si>
  <si>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</si>
  <si>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</si>
  <si>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</si>
  <si>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</si>
  <si>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</si>
  <si>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</si>
  <si>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</si>
  <si>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</si>
  <si>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</si>
  <si>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</si>
  <si>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</si>
  <si>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</si>
  <si>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</si>
  <si>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</si>
  <si>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</si>
  <si>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</si>
  <si>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</si>
  <si>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</si>
  <si>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</si>
  <si>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</si>
  <si>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</si>
  <si>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</si>
  <si>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</si>
  <si>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</si>
  <si>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</si>
  <si>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</si>
  <si>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</si>
  <si>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</si>
  <si>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</si>
  <si>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</si>
  <si>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</si>
  <si>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</si>
  <si>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</si>
  <si>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Stored pre-Task-J values (v0.11 + Tasks F, I within the v0.12 build, computed per bundle by looping Settings!B10 before the Task J changes); key = v2:&lt;var&gt;:&lt;scenario&gt;:&lt;sector|tot&gt;:&lt;bundle&gt;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</si>
  <si>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</si>
  <si>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</si>
  <si>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</si>
  <si>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</si>
  <si>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</si>
  <si>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</si>
  <si>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</si>
  <si>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</si>
  <si>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</si>
  <si>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</si>
  <si>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</si>
  <si>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</si>
  <si>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</si>
  <si>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</si>
  <si>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</si>
  <si>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</si>
  <si>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</si>
  <si>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</si>
  <si>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</si>
  <si>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</si>
  <si>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</si>
  <si>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</si>
  <si>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</si>
  <si>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</si>
  <si>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</si>
  <si>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</si>
  <si>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</si>
  <si>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</si>
  <si>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</si>
  <si>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</si>
  <si>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</si>
  <si>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</si>
  <si>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</si>
  <si>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</si>
  <si>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</si>
  <si>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</si>
  <si>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</si>
  <si>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</si>
  <si>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</si>
  <si>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</si>
  <si>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</si>
  <si>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</si>
  <si>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</si>
  <si>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</si>
  <si>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</si>
  <si>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</si>
  <si>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</si>
  <si>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</si>
  <si>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</si>
  <si>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</si>
  <si>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</si>
  <si>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</si>
  <si>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</si>
  <si>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</si>
  <si>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</si>
  <si>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</si>
  <si>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</si>
  <si>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</si>
  <si>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</si>
  <si>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</si>
  <si>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</si>
  <si>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</si>
  <si>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</si>
  <si>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</si>
  <si>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</si>
  <si>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</si>
  <si>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</si>
  <si>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</si>
  <si>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</si>
  <si>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</si>
  <si>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</si>
  <si>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</si>
  <si>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</si>
  <si>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</si>
  <si>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</si>
  <si>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</si>
  <si>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</si>
  <si>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</si>
  <si>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</si>
  <si>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</si>
  <si>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</si>
  <si>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</si>
  <si>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</si>
  <si>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</si>
  <si>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</si>
  <si>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</si>
  <si>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</si>
  <si>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</si>
  <si>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</si>
  <si>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</si>
  <si>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</si>
  <si>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</si>
  <si>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</si>
  <si>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</si>
  <si>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</si>
  <si>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</si>
  <si>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</si>
  <si>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</si>
  <si>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</si>
  <si>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</si>
  <si>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</si>
  <si>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</si>
  <si>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</si>
  <si>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</si>
  <si>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</si>
  <si>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</si>
  <si>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</si>
  <si>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</si>
  <si>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</si>
  <si>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</si>
  <si>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</si>
  <si>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</si>
  <si>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</si>
  <si>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</si>
  <si>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</si>
  <si>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</si>
  <si>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</si>
  <si>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</si>
  <si>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</si>
  <si>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</si>
  <si>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</si>
  <si>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</si>
  <si>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</si>
  <si>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</si>
  <si>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</si>
  <si>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</si>
  <si>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</si>
  <si>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</si>
  <si>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</si>
  <si>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</si>
  <si>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</si>
  <si>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</si>
  <si>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</si>
  <si>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</si>
  <si>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</si>
  <si>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</si>
  <si>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</si>
  <si>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</si>
  <si>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</si>
  <si>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</si>
  <si>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</si>
  <si>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</si>
  <si>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</si>
  <si>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</si>
  <si>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</si>
  <si>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</si>
  <si>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</si>
  <si>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</si>
  <si>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</si>
  <si>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</si>
  <si>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</si>
  <si>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A. CPAT national outputs by run (cpat_outputs_egypt_2022_2041.csv, egypt+mitigation/AdHocRebuild; EG1 = 1A/2A, EG2 = 2B, EG3 = 3A-3C, EG4 unused)</t>
  </si>
  <si>
    <t>Key (code|run)</t>
  </si>
  <si>
    <t>Run</t>
  </si>
  <si>
    <t>egy.air.ada.2464|EG1</t>
  </si>
  <si>
    <t>EG1</t>
  </si>
  <si>
    <t>Averted deaths by age group: 25 to 64 years</t>
  </si>
  <si>
    <t>deaths</t>
  </si>
  <si>
    <t>CPAT run EG1 (csv)</t>
  </si>
  <si>
    <t>egy.air.ada.2464</t>
  </si>
  <si>
    <t>egy.air.ada.2464|EG2</t>
  </si>
  <si>
    <t>EG2</t>
  </si>
  <si>
    <t>CPAT run EG2 (csv)</t>
  </si>
  <si>
    <t>egy.air.ada.2464|EG3</t>
  </si>
  <si>
    <t>EG3</t>
  </si>
  <si>
    <t>CPAT run EG3 (csv)</t>
  </si>
  <si>
    <t>egy.air.ada.2464|EG4</t>
  </si>
  <si>
    <t>EG4</t>
  </si>
  <si>
    <t>CPAT run EG4 (csv)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</si>
  <si>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</si>
  <si>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</si>
  <si>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</si>
  <si>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</si>
  <si>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</si>
  <si>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</si>
  <si>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</si>
  <si>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</si>
  <si>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</si>
  <si>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</si>
  <si>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</si>
  <si>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</si>
  <si>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</si>
  <si>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</si>
  <si>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</si>
  <si>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</si>
  <si>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</si>
  <si>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</si>
  <si>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</si>
  <si>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</si>
  <si>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</si>
  <si>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</si>
  <si>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</si>
  <si>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</si>
  <si>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</si>
  <si>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</si>
  <si>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</si>
  <si>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</si>
  <si>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</si>
  <si>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</si>
  <si>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</si>
  <si>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</si>
  <si>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</si>
  <si>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</si>
  <si>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</si>
  <si>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</si>
  <si>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</si>
  <si>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</si>
  <si>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</si>
  <si>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</si>
  <si>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</si>
  <si>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</si>
  <si>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</si>
  <si>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</si>
  <si>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</si>
  <si>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</si>
  <si>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</si>
  <si>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</si>
  <si>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</si>
  <si>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</si>
  <si>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</si>
  <si>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</si>
  <si>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</si>
  <si>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</si>
  <si>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</si>
  <si>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</si>
  <si>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</si>
  <si>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</si>
  <si>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</si>
  <si>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</si>
  <si>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</si>
  <si>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</si>
  <si>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</si>
  <si>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</si>
  <si>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</si>
  <si>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</si>
  <si>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</si>
  <si>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</si>
  <si>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</si>
  <si>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</si>
  <si>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</si>
  <si>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</si>
  <si>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</si>
  <si>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</si>
  <si>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</si>
  <si>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</si>
  <si>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</si>
  <si>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</si>
  <si>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</si>
  <si>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</si>
  <si>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</si>
  <si>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</si>
  <si>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</si>
  <si>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</si>
  <si>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</si>
  <si>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</si>
  <si>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</si>
  <si>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</si>
  <si>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</si>
  <si>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</si>
  <si>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</si>
  <si>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</si>
  <si>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</si>
  <si>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</si>
  <si>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</si>
  <si>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</si>
  <si>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</si>
  <si>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</si>
  <si>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</si>
  <si>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</si>
  <si>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</si>
  <si>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</si>
  <si>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</si>
  <si>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</si>
  <si>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</si>
  <si>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</si>
  <si>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</si>
  <si>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</si>
  <si>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</si>
  <si>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</si>
  <si>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</si>
  <si>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</si>
  <si>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</si>
  <si>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</si>
  <si>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</si>
  <si>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</si>
  <si>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</si>
  <si>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</si>
  <si>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</si>
  <si>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</si>
  <si>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</si>
  <si>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</si>
  <si>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</si>
  <si>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</si>
  <si>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</si>
  <si>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</si>
  <si>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</si>
  <si>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</si>
  <si>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</si>
  <si>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</si>
  <si>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</si>
  <si>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</si>
  <si>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</si>
  <si>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</si>
  <si>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</si>
  <si>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</si>
  <si>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</si>
  <si>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</si>
  <si>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</si>
  <si>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</si>
  <si>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</si>
  <si>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</si>
  <si>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</si>
  <si>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</si>
  <si>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</si>
  <si>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</si>
  <si>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</si>
  <si>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</si>
  <si>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</si>
  <si>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</si>
  <si>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</si>
  <si>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</si>
  <si>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</si>
  <si>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</si>
  <si>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</si>
  <si>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</si>
  <si>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</si>
  <si>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</si>
  <si>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</si>
  <si>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</si>
  <si>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</si>
  <si>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</si>
  <si>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</si>
  <si>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</si>
  <si>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</si>
  <si>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</si>
  <si>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</si>
  <si>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</si>
  <si>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</si>
  <si>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</si>
  <si>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</si>
  <si>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</si>
  <si>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</si>
  <si>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</si>
  <si>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</si>
  <si>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</si>
  <si>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</si>
  <si>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</si>
  <si>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</si>
  <si>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</si>
  <si>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</si>
  <si>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</si>
  <si>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</si>
  <si>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</si>
  <si>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</si>
  <si>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</si>
  <si>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</si>
  <si>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</si>
  <si>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</si>
  <si>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</si>
  <si>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</si>
  <si>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</si>
  <si>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</si>
  <si>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</si>
  <si>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</si>
  <si>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</si>
  <si>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</si>
  <si>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</si>
  <si>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</si>
  <si>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</si>
  <si>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</si>
  <si>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</si>
  <si>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</si>
  <si>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</si>
  <si>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</si>
  <si>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</si>
  <si>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</si>
  <si>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</si>
  <si>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</si>
  <si>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</si>
  <si>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</si>
  <si>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</si>
  <si>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</si>
  <si>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</si>
  <si>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</si>
  <si>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</si>
  <si>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</si>
  <si>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</si>
  <si>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</si>
  <si>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</si>
  <si>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</si>
  <si>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</si>
  <si>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</si>
  <si>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</si>
  <si>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</si>
  <si>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</si>
  <si>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</si>
  <si>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</si>
  <si>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</si>
  <si>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</si>
  <si>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</si>
  <si>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</si>
  <si>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</si>
  <si>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</si>
  <si>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</si>
  <si>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</si>
  <si>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</si>
  <si>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Energy CO2, kernel sectors, baseline</t>
  </si>
  <si>
    <t>IPPU_Industry row 17</t>
  </si>
  <si>
    <t>Energy CO2, kernel sectors, policy</t>
  </si>
  <si>
    <t>IPPU_Industry row 34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</si>
  <si>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</si>
  <si>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</si>
  <si>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</si>
  <si>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</si>
  <si>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dNon-kernel industry energy CO2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</si>
  <si>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</si>
  <si>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</si>
  <si>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</si>
  <si>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</si>
  <si>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</si>
  <si>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</si>
  <si>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</si>
  <si>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</si>
  <si>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</si>
  <si>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</si>
  <si>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</si>
  <si>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</si>
  <si>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</si>
  <si>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</si>
  <si>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</si>
  <si>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</si>
  <si>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</si>
  <si>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</si>
  <si>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</si>
  <si>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</si>
  <si>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</si>
  <si>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</si>
  <si>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</si>
  <si>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</si>
  <si>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</si>
  <si>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</si>
  <si>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</si>
  <si>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</si>
  <si>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[J] Coverage, % of baseline GHG (energy scope + flag x block process)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</si>
  <si>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</si>
  <si>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</si>
  <si>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</si>
  <si>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</si>
  <si>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</si>
  <si>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</si>
  <si>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</si>
  <si>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</si>
  <si>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</si>
  <si>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</si>
  <si>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</si>
  <si>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</si>
  <si>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</si>
  <si>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</si>
  <si>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</si>
  <si>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</si>
  <si>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</si>
  <si>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</si>
  <si>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</si>
  <si>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Gross carbon revenue (All: CPAT receipts adjusted to the kernel industry response; Industry only: kernel sectors) + block process revenue</t>
  </si>
  <si>
    <t>[P] Net revenue = gross - output-based rebates - abatement fund</t>
  </si>
  <si>
    <t>Q</t>
  </si>
  <si>
    <t>dEnergy CO2, kernel composition (CPAT run with kernel industry response)</t>
  </si>
  <si>
    <t>[Q] Air-pollution deaths avoided (CPAT deaths x dEnergy CO2 kernel / CPAT)</t>
  </si>
  <si>
    <t>R</t>
  </si>
  <si>
    <t>[R] Deaths avoided, % of baseline deaths</t>
  </si>
  <si>
    <t>AR</t>
  </si>
  <si>
    <t>[AR] Net new revenue change (CPAT dRev - CPAT carbon-tax receipts + P)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</si>
  <si>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</si>
  <si>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</si>
  <si>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</si>
  <si>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</si>
  <si>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</si>
  <si>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</si>
  <si>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</si>
  <si>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</si>
  <si>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</si>
  <si>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</si>
  <si>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</si>
  <si>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</si>
  <si>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</si>
  <si>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</si>
  <si>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Rebuild v0.1 K</t>
  </si>
  <si>
    <t>K - rebuild K</t>
  </si>
  <si>
    <t>live</t>
  </si>
  <si>
    <t>stored</t>
  </si>
  <si>
    <t>Stored rows written by build_v0_14.py (2030, each bundle active in turn; Manual inputs at default). Rebuild v0.1 K: TASK-2b ad-hoc rebuild, MethodologyNote v0.1 section 3 (Mode REBUILD, Conv NOPHASE). Recycling effects: CPAT csv has no recycling outputs for the runs; reported as revenue use + AR only.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</si>
  <si>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</si>
  <si>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</si>
  <si>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</si>
  <si>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Industry only: industry replacement = dEnergy kernel sectors - dInd CPAT (non-kernel unpriced)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</si>
  <si>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</si>
  <si>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</si>
  <si>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</si>
  <si>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</si>
  <si>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Information (not expected 0): 2030 K vs TASK-2b rebuild v0.1 (MtCO2e)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</si>
  <si>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</si>
  <si>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</si>
  <si>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</si>
  <si>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</si>
  <si>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</si>
  <si>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</si>
  <si>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</si>
  <si>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CPAT industry kernel - Egypt prototype v0.14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</si>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</sst>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25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14" borderId="0" xfId="0" applyNumberFormat="1" applyFont="1" applyFill="1"/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8" zoomScaleNormal="100" workbookViewId="0">
      <selection activeCell="A41" sqref="A41:XFD41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3639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1832</v>
      </c>
      <c r="B10" s="43" t="s">
        <v>1753</v>
      </c>
      <c r="C10" t="s">
        <v>1833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1712</v>
      </c>
      <c r="C17" t="s">
        <v>1713</v>
      </c>
    </row>
    <row r="18" spans="1:3" x14ac:dyDescent="0.45">
      <c r="A18" s="2" t="s">
        <v>1788</v>
      </c>
      <c r="C18" t="s">
        <v>1834</v>
      </c>
    </row>
    <row r="19" spans="1:3" x14ac:dyDescent="0.45">
      <c r="A19" s="5" t="s">
        <v>21</v>
      </c>
      <c r="C19" s="3" t="s">
        <v>1714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1835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3640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1715</v>
      </c>
      <c r="C30" t="s">
        <v>1716</v>
      </c>
    </row>
    <row r="31" spans="1:3" x14ac:dyDescent="0.45">
      <c r="A31" t="s">
        <v>1836</v>
      </c>
      <c r="B31" s="95" t="s">
        <v>1837</v>
      </c>
      <c r="C31" t="s">
        <v>1838</v>
      </c>
    </row>
    <row r="32" spans="1:3" x14ac:dyDescent="0.45">
      <c r="A32" t="s">
        <v>1882</v>
      </c>
      <c r="B32" s="95" t="s">
        <v>1837</v>
      </c>
      <c r="C32" t="s">
        <v>1883</v>
      </c>
    </row>
    <row r="33" spans="1:3" x14ac:dyDescent="0.45">
      <c r="A33" t="s">
        <v>1911</v>
      </c>
      <c r="B33" s="95" t="s">
        <v>1837</v>
      </c>
      <c r="C33" t="s">
        <v>1912</v>
      </c>
    </row>
    <row r="34" spans="1:3" x14ac:dyDescent="0.45">
      <c r="A34" t="s">
        <v>1924</v>
      </c>
      <c r="B34" s="95" t="s">
        <v>1837</v>
      </c>
      <c r="C34" t="s">
        <v>1925</v>
      </c>
    </row>
    <row r="35" spans="1:3" x14ac:dyDescent="0.45">
      <c r="A35" t="s">
        <v>1941</v>
      </c>
      <c r="B35" s="95" t="s">
        <v>1837</v>
      </c>
      <c r="C35" t="s">
        <v>1942</v>
      </c>
    </row>
    <row r="36" spans="1:3" x14ac:dyDescent="0.45">
      <c r="A36" t="s">
        <v>1993</v>
      </c>
      <c r="B36" s="95" t="s">
        <v>1837</v>
      </c>
      <c r="C36" t="s">
        <v>1994</v>
      </c>
    </row>
    <row r="37" spans="1:3" x14ac:dyDescent="0.45">
      <c r="A37" t="s">
        <v>2022</v>
      </c>
      <c r="B37" s="95" t="s">
        <v>1837</v>
      </c>
      <c r="C37" t="s">
        <v>2023</v>
      </c>
    </row>
    <row r="38" spans="1:3" x14ac:dyDescent="0.45">
      <c r="A38" t="s">
        <v>2052</v>
      </c>
      <c r="B38" s="95" t="s">
        <v>1837</v>
      </c>
      <c r="C38" t="s">
        <v>2053</v>
      </c>
    </row>
    <row r="39" spans="1:3" x14ac:dyDescent="0.45">
      <c r="A39" t="s">
        <v>3133</v>
      </c>
      <c r="B39" s="95" t="s">
        <v>1837</v>
      </c>
      <c r="C39" t="s">
        <v>3134</v>
      </c>
    </row>
    <row r="40" spans="1:3" x14ac:dyDescent="0.45">
      <c r="A40" t="s">
        <v>3280</v>
      </c>
      <c r="B40" s="95" t="s">
        <v>1837</v>
      </c>
      <c r="C40" t="s">
        <v>3281</v>
      </c>
    </row>
    <row r="41" spans="1:3" x14ac:dyDescent="0.45">
      <c r="A41" t="s">
        <v>3641</v>
      </c>
      <c r="B41" s="95" t="s">
        <v>1837</v>
      </c>
      <c r="C41" s="166" t="s">
        <v>3642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95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1863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1943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1404</v>
      </c>
      <c r="E39" s="56" t="s">
        <v>1405</v>
      </c>
      <c r="F39" s="53" t="s">
        <v>1406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1407</v>
      </c>
      <c r="E42" s="69">
        <v>5.1293294387550598E-4</v>
      </c>
      <c r="F42" s="68">
        <v>0.05</v>
      </c>
    </row>
    <row r="43" spans="1:31" ht="13.15" x14ac:dyDescent="0.4">
      <c r="D43" s="56" t="s">
        <v>1408</v>
      </c>
      <c r="E43" s="69">
        <v>8.3381608939051E-4</v>
      </c>
      <c r="F43" s="68">
        <v>0.08</v>
      </c>
    </row>
    <row r="44" spans="1:31" ht="13.15" x14ac:dyDescent="0.4">
      <c r="D44" s="56" t="s">
        <v>1409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1410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1944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1945</v>
      </c>
      <c r="E50" s="93" t="s">
        <v>1946</v>
      </c>
      <c r="F50" s="53" t="s">
        <v>1947</v>
      </c>
    </row>
    <row r="51" spans="1:31" x14ac:dyDescent="0.35">
      <c r="D51" s="53" t="s">
        <v>1948</v>
      </c>
    </row>
    <row r="52" spans="1:31" ht="38.65" x14ac:dyDescent="0.4">
      <c r="D52" s="58" t="s">
        <v>1323</v>
      </c>
      <c r="E52" s="58" t="s">
        <v>1949</v>
      </c>
      <c r="F52" s="102" t="s">
        <v>1950</v>
      </c>
      <c r="G52" s="102" t="s">
        <v>1951</v>
      </c>
      <c r="H52" s="102" t="s">
        <v>1952</v>
      </c>
      <c r="I52" s="102" t="s">
        <v>1953</v>
      </c>
      <c r="J52" s="102" t="s">
        <v>1954</v>
      </c>
      <c r="K52" s="102" t="s">
        <v>1955</v>
      </c>
      <c r="L52" s="102" t="s">
        <v>1956</v>
      </c>
      <c r="M52" s="102" t="s">
        <v>1957</v>
      </c>
      <c r="N52" s="102" t="s">
        <v>1958</v>
      </c>
      <c r="O52" s="102" t="s">
        <v>1959</v>
      </c>
      <c r="P52" s="102" t="s">
        <v>1960</v>
      </c>
      <c r="Q52" s="102" t="s">
        <v>1961</v>
      </c>
      <c r="R52" s="102" t="s">
        <v>1962</v>
      </c>
      <c r="S52" s="102" t="s">
        <v>1963</v>
      </c>
      <c r="T52" s="108" t="s">
        <v>1964</v>
      </c>
      <c r="U52" s="108" t="s">
        <v>1965</v>
      </c>
      <c r="V52" s="108" t="s">
        <v>1966</v>
      </c>
      <c r="W52" s="108" t="s">
        <v>1967</v>
      </c>
    </row>
    <row r="53" spans="1:31" ht="13.15" x14ac:dyDescent="0.4">
      <c r="D53" s="56" t="s">
        <v>1350</v>
      </c>
      <c r="E53" s="103">
        <v>1</v>
      </c>
      <c r="F53" s="105">
        <v>100</v>
      </c>
      <c r="G53" s="103">
        <v>0.1</v>
      </c>
      <c r="H53" s="106">
        <f t="shared" ref="H53:H60" si="7">IF(OR(E53=0,G53=0),0,-LN(1-G53/E53)/F53)</f>
        <v>1.0536051565782627E-3</v>
      </c>
      <c r="I53" s="103">
        <v>1</v>
      </c>
      <c r="J53" s="105">
        <v>100</v>
      </c>
      <c r="K53" s="103">
        <v>0.1</v>
      </c>
      <c r="L53" s="106">
        <f t="shared" ref="L53:L60" si="8">IF(OR(I53=0,K53=0),0,-LN(1-K53/I53)/J53)</f>
        <v>1.0536051565782627E-3</v>
      </c>
      <c r="M53" s="107">
        <f t="shared" ref="M53:M60" si="9">E53*H53</f>
        <v>1.0536051565782627E-3</v>
      </c>
      <c r="N53" s="107">
        <f t="shared" ref="N53:N60" si="10">I53*L53</f>
        <v>1.0536051565782627E-3</v>
      </c>
      <c r="O53" s="104">
        <f t="shared" ref="O53:O60" si="11">E53*(1-EXP(-H53*20))</f>
        <v>2.0851637639023202E-2</v>
      </c>
      <c r="P53" s="104">
        <f t="shared" ref="P53:P60" si="12">I53*(1-EXP(-L53*20))</f>
        <v>2.0851637639023202E-2</v>
      </c>
      <c r="Q53" s="53" t="s">
        <v>1968</v>
      </c>
      <c r="R53" s="53" t="s">
        <v>1969</v>
      </c>
      <c r="S53" s="53" t="s">
        <v>1970</v>
      </c>
      <c r="T53" s="109">
        <f>IF($E$50="ADHOC",$E$40,H53)</f>
        <v>1.0536051565782627E-3</v>
      </c>
      <c r="U53" s="110">
        <f t="shared" ref="U53:U60" si="13">IF($E$50="ADHOC",1,E53)</f>
        <v>1</v>
      </c>
      <c r="V53" s="109">
        <f>IF($E$50="ADHOC",$E$40,L53)</f>
        <v>1.0536051565782627E-3</v>
      </c>
      <c r="W53" s="110">
        <f t="shared" ref="W53:W60" si="14">IF($E$50="ADHOC",1,I53)</f>
        <v>1</v>
      </c>
    </row>
    <row r="54" spans="1:31" ht="13.15" x14ac:dyDescent="0.4">
      <c r="D54" s="56" t="s">
        <v>1357</v>
      </c>
      <c r="E54" s="103">
        <v>1</v>
      </c>
      <c r="F54" s="105">
        <v>100</v>
      </c>
      <c r="G54" s="103">
        <v>0.02</v>
      </c>
      <c r="H54" s="106">
        <f t="shared" si="7"/>
        <v>2.0202707317519466E-4</v>
      </c>
      <c r="I54" s="103">
        <v>1</v>
      </c>
      <c r="J54" s="105">
        <v>100</v>
      </c>
      <c r="K54" s="103">
        <v>0.02</v>
      </c>
      <c r="L54" s="106">
        <f t="shared" si="8"/>
        <v>2.0202707317519466E-4</v>
      </c>
      <c r="M54" s="107">
        <f t="shared" si="9"/>
        <v>2.0202707317519466E-4</v>
      </c>
      <c r="N54" s="107">
        <f t="shared" si="10"/>
        <v>2.0202707317519466E-4</v>
      </c>
      <c r="O54" s="104">
        <f t="shared" si="11"/>
        <v>4.0323894590447162E-3</v>
      </c>
      <c r="P54" s="104">
        <f t="shared" si="12"/>
        <v>4.0323894590447162E-3</v>
      </c>
      <c r="Q54" s="53" t="s">
        <v>1968</v>
      </c>
      <c r="R54" s="53" t="s">
        <v>1969</v>
      </c>
      <c r="S54" s="53" t="s">
        <v>1970</v>
      </c>
      <c r="T54" s="109">
        <f>IF($E$50="ADHOC",$E$41,H54)</f>
        <v>2.0202707317519466E-4</v>
      </c>
      <c r="U54" s="110">
        <f t="shared" si="13"/>
        <v>1</v>
      </c>
      <c r="V54" s="109">
        <f>IF($E$50="ADHOC",$E$41,L54)</f>
        <v>2.0202707317519466E-4</v>
      </c>
      <c r="W54" s="110">
        <f t="shared" si="14"/>
        <v>1</v>
      </c>
    </row>
    <row r="55" spans="1:31" ht="13.15" x14ac:dyDescent="0.4">
      <c r="D55" s="56" t="s">
        <v>1363</v>
      </c>
      <c r="E55" s="103">
        <v>1</v>
      </c>
      <c r="F55" s="105">
        <v>100</v>
      </c>
      <c r="G55" s="103">
        <v>0.05</v>
      </c>
      <c r="H55" s="106">
        <f t="shared" si="7"/>
        <v>5.1293294387550576E-4</v>
      </c>
      <c r="I55" s="103">
        <v>1</v>
      </c>
      <c r="J55" s="105">
        <v>100</v>
      </c>
      <c r="K55" s="103">
        <v>0.05</v>
      </c>
      <c r="L55" s="106">
        <f t="shared" si="8"/>
        <v>5.1293294387550576E-4</v>
      </c>
      <c r="M55" s="107">
        <f t="shared" si="9"/>
        <v>5.1293294387550576E-4</v>
      </c>
      <c r="N55" s="107">
        <f t="shared" si="10"/>
        <v>5.1293294387550576E-4</v>
      </c>
      <c r="O55" s="104">
        <f t="shared" si="11"/>
        <v>1.0206218313011495E-2</v>
      </c>
      <c r="P55" s="104">
        <f t="shared" si="12"/>
        <v>1.0206218313011495E-2</v>
      </c>
      <c r="Q55" s="53" t="s">
        <v>1971</v>
      </c>
      <c r="R55" s="53" t="s">
        <v>1969</v>
      </c>
      <c r="S55" s="53" t="s">
        <v>1970</v>
      </c>
      <c r="T55" s="109">
        <f>IF($E$50="ADHOC",$E$42,H55)</f>
        <v>5.1293294387550576E-4</v>
      </c>
      <c r="U55" s="110">
        <f t="shared" si="13"/>
        <v>1</v>
      </c>
      <c r="V55" s="109">
        <f>IF($E$50="ADHOC",$E$42,L55)</f>
        <v>5.1293294387550576E-4</v>
      </c>
      <c r="W55" s="110">
        <f t="shared" si="14"/>
        <v>1</v>
      </c>
    </row>
    <row r="56" spans="1:31" ht="13.15" x14ac:dyDescent="0.4">
      <c r="D56" s="56" t="s">
        <v>1369</v>
      </c>
      <c r="E56" s="103">
        <v>1</v>
      </c>
      <c r="F56" s="105">
        <v>100</v>
      </c>
      <c r="G56" s="103">
        <v>0.08</v>
      </c>
      <c r="H56" s="106">
        <f t="shared" si="7"/>
        <v>8.338160893905101E-4</v>
      </c>
      <c r="I56" s="103">
        <v>1</v>
      </c>
      <c r="J56" s="105">
        <v>100</v>
      </c>
      <c r="K56" s="103">
        <v>0.08</v>
      </c>
      <c r="L56" s="106">
        <f t="shared" si="8"/>
        <v>8.338160893905101E-4</v>
      </c>
      <c r="M56" s="107">
        <f t="shared" si="9"/>
        <v>8.338160893905101E-4</v>
      </c>
      <c r="N56" s="107">
        <f t="shared" si="10"/>
        <v>8.338160893905101E-4</v>
      </c>
      <c r="O56" s="104">
        <f t="shared" si="11"/>
        <v>1.6538041668570203E-2</v>
      </c>
      <c r="P56" s="104">
        <f t="shared" si="12"/>
        <v>1.6538041668570203E-2</v>
      </c>
      <c r="Q56" s="53" t="s">
        <v>1972</v>
      </c>
      <c r="R56" s="53" t="s">
        <v>1969</v>
      </c>
      <c r="S56" s="53" t="s">
        <v>1970</v>
      </c>
      <c r="T56" s="109">
        <f>IF($E$50="ADHOC",$E$43,H56)</f>
        <v>8.338160893905101E-4</v>
      </c>
      <c r="U56" s="110">
        <f t="shared" si="13"/>
        <v>1</v>
      </c>
      <c r="V56" s="109">
        <f>IF($E$50="ADHOC",$E$43,L56)</f>
        <v>8.338160893905101E-4</v>
      </c>
      <c r="W56" s="110">
        <f t="shared" si="14"/>
        <v>1</v>
      </c>
    </row>
    <row r="57" spans="1:31" ht="13.15" x14ac:dyDescent="0.4">
      <c r="D57" s="56" t="s">
        <v>1376</v>
      </c>
      <c r="E57" s="103">
        <v>1</v>
      </c>
      <c r="F57" s="105">
        <v>100</v>
      </c>
      <c r="G57" s="103">
        <v>0.18</v>
      </c>
      <c r="H57" s="106">
        <f t="shared" si="7"/>
        <v>1.9845093872383817E-3</v>
      </c>
      <c r="I57" s="103">
        <v>1</v>
      </c>
      <c r="J57" s="105">
        <v>100</v>
      </c>
      <c r="K57" s="103">
        <v>0.18</v>
      </c>
      <c r="L57" s="106">
        <f t="shared" si="8"/>
        <v>1.9845093872383817E-3</v>
      </c>
      <c r="M57" s="107">
        <f t="shared" si="9"/>
        <v>1.9845093872383817E-3</v>
      </c>
      <c r="N57" s="107">
        <f t="shared" si="10"/>
        <v>1.9845093872383817E-3</v>
      </c>
      <c r="O57" s="104">
        <f t="shared" si="11"/>
        <v>3.8912850389936637E-2</v>
      </c>
      <c r="P57" s="104">
        <f t="shared" si="12"/>
        <v>3.8912850389936637E-2</v>
      </c>
      <c r="Q57" s="53" t="s">
        <v>1973</v>
      </c>
      <c r="R57" s="53" t="s">
        <v>1969</v>
      </c>
      <c r="S57" s="53" t="s">
        <v>1970</v>
      </c>
      <c r="T57" s="109">
        <f>IF($E$50="ADHOC",$E$44,H57)</f>
        <v>1.9845093872383817E-3</v>
      </c>
      <c r="U57" s="110">
        <f t="shared" si="13"/>
        <v>1</v>
      </c>
      <c r="V57" s="109">
        <f>IF($E$50="ADHOC",$E$44,L57)</f>
        <v>1.9845093872383817E-3</v>
      </c>
      <c r="W57" s="110">
        <f t="shared" si="14"/>
        <v>1</v>
      </c>
    </row>
    <row r="58" spans="1:31" ht="13.15" x14ac:dyDescent="0.4">
      <c r="D58" s="56" t="s">
        <v>1383</v>
      </c>
      <c r="E58" s="103">
        <v>1</v>
      </c>
      <c r="F58" s="105">
        <v>100</v>
      </c>
      <c r="G58" s="103">
        <v>0</v>
      </c>
      <c r="H58" s="106">
        <f t="shared" si="7"/>
        <v>0</v>
      </c>
      <c r="I58" s="103">
        <v>1</v>
      </c>
      <c r="J58" s="105">
        <v>100</v>
      </c>
      <c r="K58" s="103">
        <v>0</v>
      </c>
      <c r="L58" s="106">
        <f t="shared" si="8"/>
        <v>0</v>
      </c>
      <c r="M58" s="107">
        <f t="shared" si="9"/>
        <v>0</v>
      </c>
      <c r="N58" s="107">
        <f t="shared" si="10"/>
        <v>0</v>
      </c>
      <c r="O58" s="104">
        <f t="shared" si="11"/>
        <v>0</v>
      </c>
      <c r="P58" s="104">
        <f t="shared" si="12"/>
        <v>0</v>
      </c>
      <c r="Q58" s="53" t="s">
        <v>1974</v>
      </c>
      <c r="R58" s="53" t="s">
        <v>1969</v>
      </c>
      <c r="S58" s="53" t="s">
        <v>1970</v>
      </c>
      <c r="T58" s="109">
        <f>IF($E$50="ADHOC",$E$45,H58)</f>
        <v>0</v>
      </c>
      <c r="U58" s="110">
        <f t="shared" si="13"/>
        <v>1</v>
      </c>
      <c r="V58" s="109">
        <f>IF($E$50="ADHOC",$E$45,L58)</f>
        <v>0</v>
      </c>
      <c r="W58" s="110">
        <f t="shared" si="14"/>
        <v>1</v>
      </c>
    </row>
    <row r="59" spans="1:31" ht="13.15" x14ac:dyDescent="0.4">
      <c r="D59" s="56" t="s">
        <v>1390</v>
      </c>
      <c r="E59" s="103">
        <v>1</v>
      </c>
      <c r="F59" s="105">
        <v>100</v>
      </c>
      <c r="G59" s="103">
        <v>0.65</v>
      </c>
      <c r="H59" s="106">
        <f t="shared" si="7"/>
        <v>1.0498221244986778E-2</v>
      </c>
      <c r="I59" s="103">
        <v>1</v>
      </c>
      <c r="J59" s="105">
        <v>100</v>
      </c>
      <c r="K59" s="103">
        <v>0.65</v>
      </c>
      <c r="L59" s="106">
        <f t="shared" si="8"/>
        <v>1.0498221244986778E-2</v>
      </c>
      <c r="M59" s="107">
        <f t="shared" si="9"/>
        <v>1.0498221244986778E-2</v>
      </c>
      <c r="N59" s="107">
        <f t="shared" si="10"/>
        <v>1.0498221244986778E-2</v>
      </c>
      <c r="O59" s="104">
        <f t="shared" si="11"/>
        <v>0.18938691690105092</v>
      </c>
      <c r="P59" s="104">
        <f t="shared" si="12"/>
        <v>0.18938691690105092</v>
      </c>
      <c r="Q59" s="53" t="s">
        <v>1975</v>
      </c>
      <c r="R59" s="53" t="s">
        <v>1976</v>
      </c>
      <c r="S59" s="53" t="s">
        <v>1970</v>
      </c>
      <c r="T59" s="109">
        <f>IF($E$50="ADHOC",$E$46,H59)</f>
        <v>1.0498221244986778E-2</v>
      </c>
      <c r="U59" s="110">
        <f t="shared" si="13"/>
        <v>1</v>
      </c>
      <c r="V59" s="109">
        <f>IF($E$50="ADHOC",$E$46,L59)</f>
        <v>1.0498221244986778E-2</v>
      </c>
      <c r="W59" s="110">
        <f t="shared" si="14"/>
        <v>1</v>
      </c>
    </row>
    <row r="60" spans="1:31" ht="13.15" x14ac:dyDescent="0.4">
      <c r="D60" s="56" t="s">
        <v>1397</v>
      </c>
      <c r="E60" s="103">
        <v>1</v>
      </c>
      <c r="F60" s="105">
        <v>100</v>
      </c>
      <c r="G60" s="103">
        <v>0.08</v>
      </c>
      <c r="H60" s="106">
        <f t="shared" si="7"/>
        <v>8.338160893905101E-4</v>
      </c>
      <c r="I60" s="103">
        <v>1</v>
      </c>
      <c r="J60" s="105">
        <v>100</v>
      </c>
      <c r="K60" s="103">
        <v>0.08</v>
      </c>
      <c r="L60" s="106">
        <f t="shared" si="8"/>
        <v>8.338160893905101E-4</v>
      </c>
      <c r="M60" s="107">
        <f t="shared" si="9"/>
        <v>8.338160893905101E-4</v>
      </c>
      <c r="N60" s="107">
        <f t="shared" si="10"/>
        <v>8.338160893905101E-4</v>
      </c>
      <c r="O60" s="104">
        <f t="shared" si="11"/>
        <v>1.6538041668570203E-2</v>
      </c>
      <c r="P60" s="104">
        <f t="shared" si="12"/>
        <v>1.6538041668570203E-2</v>
      </c>
      <c r="Q60" s="53" t="s">
        <v>1977</v>
      </c>
      <c r="R60" s="53" t="s">
        <v>1978</v>
      </c>
      <c r="S60" s="53" t="s">
        <v>1970</v>
      </c>
      <c r="T60" s="109">
        <f>IF($E$50="ADHOC",$E$47,H60)</f>
        <v>8.338160893905101E-4</v>
      </c>
      <c r="U60" s="110">
        <f t="shared" si="13"/>
        <v>1</v>
      </c>
      <c r="V60" s="109">
        <f>IF($E$50="ADHOC",$E$47,L60)</f>
        <v>8.338160893905101E-4</v>
      </c>
      <c r="W60" s="110">
        <f t="shared" si="14"/>
        <v>1</v>
      </c>
    </row>
    <row r="62" spans="1:31" ht="13.15" x14ac:dyDescent="0.4">
      <c r="A62" s="56"/>
      <c r="B62" s="56" t="s">
        <v>1995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1996</v>
      </c>
      <c r="E63" s="93" t="s">
        <v>1997</v>
      </c>
      <c r="F63" s="53" t="s">
        <v>1998</v>
      </c>
    </row>
    <row r="64" spans="1:31" x14ac:dyDescent="0.35">
      <c r="D64" s="53" t="s">
        <v>1999</v>
      </c>
    </row>
    <row r="65" spans="1:31" ht="13.15" x14ac:dyDescent="0.4">
      <c r="D65" s="58" t="s">
        <v>1323</v>
      </c>
      <c r="E65" s="58" t="s">
        <v>2000</v>
      </c>
      <c r="F65" s="102" t="s">
        <v>2001</v>
      </c>
      <c r="G65" s="102" t="s">
        <v>1963</v>
      </c>
      <c r="H65" s="102"/>
      <c r="I65" s="102"/>
      <c r="J65" s="102"/>
      <c r="K65" s="108" t="s">
        <v>2002</v>
      </c>
    </row>
    <row r="66" spans="1:31" ht="13.15" x14ac:dyDescent="0.4">
      <c r="D66" s="56" t="s">
        <v>1350</v>
      </c>
      <c r="E66" s="111">
        <v>-0.5</v>
      </c>
      <c r="F66" s="104" t="s">
        <v>2003</v>
      </c>
      <c r="G66" s="53" t="s">
        <v>1970</v>
      </c>
      <c r="K66" s="112">
        <f>IF(AND($E$63="ON",Settings!$B$10&lt;&gt;"LEGACY"),E66,0)</f>
        <v>0</v>
      </c>
    </row>
    <row r="67" spans="1:31" ht="13.15" x14ac:dyDescent="0.4">
      <c r="D67" s="56" t="s">
        <v>1357</v>
      </c>
      <c r="E67" s="111">
        <v>-0.5</v>
      </c>
      <c r="F67" s="104" t="s">
        <v>2003</v>
      </c>
      <c r="G67" s="53" t="s">
        <v>1970</v>
      </c>
      <c r="K67" s="112">
        <f>IF(AND($E$63="ON",Settings!$B$10&lt;&gt;"LEGACY"),E67,0)</f>
        <v>0</v>
      </c>
    </row>
    <row r="68" spans="1:31" ht="13.15" x14ac:dyDescent="0.4">
      <c r="D68" s="56" t="s">
        <v>1363</v>
      </c>
      <c r="E68" s="111">
        <v>-0.5</v>
      </c>
      <c r="F68" s="104" t="s">
        <v>2003</v>
      </c>
      <c r="G68" s="53" t="s">
        <v>1970</v>
      </c>
      <c r="K68" s="112">
        <f>IF(AND($E$63="ON",Settings!$B$10&lt;&gt;"LEGACY"),E68,0)</f>
        <v>0</v>
      </c>
    </row>
    <row r="69" spans="1:31" ht="13.15" x14ac:dyDescent="0.4">
      <c r="D69" s="56" t="s">
        <v>1369</v>
      </c>
      <c r="E69" s="111">
        <v>-0.5</v>
      </c>
      <c r="F69" s="104" t="s">
        <v>2003</v>
      </c>
      <c r="G69" s="53" t="s">
        <v>1970</v>
      </c>
      <c r="K69" s="112">
        <f>IF(AND($E$63="ON",Settings!$B$10&lt;&gt;"LEGACY"),E69,0)</f>
        <v>0</v>
      </c>
    </row>
    <row r="70" spans="1:31" ht="13.15" x14ac:dyDescent="0.4">
      <c r="D70" s="56" t="s">
        <v>1376</v>
      </c>
      <c r="E70" s="111">
        <v>-0.5</v>
      </c>
      <c r="F70" s="104" t="s">
        <v>2003</v>
      </c>
      <c r="G70" s="53" t="s">
        <v>1970</v>
      </c>
      <c r="K70" s="112">
        <f>IF(AND($E$63="ON",Settings!$B$10&lt;&gt;"LEGACY"),E70,0)</f>
        <v>0</v>
      </c>
    </row>
    <row r="71" spans="1:31" ht="13.15" x14ac:dyDescent="0.4">
      <c r="D71" s="56" t="s">
        <v>1383</v>
      </c>
      <c r="E71" s="111">
        <v>-0.5</v>
      </c>
      <c r="F71" s="104" t="s">
        <v>2003</v>
      </c>
      <c r="G71" s="53" t="s">
        <v>1970</v>
      </c>
      <c r="K71" s="112">
        <f>IF(AND($E$63="ON",Settings!$B$10&lt;&gt;"LEGACY"),E71,0)</f>
        <v>0</v>
      </c>
    </row>
    <row r="72" spans="1:31" ht="13.15" x14ac:dyDescent="0.4">
      <c r="D72" s="56" t="s">
        <v>1390</v>
      </c>
      <c r="E72" s="111">
        <v>-0.5</v>
      </c>
      <c r="F72" s="104" t="s">
        <v>2003</v>
      </c>
      <c r="G72" s="53" t="s">
        <v>1970</v>
      </c>
      <c r="K72" s="112">
        <f>IF(AND($E$63="ON",Settings!$B$10&lt;&gt;"LEGACY"),E72,0)</f>
        <v>0</v>
      </c>
    </row>
    <row r="73" spans="1:31" ht="13.15" x14ac:dyDescent="0.4">
      <c r="D73" s="56" t="s">
        <v>1397</v>
      </c>
      <c r="E73" s="111">
        <v>-0.5</v>
      </c>
      <c r="F73" s="104" t="s">
        <v>2003</v>
      </c>
      <c r="G73" s="53" t="s">
        <v>1970</v>
      </c>
      <c r="K73" s="112">
        <f>IF(AND($E$63="ON",Settings!$B$10&lt;&gt;"LEGACY"),E73,0)</f>
        <v>0</v>
      </c>
    </row>
    <row r="75" spans="1:31" ht="13.15" x14ac:dyDescent="0.4">
      <c r="A75" s="56"/>
      <c r="B75" s="56" t="s">
        <v>2024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2025</v>
      </c>
      <c r="E76" s="93" t="s">
        <v>2026</v>
      </c>
      <c r="F76" s="53" t="s">
        <v>2027</v>
      </c>
    </row>
    <row r="77" spans="1:31" x14ac:dyDescent="0.35">
      <c r="D77" s="53" t="s">
        <v>2028</v>
      </c>
    </row>
    <row r="78" spans="1:31" ht="13.15" x14ac:dyDescent="0.4">
      <c r="D78" s="58" t="s">
        <v>1156</v>
      </c>
      <c r="E78" s="58" t="s">
        <v>35</v>
      </c>
      <c r="F78" s="102" t="s">
        <v>36</v>
      </c>
      <c r="G78" s="102"/>
      <c r="H78" s="102"/>
      <c r="I78" s="102"/>
      <c r="J78" s="102"/>
      <c r="K78" s="108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2029</v>
      </c>
      <c r="E79" s="114" t="s">
        <v>2030</v>
      </c>
      <c r="F79" s="104" t="s">
        <v>2031</v>
      </c>
      <c r="K79" s="114"/>
      <c r="L79" s="105">
        <v>100</v>
      </c>
      <c r="M79" s="105">
        <v>100</v>
      </c>
      <c r="N79" s="105">
        <v>100</v>
      </c>
      <c r="O79" s="105">
        <v>100</v>
      </c>
      <c r="P79" s="105">
        <v>100</v>
      </c>
      <c r="Q79" s="105">
        <v>100</v>
      </c>
      <c r="R79" s="105">
        <v>100</v>
      </c>
      <c r="S79" s="105">
        <v>100</v>
      </c>
      <c r="T79" s="105">
        <v>100</v>
      </c>
      <c r="U79" s="105">
        <v>100</v>
      </c>
      <c r="V79" s="105">
        <v>100</v>
      </c>
      <c r="W79" s="105">
        <v>100</v>
      </c>
      <c r="X79" s="105">
        <v>100</v>
      </c>
      <c r="Y79" s="105">
        <v>100</v>
      </c>
      <c r="Z79" s="105">
        <v>100</v>
      </c>
      <c r="AA79" s="105">
        <v>100</v>
      </c>
      <c r="AB79" s="105">
        <v>100</v>
      </c>
      <c r="AC79" s="105">
        <v>100</v>
      </c>
      <c r="AD79" s="105">
        <v>100</v>
      </c>
      <c r="AE79" s="105">
        <v>100</v>
      </c>
    </row>
    <row r="80" spans="1:31" ht="13.15" x14ac:dyDescent="0.4">
      <c r="D80" s="56" t="s">
        <v>2032</v>
      </c>
      <c r="E80" s="114" t="s">
        <v>79</v>
      </c>
      <c r="F80" s="104" t="s">
        <v>2033</v>
      </c>
      <c r="K80" s="114"/>
      <c r="L80" s="115">
        <v>0</v>
      </c>
      <c r="M80" s="115">
        <v>0</v>
      </c>
      <c r="N80" s="115">
        <v>0</v>
      </c>
      <c r="O80" s="115">
        <v>0</v>
      </c>
      <c r="P80" s="115">
        <v>2.5000000000000001E-2</v>
      </c>
      <c r="Q80" s="115">
        <v>0.05</v>
      </c>
      <c r="R80" s="115">
        <v>0.1</v>
      </c>
      <c r="S80" s="115">
        <v>0.22500000000000001</v>
      </c>
      <c r="T80" s="115">
        <v>0.48499999999999999</v>
      </c>
      <c r="U80" s="115">
        <v>0.61</v>
      </c>
      <c r="V80" s="115">
        <v>0.73499999999999999</v>
      </c>
      <c r="W80" s="115">
        <v>0.86</v>
      </c>
      <c r="X80" s="115">
        <v>1</v>
      </c>
      <c r="Y80" s="115">
        <v>1</v>
      </c>
      <c r="Z80" s="115">
        <v>1</v>
      </c>
      <c r="AA80" s="115">
        <v>1</v>
      </c>
      <c r="AB80" s="115">
        <v>1</v>
      </c>
      <c r="AC80" s="115">
        <v>1</v>
      </c>
      <c r="AD80" s="115">
        <v>1</v>
      </c>
      <c r="AE80" s="115">
        <v>1</v>
      </c>
    </row>
    <row r="81" spans="1:31" ht="13.15" x14ac:dyDescent="0.4">
      <c r="D81" s="56" t="s">
        <v>2034</v>
      </c>
      <c r="E81" s="114" t="s">
        <v>79</v>
      </c>
      <c r="F81" s="104" t="s">
        <v>2035</v>
      </c>
      <c r="K81" s="114"/>
      <c r="L81" s="115">
        <f t="shared" ref="L81:AE81" si="15">IF($E$76="NOPHASE",1,L80)</f>
        <v>0</v>
      </c>
      <c r="M81" s="115">
        <f t="shared" si="15"/>
        <v>0</v>
      </c>
      <c r="N81" s="115">
        <f t="shared" si="15"/>
        <v>0</v>
      </c>
      <c r="O81" s="115">
        <f t="shared" si="15"/>
        <v>0</v>
      </c>
      <c r="P81" s="115">
        <f t="shared" si="15"/>
        <v>2.5000000000000001E-2</v>
      </c>
      <c r="Q81" s="115">
        <f t="shared" si="15"/>
        <v>0.05</v>
      </c>
      <c r="R81" s="115">
        <f t="shared" si="15"/>
        <v>0.1</v>
      </c>
      <c r="S81" s="115">
        <f t="shared" si="15"/>
        <v>0.22500000000000001</v>
      </c>
      <c r="T81" s="115">
        <f t="shared" si="15"/>
        <v>0.48499999999999999</v>
      </c>
      <c r="U81" s="115">
        <f t="shared" si="15"/>
        <v>0.61</v>
      </c>
      <c r="V81" s="115">
        <f t="shared" si="15"/>
        <v>0.73499999999999999</v>
      </c>
      <c r="W81" s="115">
        <f t="shared" si="15"/>
        <v>0.86</v>
      </c>
      <c r="X81" s="115">
        <f t="shared" si="15"/>
        <v>1</v>
      </c>
      <c r="Y81" s="115">
        <f t="shared" si="15"/>
        <v>1</v>
      </c>
      <c r="Z81" s="115">
        <f t="shared" si="15"/>
        <v>1</v>
      </c>
      <c r="AA81" s="115">
        <f t="shared" si="15"/>
        <v>1</v>
      </c>
      <c r="AB81" s="115">
        <f t="shared" si="15"/>
        <v>1</v>
      </c>
      <c r="AC81" s="115">
        <f t="shared" si="15"/>
        <v>1</v>
      </c>
      <c r="AD81" s="115">
        <f t="shared" si="15"/>
        <v>1</v>
      </c>
      <c r="AE81" s="115">
        <f t="shared" si="15"/>
        <v>1</v>
      </c>
    </row>
    <row r="82" spans="1:31" ht="13.15" x14ac:dyDescent="0.4">
      <c r="D82" s="56" t="s">
        <v>2036</v>
      </c>
      <c r="E82" s="114" t="s">
        <v>79</v>
      </c>
      <c r="F82" s="104" t="s">
        <v>2037</v>
      </c>
      <c r="K82" s="114"/>
      <c r="L82" s="115">
        <f t="shared" ref="L82:AE82" si="16">IF($E$76="SCALED",L81,1)</f>
        <v>1</v>
      </c>
      <c r="M82" s="115">
        <f t="shared" si="16"/>
        <v>1</v>
      </c>
      <c r="N82" s="115">
        <f t="shared" si="16"/>
        <v>1</v>
      </c>
      <c r="O82" s="115">
        <f t="shared" si="16"/>
        <v>1</v>
      </c>
      <c r="P82" s="115">
        <f t="shared" si="16"/>
        <v>1</v>
      </c>
      <c r="Q82" s="115">
        <f t="shared" si="16"/>
        <v>1</v>
      </c>
      <c r="R82" s="115">
        <f t="shared" si="16"/>
        <v>1</v>
      </c>
      <c r="S82" s="115">
        <f t="shared" si="16"/>
        <v>1</v>
      </c>
      <c r="T82" s="115">
        <f t="shared" si="16"/>
        <v>1</v>
      </c>
      <c r="U82" s="115">
        <f t="shared" si="16"/>
        <v>1</v>
      </c>
      <c r="V82" s="115">
        <f t="shared" si="16"/>
        <v>1</v>
      </c>
      <c r="W82" s="115">
        <f t="shared" si="16"/>
        <v>1</v>
      </c>
      <c r="X82" s="115">
        <f t="shared" si="16"/>
        <v>1</v>
      </c>
      <c r="Y82" s="115">
        <f t="shared" si="16"/>
        <v>1</v>
      </c>
      <c r="Z82" s="115">
        <f t="shared" si="16"/>
        <v>1</v>
      </c>
      <c r="AA82" s="115">
        <f t="shared" si="16"/>
        <v>1</v>
      </c>
      <c r="AB82" s="115">
        <f t="shared" si="16"/>
        <v>1</v>
      </c>
      <c r="AC82" s="115">
        <f t="shared" si="16"/>
        <v>1</v>
      </c>
      <c r="AD82" s="115">
        <f t="shared" si="16"/>
        <v>1</v>
      </c>
      <c r="AE82" s="115">
        <f t="shared" si="16"/>
        <v>1</v>
      </c>
    </row>
    <row r="84" spans="1:31" ht="13.15" x14ac:dyDescent="0.4">
      <c r="A84" s="56"/>
      <c r="B84" s="56" t="s">
        <v>3135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3136</v>
      </c>
      <c r="E85" s="93" t="s">
        <v>3137</v>
      </c>
      <c r="F85" s="53" t="s">
        <v>3138</v>
      </c>
    </row>
    <row r="86" spans="1:31" x14ac:dyDescent="0.35">
      <c r="D86" s="53" t="s">
        <v>3139</v>
      </c>
    </row>
    <row r="87" spans="1:31" ht="13.15" x14ac:dyDescent="0.4">
      <c r="D87" s="58" t="s">
        <v>1323</v>
      </c>
      <c r="E87" s="58" t="s">
        <v>3140</v>
      </c>
      <c r="F87" s="102" t="s">
        <v>2001</v>
      </c>
      <c r="G87" s="102" t="s">
        <v>1963</v>
      </c>
      <c r="H87" s="102" t="s">
        <v>929</v>
      </c>
      <c r="I87" s="102"/>
      <c r="J87" s="102"/>
      <c r="K87" s="108"/>
    </row>
    <row r="88" spans="1:31" ht="13.15" x14ac:dyDescent="0.4">
      <c r="D88" s="56" t="s">
        <v>1350</v>
      </c>
      <c r="E88" s="112">
        <v>0</v>
      </c>
      <c r="F88" s="104" t="s">
        <v>3141</v>
      </c>
      <c r="G88" s="53" t="s">
        <v>3142</v>
      </c>
      <c r="H88" s="94" t="s">
        <v>3143</v>
      </c>
      <c r="K88" s="112"/>
    </row>
    <row r="89" spans="1:31" ht="13.15" x14ac:dyDescent="0.4">
      <c r="D89" s="56" t="s">
        <v>1357</v>
      </c>
      <c r="E89" s="112">
        <v>0</v>
      </c>
      <c r="F89" s="104" t="s">
        <v>3144</v>
      </c>
      <c r="G89" s="53" t="s">
        <v>3142</v>
      </c>
      <c r="H89" s="94" t="s">
        <v>3145</v>
      </c>
      <c r="K89" s="112"/>
    </row>
    <row r="90" spans="1:31" ht="13.15" x14ac:dyDescent="0.4">
      <c r="D90" s="56" t="s">
        <v>1363</v>
      </c>
      <c r="E90" s="112">
        <v>0</v>
      </c>
      <c r="F90" s="104" t="s">
        <v>3146</v>
      </c>
      <c r="G90" s="53" t="s">
        <v>3142</v>
      </c>
      <c r="H90" s="94" t="s">
        <v>3147</v>
      </c>
      <c r="K90" s="112"/>
    </row>
    <row r="91" spans="1:31" ht="13.15" x14ac:dyDescent="0.4">
      <c r="D91" s="56" t="s">
        <v>1369</v>
      </c>
      <c r="E91" s="112">
        <v>0</v>
      </c>
      <c r="F91" s="104" t="s">
        <v>3144</v>
      </c>
      <c r="G91" s="53" t="s">
        <v>3142</v>
      </c>
      <c r="H91" s="94" t="s">
        <v>3148</v>
      </c>
      <c r="K91" s="112"/>
    </row>
    <row r="92" spans="1:31" ht="13.15" x14ac:dyDescent="0.4">
      <c r="D92" s="56" t="s">
        <v>1376</v>
      </c>
      <c r="E92" s="112">
        <v>1</v>
      </c>
      <c r="F92" s="104" t="s">
        <v>3149</v>
      </c>
      <c r="G92" s="53" t="s">
        <v>3142</v>
      </c>
      <c r="H92" s="94" t="s">
        <v>3150</v>
      </c>
      <c r="K92" s="112"/>
    </row>
    <row r="93" spans="1:31" ht="13.15" x14ac:dyDescent="0.4">
      <c r="D93" s="56" t="s">
        <v>1383</v>
      </c>
      <c r="E93" s="112">
        <v>0</v>
      </c>
      <c r="F93" s="104" t="s">
        <v>3144</v>
      </c>
      <c r="G93" s="53" t="s">
        <v>3142</v>
      </c>
      <c r="H93" s="94" t="s">
        <v>3151</v>
      </c>
      <c r="K93" s="112"/>
    </row>
    <row r="94" spans="1:31" ht="13.15" x14ac:dyDescent="0.4">
      <c r="D94" s="56" t="s">
        <v>1390</v>
      </c>
      <c r="E94" s="112">
        <v>0</v>
      </c>
      <c r="F94" s="104" t="s">
        <v>3144</v>
      </c>
      <c r="G94" s="53" t="s">
        <v>3142</v>
      </c>
      <c r="H94" s="94" t="s">
        <v>3152</v>
      </c>
      <c r="K94" s="112"/>
    </row>
    <row r="95" spans="1:31" ht="13.15" x14ac:dyDescent="0.4">
      <c r="D95" s="56" t="s">
        <v>1397</v>
      </c>
      <c r="E95" s="112">
        <v>0</v>
      </c>
      <c r="F95" s="104" t="s">
        <v>3144</v>
      </c>
      <c r="G95" s="53" t="s">
        <v>3142</v>
      </c>
      <c r="H95" s="94" t="s">
        <v>3153</v>
      </c>
      <c r="K95" s="112"/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0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1717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1718</v>
      </c>
    </row>
    <row r="3" spans="1:35" x14ac:dyDescent="0.35">
      <c r="B3" s="53" t="s">
        <v>1719</v>
      </c>
    </row>
    <row r="5" spans="1:35" ht="13.15" x14ac:dyDescent="0.4">
      <c r="A5" s="63">
        <v>1</v>
      </c>
      <c r="B5" s="63" t="s">
        <v>1720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1721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1722</v>
      </c>
      <c r="C7" s="53" t="s">
        <v>1723</v>
      </c>
      <c r="D7" s="53" t="s">
        <v>1724</v>
      </c>
      <c r="I7" s="53" t="s">
        <v>1414</v>
      </c>
      <c r="J7" s="53" t="s">
        <v>1725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1726</v>
      </c>
      <c r="C8" s="53" t="s">
        <v>1727</v>
      </c>
      <c r="D8" s="53" t="s">
        <v>1728</v>
      </c>
      <c r="I8" s="53" t="s">
        <v>1414</v>
      </c>
      <c r="J8" s="53" t="s">
        <v>1725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1729</v>
      </c>
      <c r="C9" s="53" t="s">
        <v>1730</v>
      </c>
      <c r="D9" s="53" t="s">
        <v>77</v>
      </c>
      <c r="I9" s="53" t="s">
        <v>1414</v>
      </c>
      <c r="J9" s="53" t="s">
        <v>1725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1731</v>
      </c>
      <c r="C10" s="53" t="s">
        <v>1732</v>
      </c>
      <c r="D10" s="53" t="s">
        <v>1733</v>
      </c>
      <c r="I10" s="53" t="s">
        <v>1414</v>
      </c>
      <c r="J10" s="53" t="s">
        <v>1725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1734</v>
      </c>
      <c r="C11" s="53" t="s">
        <v>1735</v>
      </c>
      <c r="D11" s="53" t="s">
        <v>1736</v>
      </c>
      <c r="I11" s="53" t="s">
        <v>1414</v>
      </c>
      <c r="J11" s="53" t="s">
        <v>1725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1737</v>
      </c>
      <c r="C12" s="53" t="s">
        <v>1738</v>
      </c>
      <c r="D12" s="53" t="s">
        <v>1739</v>
      </c>
      <c r="I12" s="53" t="s">
        <v>1414</v>
      </c>
      <c r="J12" s="53" t="s">
        <v>1725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1740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1741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1742</v>
      </c>
      <c r="C16" s="58" t="s">
        <v>1743</v>
      </c>
      <c r="D16" s="58" t="s">
        <v>1744</v>
      </c>
      <c r="E16" s="58" t="s">
        <v>1745</v>
      </c>
      <c r="F16" s="58" t="s">
        <v>1746</v>
      </c>
      <c r="G16" s="58" t="s">
        <v>1747</v>
      </c>
      <c r="H16" s="58" t="s">
        <v>1748</v>
      </c>
      <c r="I16" s="58" t="s">
        <v>1749</v>
      </c>
      <c r="J16" s="58" t="s">
        <v>1750</v>
      </c>
      <c r="K16" s="58" t="s">
        <v>1751</v>
      </c>
      <c r="L16" s="58" t="s">
        <v>1752</v>
      </c>
      <c r="M16" s="58" t="s">
        <v>1884</v>
      </c>
      <c r="N16" s="58" t="s">
        <v>1885</v>
      </c>
      <c r="O16" s="58" t="s">
        <v>1886</v>
      </c>
      <c r="P16" s="58" t="s">
        <v>1887</v>
      </c>
    </row>
    <row r="17" spans="1:35" ht="13.15" x14ac:dyDescent="0.4">
      <c r="A17" s="56"/>
      <c r="B17" s="53" t="s">
        <v>1753</v>
      </c>
      <c r="C17" s="62" t="s">
        <v>1754</v>
      </c>
      <c r="D17" s="62" t="s">
        <v>1722</v>
      </c>
      <c r="E17" s="62" t="s">
        <v>1726</v>
      </c>
      <c r="F17" s="62">
        <v>1</v>
      </c>
      <c r="G17" s="62">
        <v>0</v>
      </c>
      <c r="H17" s="62" t="s">
        <v>1722</v>
      </c>
      <c r="I17" s="62">
        <v>0</v>
      </c>
      <c r="J17" s="62">
        <v>0</v>
      </c>
      <c r="K17" s="62" t="s">
        <v>1755</v>
      </c>
      <c r="L17" s="62" t="s">
        <v>1756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1757</v>
      </c>
      <c r="C18" s="62" t="s">
        <v>1758</v>
      </c>
      <c r="D18" s="62" t="s">
        <v>1731</v>
      </c>
      <c r="E18" s="62" t="s">
        <v>1729</v>
      </c>
      <c r="F18" s="62">
        <v>1</v>
      </c>
      <c r="G18" s="62">
        <v>1</v>
      </c>
      <c r="H18" s="62" t="s">
        <v>1731</v>
      </c>
      <c r="I18" s="62">
        <v>0</v>
      </c>
      <c r="J18" s="62">
        <v>0</v>
      </c>
      <c r="K18" s="62" t="s">
        <v>1759</v>
      </c>
      <c r="L18" s="62" t="s">
        <v>1756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1760</v>
      </c>
      <c r="C19" s="62" t="s">
        <v>1761</v>
      </c>
      <c r="D19" s="62" t="s">
        <v>1731</v>
      </c>
      <c r="E19" s="62" t="s">
        <v>1729</v>
      </c>
      <c r="F19" s="62">
        <v>1</v>
      </c>
      <c r="G19" s="62">
        <v>0</v>
      </c>
      <c r="H19" s="62" t="s">
        <v>1731</v>
      </c>
      <c r="I19" s="62">
        <v>0</v>
      </c>
      <c r="J19" s="62">
        <v>0</v>
      </c>
      <c r="K19" s="62" t="s">
        <v>1759</v>
      </c>
      <c r="L19" s="62" t="s">
        <v>1756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1762</v>
      </c>
      <c r="C20" s="62" t="s">
        <v>1763</v>
      </c>
      <c r="D20" s="62" t="s">
        <v>1731</v>
      </c>
      <c r="E20" s="62" t="s">
        <v>1729</v>
      </c>
      <c r="F20" s="62">
        <v>1</v>
      </c>
      <c r="G20" s="62">
        <v>0</v>
      </c>
      <c r="H20" s="62" t="s">
        <v>1731</v>
      </c>
      <c r="I20" s="62">
        <v>0</v>
      </c>
      <c r="J20" s="62">
        <v>0</v>
      </c>
      <c r="K20" s="62" t="s">
        <v>1764</v>
      </c>
      <c r="L20" s="62" t="s">
        <v>1756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1765</v>
      </c>
      <c r="C21" s="62" t="s">
        <v>1766</v>
      </c>
      <c r="D21" s="62" t="s">
        <v>1734</v>
      </c>
      <c r="E21" s="62" t="s">
        <v>1729</v>
      </c>
      <c r="F21" s="62">
        <v>1</v>
      </c>
      <c r="G21" s="62">
        <v>1</v>
      </c>
      <c r="H21" s="62" t="s">
        <v>1734</v>
      </c>
      <c r="I21" s="62">
        <v>0</v>
      </c>
      <c r="J21" s="62">
        <v>0</v>
      </c>
      <c r="K21" s="62" t="s">
        <v>1764</v>
      </c>
      <c r="L21" s="62" t="s">
        <v>1767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1768</v>
      </c>
      <c r="C22" s="62" t="s">
        <v>1769</v>
      </c>
      <c r="D22" s="62" t="s">
        <v>1734</v>
      </c>
      <c r="E22" s="62" t="s">
        <v>1729</v>
      </c>
      <c r="F22" s="62">
        <v>1</v>
      </c>
      <c r="G22" s="62">
        <v>1</v>
      </c>
      <c r="H22" s="62" t="s">
        <v>1734</v>
      </c>
      <c r="I22" s="62">
        <v>1</v>
      </c>
      <c r="J22" s="62">
        <v>0</v>
      </c>
      <c r="K22" s="62" t="s">
        <v>1770</v>
      </c>
      <c r="L22" s="62" t="s">
        <v>1767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1771</v>
      </c>
      <c r="C23" s="62" t="s">
        <v>1772</v>
      </c>
      <c r="D23" s="62" t="s">
        <v>1734</v>
      </c>
      <c r="E23" s="62" t="s">
        <v>1729</v>
      </c>
      <c r="F23" s="62">
        <v>1</v>
      </c>
      <c r="G23" s="62">
        <v>1</v>
      </c>
      <c r="H23" s="62" t="s">
        <v>1734</v>
      </c>
      <c r="I23" s="62">
        <v>0</v>
      </c>
      <c r="J23" s="62">
        <v>1</v>
      </c>
      <c r="K23" s="62" t="s">
        <v>1773</v>
      </c>
      <c r="L23" s="62" t="s">
        <v>1767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1774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1742</v>
      </c>
      <c r="C26" s="56" t="s">
        <v>1743</v>
      </c>
      <c r="D26" s="56" t="s">
        <v>1744</v>
      </c>
      <c r="E26" s="56" t="s">
        <v>1745</v>
      </c>
      <c r="F26" s="56" t="s">
        <v>1746</v>
      </c>
      <c r="G26" s="56" t="s">
        <v>1747</v>
      </c>
      <c r="H26" s="56" t="s">
        <v>1748</v>
      </c>
      <c r="I26" s="56" t="s">
        <v>1749</v>
      </c>
      <c r="J26" s="56" t="s">
        <v>1750</v>
      </c>
      <c r="K26" s="56" t="s">
        <v>1751</v>
      </c>
      <c r="L26" s="56" t="s">
        <v>1752</v>
      </c>
      <c r="M26" s="56" t="s">
        <v>1884</v>
      </c>
      <c r="N26" s="56" t="s">
        <v>1885</v>
      </c>
      <c r="O26" s="56" t="s">
        <v>1886</v>
      </c>
      <c r="P26" s="56" t="s">
        <v>1887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1775</v>
      </c>
      <c r="D29" s="56"/>
      <c r="E29" s="56" t="s">
        <v>1776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1777</v>
      </c>
      <c r="E30" s="62">
        <v>0.1</v>
      </c>
      <c r="I30" s="53" t="s">
        <v>1778</v>
      </c>
      <c r="J30" s="53" t="s">
        <v>1779</v>
      </c>
    </row>
    <row r="31" spans="1:35" ht="13.15" x14ac:dyDescent="0.4">
      <c r="A31" s="56"/>
      <c r="B31" s="53" t="s">
        <v>53</v>
      </c>
      <c r="C31" s="53" t="s">
        <v>1777</v>
      </c>
      <c r="E31" s="62">
        <v>5.5800000000000002E-2</v>
      </c>
      <c r="I31" s="53" t="s">
        <v>1778</v>
      </c>
      <c r="J31" s="53" t="s">
        <v>1779</v>
      </c>
    </row>
    <row r="32" spans="1:35" ht="13.15" x14ac:dyDescent="0.4">
      <c r="A32" s="56"/>
      <c r="B32" s="53" t="s">
        <v>55</v>
      </c>
      <c r="C32" s="53" t="s">
        <v>1777</v>
      </c>
      <c r="E32" s="62">
        <v>2.3142274537200002E-3</v>
      </c>
      <c r="I32" s="53" t="s">
        <v>1780</v>
      </c>
      <c r="J32" s="53" t="s">
        <v>1779</v>
      </c>
    </row>
    <row r="33" spans="1:35" ht="13.15" x14ac:dyDescent="0.4">
      <c r="A33" s="56"/>
      <c r="B33" s="53" t="s">
        <v>58</v>
      </c>
      <c r="C33" s="53" t="s">
        <v>1777</v>
      </c>
      <c r="E33" s="62">
        <v>2.64083510871E-3</v>
      </c>
      <c r="I33" s="53" t="s">
        <v>1780</v>
      </c>
      <c r="J33" s="53" t="s">
        <v>1779</v>
      </c>
    </row>
    <row r="34" spans="1:35" ht="13.15" x14ac:dyDescent="0.4">
      <c r="A34" s="56"/>
      <c r="B34" s="53" t="s">
        <v>60</v>
      </c>
      <c r="C34" s="53" t="s">
        <v>1777</v>
      </c>
      <c r="E34" s="62">
        <v>1.7684866341836534E-3</v>
      </c>
      <c r="I34" s="53" t="s">
        <v>1780</v>
      </c>
      <c r="J34" s="53" t="s">
        <v>1779</v>
      </c>
    </row>
    <row r="35" spans="1:35" ht="13.15" x14ac:dyDescent="0.4">
      <c r="A35" s="56"/>
      <c r="B35" s="53" t="s">
        <v>62</v>
      </c>
      <c r="C35" s="53" t="s">
        <v>1777</v>
      </c>
      <c r="E35" s="62">
        <v>2.5591064088086772E-3</v>
      </c>
      <c r="I35" s="53" t="s">
        <v>1780</v>
      </c>
      <c r="J35" s="53" t="s">
        <v>1779</v>
      </c>
    </row>
    <row r="36" spans="1:35" ht="13.15" x14ac:dyDescent="0.4">
      <c r="A36" s="56"/>
      <c r="B36" s="53" t="s">
        <v>64</v>
      </c>
      <c r="C36" s="53" t="s">
        <v>1777</v>
      </c>
      <c r="E36" s="62">
        <v>0.46940399999999999</v>
      </c>
      <c r="I36" s="53" t="s">
        <v>1781</v>
      </c>
      <c r="J36" s="53" t="s">
        <v>1779</v>
      </c>
    </row>
    <row r="37" spans="1:35" ht="13.15" x14ac:dyDescent="0.4">
      <c r="A37" s="56"/>
      <c r="B37" s="53" t="s">
        <v>67</v>
      </c>
      <c r="C37" s="53" t="s">
        <v>1777</v>
      </c>
      <c r="E37" s="62">
        <v>0</v>
      </c>
      <c r="I37" s="53" t="s">
        <v>1778</v>
      </c>
      <c r="J37" s="53" t="s">
        <v>1779</v>
      </c>
    </row>
    <row r="38" spans="1:35" ht="13.15" x14ac:dyDescent="0.4">
      <c r="A38" s="56"/>
      <c r="B38" s="53" t="s">
        <v>69</v>
      </c>
      <c r="C38" s="53" t="s">
        <v>1777</v>
      </c>
      <c r="E38" s="62">
        <v>0</v>
      </c>
      <c r="I38" s="53" t="s">
        <v>1782</v>
      </c>
      <c r="J38" s="53" t="s">
        <v>1779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1783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1784</v>
      </c>
      <c r="E41" s="56" t="s">
        <v>35</v>
      </c>
      <c r="F41" s="56" t="s">
        <v>36</v>
      </c>
      <c r="G41" s="56" t="s">
        <v>37</v>
      </c>
      <c r="H41" s="56" t="s">
        <v>1785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1413</v>
      </c>
      <c r="C42" s="53" t="s">
        <v>1786</v>
      </c>
      <c r="D42" s="53" t="s">
        <v>1787</v>
      </c>
      <c r="E42" s="53" t="s">
        <v>1414</v>
      </c>
      <c r="F42" s="53" t="s">
        <v>1788</v>
      </c>
      <c r="G42" s="94" t="s">
        <v>1419</v>
      </c>
      <c r="H42" s="53" t="s">
        <v>1913</v>
      </c>
      <c r="J42" s="53" t="s">
        <v>1725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1417</v>
      </c>
      <c r="C43" s="53" t="s">
        <v>1789</v>
      </c>
      <c r="D43" s="53" t="s">
        <v>1787</v>
      </c>
      <c r="E43" s="53" t="s">
        <v>1414</v>
      </c>
      <c r="F43" s="53" t="s">
        <v>1788</v>
      </c>
      <c r="G43" s="94" t="s">
        <v>1420</v>
      </c>
      <c r="H43" s="53" t="s">
        <v>1790</v>
      </c>
      <c r="J43" s="53" t="s">
        <v>1725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1791</v>
      </c>
      <c r="C44" s="53" t="s">
        <v>1792</v>
      </c>
      <c r="D44" s="53" t="s">
        <v>1787</v>
      </c>
      <c r="E44" s="53" t="s">
        <v>1414</v>
      </c>
      <c r="F44" s="53" t="s">
        <v>1788</v>
      </c>
      <c r="G44" s="94" t="s">
        <v>1793</v>
      </c>
      <c r="H44" s="53" t="s">
        <v>1914</v>
      </c>
      <c r="J44" s="53" t="s">
        <v>1725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1794</v>
      </c>
      <c r="C45" s="53" t="s">
        <v>1795</v>
      </c>
      <c r="D45" s="53" t="s">
        <v>1787</v>
      </c>
      <c r="E45" s="53" t="s">
        <v>79</v>
      </c>
      <c r="F45" s="53" t="s">
        <v>1788</v>
      </c>
      <c r="G45" s="94" t="s">
        <v>1796</v>
      </c>
      <c r="H45" s="53" t="s">
        <v>1797</v>
      </c>
      <c r="J45" s="53" t="s">
        <v>1725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1798</v>
      </c>
      <c r="C46" s="53" t="s">
        <v>1799</v>
      </c>
      <c r="D46" s="53" t="s">
        <v>1800</v>
      </c>
      <c r="E46" s="53" t="s">
        <v>79</v>
      </c>
      <c r="F46" s="53" t="s">
        <v>1788</v>
      </c>
      <c r="G46" s="94" t="s">
        <v>1801</v>
      </c>
      <c r="H46" s="53" t="s">
        <v>2453</v>
      </c>
      <c r="J46" s="53" t="s">
        <v>1725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1802</v>
      </c>
      <c r="C47" s="53" t="s">
        <v>1803</v>
      </c>
      <c r="D47" s="53" t="s">
        <v>1800</v>
      </c>
      <c r="E47" s="53" t="s">
        <v>1414</v>
      </c>
      <c r="F47" s="53" t="s">
        <v>1788</v>
      </c>
      <c r="G47" s="94" t="s">
        <v>1804</v>
      </c>
      <c r="H47" s="53" t="s">
        <v>2454</v>
      </c>
      <c r="J47" s="53" t="s">
        <v>1725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1805</v>
      </c>
      <c r="C48" s="53" t="s">
        <v>1806</v>
      </c>
      <c r="D48" s="53" t="s">
        <v>1807</v>
      </c>
      <c r="E48" s="53" t="s">
        <v>79</v>
      </c>
      <c r="F48" s="53" t="s">
        <v>1788</v>
      </c>
      <c r="G48" s="94" t="s">
        <v>1808</v>
      </c>
      <c r="H48" s="53" t="s">
        <v>2907</v>
      </c>
      <c r="J48" s="53" t="s">
        <v>1725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1809</v>
      </c>
      <c r="C49" s="53" t="s">
        <v>2905</v>
      </c>
      <c r="D49" s="53" t="s">
        <v>1811</v>
      </c>
      <c r="E49" s="53" t="s">
        <v>1414</v>
      </c>
      <c r="F49" s="53" t="s">
        <v>1788</v>
      </c>
      <c r="G49" s="94" t="s">
        <v>1812</v>
      </c>
      <c r="H49" s="53" t="s">
        <v>2906</v>
      </c>
      <c r="J49" s="53" t="s">
        <v>1725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1813</v>
      </c>
      <c r="D50" s="53" t="s">
        <v>1787</v>
      </c>
      <c r="E50" s="53" t="s">
        <v>51</v>
      </c>
      <c r="F50" s="53" t="s">
        <v>1788</v>
      </c>
      <c r="G50" s="94" t="s">
        <v>1023</v>
      </c>
      <c r="H50" s="53" t="s">
        <v>1814</v>
      </c>
      <c r="J50" s="53" t="s">
        <v>1725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1815</v>
      </c>
      <c r="D51" s="53" t="s">
        <v>1787</v>
      </c>
      <c r="E51" s="53" t="s">
        <v>51</v>
      </c>
      <c r="F51" s="53" t="s">
        <v>1788</v>
      </c>
      <c r="G51" s="94" t="s">
        <v>1025</v>
      </c>
      <c r="H51" s="53" t="s">
        <v>1814</v>
      </c>
      <c r="J51" s="53" t="s">
        <v>1725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1816</v>
      </c>
      <c r="D52" s="53" t="s">
        <v>1787</v>
      </c>
      <c r="E52" s="53" t="s">
        <v>57</v>
      </c>
      <c r="F52" s="53" t="s">
        <v>1788</v>
      </c>
      <c r="G52" s="94" t="s">
        <v>1028</v>
      </c>
      <c r="H52" s="53" t="s">
        <v>1814</v>
      </c>
      <c r="J52" s="53" t="s">
        <v>1725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1817</v>
      </c>
      <c r="D53" s="53" t="s">
        <v>1787</v>
      </c>
      <c r="E53" s="53" t="s">
        <v>57</v>
      </c>
      <c r="F53" s="53" t="s">
        <v>1788</v>
      </c>
      <c r="G53" s="94" t="s">
        <v>1032</v>
      </c>
      <c r="H53" s="53" t="s">
        <v>1814</v>
      </c>
      <c r="J53" s="53" t="s">
        <v>1725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1818</v>
      </c>
      <c r="D54" s="53" t="s">
        <v>1787</v>
      </c>
      <c r="E54" s="53" t="s">
        <v>57</v>
      </c>
      <c r="F54" s="53" t="s">
        <v>1788</v>
      </c>
      <c r="G54" s="94" t="s">
        <v>1036</v>
      </c>
      <c r="H54" s="53" t="s">
        <v>1814</v>
      </c>
      <c r="J54" s="53" t="s">
        <v>1725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1819</v>
      </c>
      <c r="D55" s="53" t="s">
        <v>1787</v>
      </c>
      <c r="E55" s="53" t="s">
        <v>57</v>
      </c>
      <c r="F55" s="53" t="s">
        <v>1788</v>
      </c>
      <c r="G55" s="94" t="s">
        <v>1040</v>
      </c>
      <c r="H55" s="53" t="s">
        <v>1814</v>
      </c>
      <c r="J55" s="53" t="s">
        <v>1725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1820</v>
      </c>
      <c r="D56" s="53" t="s">
        <v>1787</v>
      </c>
      <c r="E56" s="53" t="s">
        <v>66</v>
      </c>
      <c r="F56" s="53" t="s">
        <v>1788</v>
      </c>
      <c r="G56" s="94" t="s">
        <v>1044</v>
      </c>
      <c r="H56" s="53" t="s">
        <v>1814</v>
      </c>
      <c r="J56" s="53" t="s">
        <v>1725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1821</v>
      </c>
      <c r="D57" s="53" t="s">
        <v>1787</v>
      </c>
      <c r="E57" s="53" t="s">
        <v>51</v>
      </c>
      <c r="F57" s="53" t="s">
        <v>1788</v>
      </c>
      <c r="G57" s="94" t="s">
        <v>1048</v>
      </c>
      <c r="H57" s="53" t="s">
        <v>1814</v>
      </c>
      <c r="J57" s="53" t="s">
        <v>1725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1822</v>
      </c>
      <c r="D58" s="53" t="s">
        <v>1787</v>
      </c>
      <c r="E58" s="53" t="s">
        <v>71</v>
      </c>
      <c r="F58" s="53" t="s">
        <v>1788</v>
      </c>
      <c r="G58" s="94" t="s">
        <v>1052</v>
      </c>
      <c r="H58" s="53" t="s">
        <v>1814</v>
      </c>
      <c r="J58" s="53" t="s">
        <v>1725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1823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1824</v>
      </c>
    </row>
    <row r="62" spans="1:35" ht="13.15" x14ac:dyDescent="0.4">
      <c r="A62" s="56"/>
      <c r="B62" s="53" t="s">
        <v>1825</v>
      </c>
    </row>
    <row r="63" spans="1:35" ht="13.15" x14ac:dyDescent="0.4">
      <c r="A63" s="56"/>
      <c r="B63" s="53" t="s">
        <v>1826</v>
      </c>
    </row>
    <row r="64" spans="1:35" ht="13.15" x14ac:dyDescent="0.4">
      <c r="A64" s="56"/>
      <c r="B64" s="53" t="s">
        <v>1827</v>
      </c>
    </row>
    <row r="65" spans="1:2" ht="13.15" x14ac:dyDescent="0.4">
      <c r="A65" s="56"/>
      <c r="B65" s="53" t="s">
        <v>1828</v>
      </c>
    </row>
    <row r="66" spans="1:2" ht="13.15" x14ac:dyDescent="0.4">
      <c r="A66" s="56"/>
      <c r="B66" s="53" t="s">
        <v>1829</v>
      </c>
    </row>
    <row r="67" spans="1:2" ht="13.15" x14ac:dyDescent="0.4">
      <c r="A67" s="56"/>
      <c r="B67" s="53" t="s">
        <v>1830</v>
      </c>
    </row>
    <row r="68" spans="1:2" ht="13.15" x14ac:dyDescent="0.4">
      <c r="A68" s="56"/>
      <c r="B68" s="53" t="s">
        <v>1831</v>
      </c>
    </row>
    <row r="69" spans="1:2" x14ac:dyDescent="0.35">
      <c r="B69" s="53" t="s">
        <v>1873</v>
      </c>
    </row>
    <row r="70" spans="1:2" x14ac:dyDescent="0.35">
      <c r="B70" s="53" t="s">
        <v>1888</v>
      </c>
    </row>
    <row r="71" spans="1:2" x14ac:dyDescent="0.35">
      <c r="B71" s="53" t="s">
        <v>1915</v>
      </c>
    </row>
    <row r="72" spans="1:2" x14ac:dyDescent="0.35">
      <c r="B72" s="53" t="s">
        <v>1926</v>
      </c>
    </row>
    <row r="73" spans="1:2" x14ac:dyDescent="0.35">
      <c r="B73" s="53" t="s">
        <v>1992</v>
      </c>
    </row>
    <row r="74" spans="1:2" x14ac:dyDescent="0.35">
      <c r="B74" s="53" t="s">
        <v>2021</v>
      </c>
    </row>
    <row r="75" spans="1:2" x14ac:dyDescent="0.35">
      <c r="B75" s="53" t="s">
        <v>2051</v>
      </c>
    </row>
    <row r="76" spans="1:2" x14ac:dyDescent="0.35">
      <c r="B76" s="53" t="s">
        <v>2169</v>
      </c>
    </row>
    <row r="77" spans="1:2" x14ac:dyDescent="0.35">
      <c r="B77" s="53" t="s">
        <v>2455</v>
      </c>
    </row>
    <row r="78" spans="1:2" x14ac:dyDescent="0.35">
      <c r="B78" s="53" t="s">
        <v>2908</v>
      </c>
    </row>
    <row r="79" spans="1:2" x14ac:dyDescent="0.35">
      <c r="B79" s="53" t="s">
        <v>3279</v>
      </c>
    </row>
    <row r="80" spans="1:2" x14ac:dyDescent="0.35">
      <c r="B80" s="53" t="s">
        <v>3638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2381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2382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2383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2384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2385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2386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2387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2388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2389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2390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2391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2392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2393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2394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2395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2396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2397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2398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2399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2400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2401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2402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2403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2404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2405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2406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2407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2408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2409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2410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2411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2412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2413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2414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2415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2416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1421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1422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1423</v>
      </c>
      <c r="E247" s="71" t="s">
        <v>1414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1424</v>
      </c>
      <c r="E248" s="70" t="s">
        <v>1414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1425</v>
      </c>
      <c r="E249" s="70" t="s">
        <v>1426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2910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1427</v>
      </c>
      <c r="E250" s="70" t="s">
        <v>1860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2909</v>
      </c>
      <c r="J250" s="70"/>
      <c r="K250" s="70"/>
      <c r="L250" s="113">
        <f>Fund_Industry!L$122</f>
        <v>0</v>
      </c>
      <c r="M250" s="113">
        <f>Fund_Industry!M$122</f>
        <v>0</v>
      </c>
      <c r="N250" s="113">
        <f>Fund_Industry!N$122</f>
        <v>0</v>
      </c>
      <c r="O250" s="113">
        <f>Fund_Industry!O$122</f>
        <v>0</v>
      </c>
      <c r="P250" s="113">
        <f>Fund_Industry!P$122</f>
        <v>0</v>
      </c>
      <c r="Q250" s="113">
        <f>Fund_Industry!Q$122</f>
        <v>0</v>
      </c>
      <c r="R250" s="113">
        <f>Fund_Industry!R$122</f>
        <v>0</v>
      </c>
      <c r="S250" s="113">
        <f>Fund_Industry!S$122</f>
        <v>0</v>
      </c>
      <c r="T250" s="113">
        <f>Fund_Industry!T$122</f>
        <v>0</v>
      </c>
      <c r="U250" s="113">
        <f>Fund_Industry!U$122</f>
        <v>0</v>
      </c>
      <c r="V250" s="113">
        <f>Fund_Industry!V$122</f>
        <v>0</v>
      </c>
      <c r="W250" s="113">
        <f>Fund_Industry!W$122</f>
        <v>0</v>
      </c>
      <c r="X250" s="113">
        <f>Fund_Industry!X$122</f>
        <v>0</v>
      </c>
      <c r="Y250" s="113">
        <f>Fund_Industry!Y$122</f>
        <v>0</v>
      </c>
      <c r="Z250" s="113">
        <f>Fund_Industry!Z$122</f>
        <v>0</v>
      </c>
      <c r="AA250" s="113">
        <f>Fund_Industry!AA$122</f>
        <v>0</v>
      </c>
      <c r="AB250" s="113">
        <f>Fund_Industry!AB$122</f>
        <v>0</v>
      </c>
      <c r="AC250" s="113">
        <f>Fund_Industry!AC$122</f>
        <v>0</v>
      </c>
      <c r="AD250" s="113">
        <f>Fund_Industry!AD$122</f>
        <v>0</v>
      </c>
      <c r="AE250" s="113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1861</v>
      </c>
      <c r="E251" s="70" t="s">
        <v>1414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1862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1428</v>
      </c>
      <c r="D252" s="73"/>
      <c r="E252" s="71" t="s">
        <v>1429</v>
      </c>
      <c r="F252" s="71" t="s">
        <v>1430</v>
      </c>
      <c r="G252" s="71" t="s">
        <v>1404</v>
      </c>
      <c r="H252" s="71" t="s">
        <v>1431</v>
      </c>
      <c r="I252" s="71" t="s">
        <v>1432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1900</v>
      </c>
      <c r="D258" s="72" t="s">
        <v>1901</v>
      </c>
      <c r="E258" s="72" t="s">
        <v>1868</v>
      </c>
      <c r="F258" s="72"/>
      <c r="G258" s="70" t="s">
        <v>1491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15.80851477988204</v>
      </c>
      <c r="M258" s="72">
        <f t="shared" si="25"/>
        <v>16.333156432126469</v>
      </c>
      <c r="N258" s="72">
        <f t="shared" si="25"/>
        <v>16.8755025</v>
      </c>
      <c r="O258" s="72">
        <f t="shared" si="25"/>
        <v>17.436160520999998</v>
      </c>
      <c r="P258" s="72">
        <f t="shared" si="25"/>
        <v>18.015759258365996</v>
      </c>
      <c r="Q258" s="72">
        <f t="shared" si="25"/>
        <v>18.614949457680826</v>
      </c>
      <c r="R258" s="72">
        <f t="shared" si="25"/>
        <v>19.234404631062102</v>
      </c>
      <c r="S258" s="72">
        <f t="shared" si="25"/>
        <v>19.874821869976433</v>
      </c>
      <c r="T258" s="72">
        <f t="shared" si="25"/>
        <v>20.536922687748202</v>
      </c>
      <c r="U258" s="72">
        <f t="shared" si="25"/>
        <v>21.221453892876486</v>
      </c>
      <c r="V258" s="72">
        <f t="shared" si="25"/>
        <v>21.929188494316179</v>
      </c>
      <c r="W258" s="72">
        <f t="shared" si="25"/>
        <v>22.660926639924458</v>
      </c>
      <c r="X258" s="72">
        <f t="shared" si="25"/>
        <v>23.417496589319796</v>
      </c>
      <c r="Y258" s="72">
        <f t="shared" si="25"/>
        <v>24.199755722449421</v>
      </c>
      <c r="Z258" s="72">
        <f t="shared" si="25"/>
        <v>25.008591585210848</v>
      </c>
      <c r="AA258" s="72">
        <f t="shared" si="25"/>
        <v>25.844922973525971</v>
      </c>
      <c r="AB258" s="72">
        <f t="shared" si="25"/>
        <v>26.709701057319819</v>
      </c>
      <c r="AC258" s="72">
        <f t="shared" si="25"/>
        <v>27.603910545913166</v>
      </c>
      <c r="AD258" s="72">
        <f t="shared" si="25"/>
        <v>28.528570896396577</v>
      </c>
      <c r="AE258" s="72">
        <f t="shared" si="25"/>
        <v>29.484737566614793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1902</v>
      </c>
      <c r="E259" s="72" t="s">
        <v>1868</v>
      </c>
      <c r="F259" s="72"/>
      <c r="G259" s="70" t="s">
        <v>1491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5.1177315778627914</v>
      </c>
      <c r="M259" s="72">
        <f t="shared" si="26"/>
        <v>5.2880720358998579</v>
      </c>
      <c r="N259" s="72">
        <f t="shared" si="26"/>
        <v>5.4647009999999998</v>
      </c>
      <c r="O259" s="72">
        <f t="shared" si="26"/>
        <v>5.6478686219999998</v>
      </c>
      <c r="P259" s="72">
        <f t="shared" si="26"/>
        <v>5.8378354764840008</v>
      </c>
      <c r="Q259" s="72">
        <f t="shared" si="26"/>
        <v>6.0348730065378486</v>
      </c>
      <c r="R259" s="72">
        <f t="shared" si="26"/>
        <v>6.2392639888340149</v>
      </c>
      <c r="S259" s="72">
        <f t="shared" si="26"/>
        <v>6.451303018891398</v>
      </c>
      <c r="T259" s="72">
        <f t="shared" si="26"/>
        <v>6.6712970173913781</v>
      </c>
      <c r="U259" s="72">
        <f t="shared" si="26"/>
        <v>6.8995657584700689</v>
      </c>
      <c r="V259" s="72">
        <f t="shared" si="26"/>
        <v>7.1364424209471196</v>
      </c>
      <c r="W259" s="72">
        <f t="shared" si="26"/>
        <v>7.3822741634934577</v>
      </c>
      <c r="X259" s="72">
        <f t="shared" si="26"/>
        <v>7.6374227247843756</v>
      </c>
      <c r="Y259" s="72">
        <f t="shared" si="26"/>
        <v>7.9022650497302331</v>
      </c>
      <c r="Z259" s="72">
        <f t="shared" si="26"/>
        <v>8.1771939429249247</v>
      </c>
      <c r="AA259" s="72">
        <f t="shared" si="26"/>
        <v>8.462618750502326</v>
      </c>
      <c r="AB259" s="72">
        <f t="shared" si="26"/>
        <v>8.7589660716430888</v>
      </c>
      <c r="AC259" s="72">
        <f t="shared" si="26"/>
        <v>9.0666805010286531</v>
      </c>
      <c r="AD259" s="72">
        <f t="shared" si="26"/>
        <v>9.3862254035963115</v>
      </c>
      <c r="AE259" s="72">
        <f t="shared" si="26"/>
        <v>9.7180837230084443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1903</v>
      </c>
      <c r="E260" s="72" t="s">
        <v>1868</v>
      </c>
      <c r="F260" s="72"/>
      <c r="G260" s="70" t="s">
        <v>1491</v>
      </c>
      <c r="H260" s="87" t="str">
        <f>Settings!$B$3&amp;".mit.emisnp."&amp;$G260&amp;"."&amp;$J$5</f>
        <v>egy.mit.emisnp.cbam.tot.1</v>
      </c>
      <c r="I260" s="72" t="s">
        <v>2912</v>
      </c>
      <c r="J260" s="72"/>
      <c r="K260" s="72"/>
      <c r="L260" s="72">
        <f t="shared" ref="L260:AE260" si="27">SUMPRODUCT(L$276:L$283*($J$264:$J$271&gt;0)*$J$264:$J$271*(1+$J$273*(EXP(-$E$363:$E$370*($F$310:$F$317*L$308+$G$310:$G$317*L$248+L$249))-1)))/1000</f>
        <v>25.304020994313927</v>
      </c>
      <c r="M260" s="72">
        <f t="shared" si="27"/>
        <v>26.150733850694163</v>
      </c>
      <c r="N260" s="72">
        <f t="shared" si="27"/>
        <v>27.026</v>
      </c>
      <c r="O260" s="72">
        <f t="shared" si="27"/>
        <v>27.930793999999999</v>
      </c>
      <c r="P260" s="72">
        <f t="shared" si="27"/>
        <v>28.866124285999998</v>
      </c>
      <c r="Q260" s="72">
        <f t="shared" si="27"/>
        <v>29.833034380633993</v>
      </c>
      <c r="R260" s="72">
        <f t="shared" si="27"/>
        <v>30.832604148514033</v>
      </c>
      <c r="S260" s="72">
        <f t="shared" si="27"/>
        <v>31.865951097485905</v>
      </c>
      <c r="T260" s="72">
        <f t="shared" si="27"/>
        <v>32.934231728309406</v>
      </c>
      <c r="U260" s="72">
        <f t="shared" si="27"/>
        <v>34.038642934657467</v>
      </c>
      <c r="V260" s="72">
        <f t="shared" si="27"/>
        <v>35.180423455406483</v>
      </c>
      <c r="W260" s="72">
        <f t="shared" si="27"/>
        <v>36.360855381272707</v>
      </c>
      <c r="X260" s="72">
        <f t="shared" si="27"/>
        <v>37.581265717934848</v>
      </c>
      <c r="Y260" s="72">
        <f t="shared" si="27"/>
        <v>38.843028007872746</v>
      </c>
      <c r="Z260" s="72">
        <f t="shared" si="27"/>
        <v>40.147564013244924</v>
      </c>
      <c r="AA260" s="72">
        <f t="shared" si="27"/>
        <v>41.496345462226081</v>
      </c>
      <c r="AB260" s="72">
        <f t="shared" si="27"/>
        <v>42.890895861326747</v>
      </c>
      <c r="AC260" s="72">
        <f t="shared" si="27"/>
        <v>44.332792376324456</v>
      </c>
      <c r="AD260" s="72">
        <f t="shared" si="27"/>
        <v>45.823667784546537</v>
      </c>
      <c r="AE260" s="72">
        <f t="shared" si="27"/>
        <v>47.365212501361292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1904</v>
      </c>
      <c r="E261" s="72" t="s">
        <v>1868</v>
      </c>
      <c r="F261" s="72"/>
      <c r="G261" s="70" t="s">
        <v>1491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SUMPRODUCT(L$276:L$283*($K$264:$K$271&gt;0)*$K$264:$K$271*(1+$K$273*(EXP(-$E$363:$E$370*($F$310:$F$317*L$308+$G$310:$G$317*L$248+L$249))-1)))/1000</f>
        <v>0.78631830560210647</v>
      </c>
      <c r="M261" s="72">
        <f t="shared" si="28"/>
        <v>0.81117778540358554</v>
      </c>
      <c r="N261" s="72">
        <f t="shared" si="28"/>
        <v>0.83699999999999997</v>
      </c>
      <c r="O261" s="72">
        <f t="shared" si="28"/>
        <v>0.86382899999999996</v>
      </c>
      <c r="P261" s="72">
        <f t="shared" si="28"/>
        <v>0.89171106299999991</v>
      </c>
      <c r="Q261" s="72">
        <f t="shared" si="28"/>
        <v>0.92069481176099999</v>
      </c>
      <c r="R261" s="72">
        <f t="shared" si="28"/>
        <v>0.95083133879036696</v>
      </c>
      <c r="S261" s="72">
        <f t="shared" si="28"/>
        <v>0.98217433767876439</v>
      </c>
      <c r="T261" s="72">
        <f t="shared" si="28"/>
        <v>1.014780241561632</v>
      </c>
      <c r="U261" s="72">
        <f t="shared" si="28"/>
        <v>1.0487083690948893</v>
      </c>
      <c r="V261" s="72">
        <f t="shared" si="28"/>
        <v>1.0840210783559179</v>
      </c>
      <c r="W261" s="72">
        <f t="shared" si="28"/>
        <v>1.1207839291034405</v>
      </c>
      <c r="X261" s="72">
        <f t="shared" si="28"/>
        <v>1.1590658538537117</v>
      </c>
      <c r="Y261" s="72">
        <f t="shared" si="28"/>
        <v>1.1989393382555391</v>
      </c>
      <c r="Z261" s="72">
        <f t="shared" si="28"/>
        <v>1.2404806112731439</v>
      </c>
      <c r="AA261" s="72">
        <f t="shared" si="28"/>
        <v>1.2837698457138151</v>
      </c>
      <c r="AB261" s="72">
        <f t="shared" si="28"/>
        <v>1.3288913696667772</v>
      </c>
      <c r="AC261" s="72">
        <f t="shared" si="28"/>
        <v>1.3759338894508042</v>
      </c>
      <c r="AD261" s="72">
        <f t="shared" si="28"/>
        <v>1.4249907247009042</v>
      </c>
      <c r="AE261" s="72">
        <f t="shared" si="28"/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29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0.98003000000000007</v>
      </c>
      <c r="R264" s="76">
        <f t="shared" ref="R264:R271" si="31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29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30"/>
        <v>0.40525</v>
      </c>
      <c r="R265" s="76">
        <f t="shared" si="31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29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30"/>
        <v>2.3595000000000002</v>
      </c>
      <c r="R266" s="76">
        <f t="shared" si="31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29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0.87055000000000005</v>
      </c>
      <c r="R267" s="76">
        <f t="shared" si="31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29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1.8888</v>
      </c>
      <c r="R268" s="76">
        <f t="shared" si="31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29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0.48764960000000002</v>
      </c>
      <c r="R269" s="76">
        <f t="shared" si="31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29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1.52732</v>
      </c>
      <c r="R270" s="76">
        <f t="shared" si="31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29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30"/>
        <v>9.2560000000000002</v>
      </c>
      <c r="R271" s="76">
        <f t="shared" si="31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1889</v>
      </c>
      <c r="D272" s="73"/>
      <c r="E272" s="71"/>
      <c r="F272" s="71"/>
      <c r="G272" s="71"/>
      <c r="H272" s="71" t="s">
        <v>1891</v>
      </c>
      <c r="I272" s="71" t="s">
        <v>1892</v>
      </c>
      <c r="J272" s="71" t="s">
        <v>1893</v>
      </c>
      <c r="K272" s="71" t="s">
        <v>1894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1890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1433</v>
      </c>
      <c r="D274" s="73"/>
      <c r="E274" s="70"/>
      <c r="F274" s="70" t="s">
        <v>1434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1435</v>
      </c>
      <c r="G275" s="70" t="s">
        <v>1436</v>
      </c>
      <c r="H275" s="70" t="s">
        <v>1437</v>
      </c>
      <c r="I275" s="70" t="s">
        <v>1438</v>
      </c>
      <c r="J275" s="71" t="s">
        <v>2004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1439</v>
      </c>
      <c r="F276" s="88">
        <v>5100</v>
      </c>
      <c r="G276" s="89">
        <v>4.3999999999999997E-2</v>
      </c>
      <c r="H276" s="80"/>
      <c r="I276" s="88">
        <v>580</v>
      </c>
      <c r="J276" s="113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90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1439</v>
      </c>
      <c r="F277" s="88">
        <v>4800</v>
      </c>
      <c r="G277" s="89">
        <v>4.3999999999999997E-2</v>
      </c>
      <c r="H277" s="80"/>
      <c r="I277" s="88">
        <v>300</v>
      </c>
      <c r="J277" s="113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90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1439</v>
      </c>
      <c r="F278" s="88">
        <v>0</v>
      </c>
      <c r="G278" s="89">
        <v>0</v>
      </c>
      <c r="H278" s="80"/>
      <c r="I278" s="88">
        <v>0</v>
      </c>
      <c r="J278" s="113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90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1440</v>
      </c>
      <c r="F279" s="88">
        <v>50000</v>
      </c>
      <c r="G279" s="89">
        <v>3.3000000000000002E-2</v>
      </c>
      <c r="H279" s="80"/>
      <c r="I279" s="88">
        <v>800</v>
      </c>
      <c r="J279" s="113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90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1441</v>
      </c>
      <c r="E280" s="70" t="s">
        <v>1442</v>
      </c>
      <c r="F280" s="88">
        <v>1785</v>
      </c>
      <c r="G280" s="89">
        <v>2.1999999999999999E-2</v>
      </c>
      <c r="H280" s="80"/>
      <c r="I280" s="88">
        <v>120</v>
      </c>
      <c r="J280" s="113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90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1443</v>
      </c>
      <c r="F281" s="88">
        <v>2800</v>
      </c>
      <c r="G281" s="89">
        <v>2.1999999999999999E-2</v>
      </c>
      <c r="H281" s="80"/>
      <c r="I281" s="88">
        <v>1600</v>
      </c>
      <c r="J281" s="113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90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1444</v>
      </c>
      <c r="F282" s="88">
        <v>600</v>
      </c>
      <c r="G282" s="89">
        <v>2.1999999999999999E-2</v>
      </c>
      <c r="H282" s="80"/>
      <c r="I282" s="88">
        <v>80</v>
      </c>
      <c r="J282" s="113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90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1445</v>
      </c>
      <c r="F283" s="88">
        <v>300</v>
      </c>
      <c r="G283" s="89">
        <v>5.5E-2</v>
      </c>
      <c r="H283" s="80"/>
      <c r="I283" s="88">
        <v>167</v>
      </c>
      <c r="J283" s="113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90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1933</v>
      </c>
      <c r="D284" s="72" t="s">
        <v>1927</v>
      </c>
      <c r="E284" s="72" t="s">
        <v>79</v>
      </c>
      <c r="F284" s="72"/>
      <c r="G284" s="70" t="s">
        <v>1491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42"/>
        <v>0</v>
      </c>
      <c r="N284" s="101">
        <f t="shared" si="42"/>
        <v>0</v>
      </c>
      <c r="O284" s="101">
        <f t="shared" si="42"/>
        <v>0</v>
      </c>
      <c r="P284" s="101">
        <f t="shared" si="42"/>
        <v>0</v>
      </c>
      <c r="Q284" s="101">
        <f t="shared" si="42"/>
        <v>0</v>
      </c>
      <c r="R284" s="101">
        <f t="shared" si="42"/>
        <v>0</v>
      </c>
      <c r="S284" s="101">
        <f t="shared" si="42"/>
        <v>0</v>
      </c>
      <c r="T284" s="101">
        <f t="shared" si="42"/>
        <v>0</v>
      </c>
      <c r="U284" s="101">
        <f t="shared" si="42"/>
        <v>0</v>
      </c>
      <c r="V284" s="101">
        <f t="shared" si="42"/>
        <v>0</v>
      </c>
      <c r="W284" s="101">
        <f t="shared" si="42"/>
        <v>0</v>
      </c>
      <c r="X284" s="101">
        <f t="shared" si="42"/>
        <v>0</v>
      </c>
      <c r="Y284" s="101">
        <f t="shared" si="42"/>
        <v>0</v>
      </c>
      <c r="Z284" s="101">
        <f t="shared" si="42"/>
        <v>0</v>
      </c>
      <c r="AA284" s="101">
        <f t="shared" si="42"/>
        <v>0</v>
      </c>
      <c r="AB284" s="101">
        <f t="shared" si="42"/>
        <v>0</v>
      </c>
      <c r="AC284" s="101">
        <f t="shared" si="42"/>
        <v>0</v>
      </c>
      <c r="AD284" s="101">
        <f t="shared" si="42"/>
        <v>0</v>
      </c>
      <c r="AE284" s="101">
        <f t="shared" si="42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1928</v>
      </c>
      <c r="E285" s="72" t="s">
        <v>1929</v>
      </c>
      <c r="F285" s="72"/>
      <c r="G285" s="70" t="s">
        <v>1491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0.76858068667604662</v>
      </c>
      <c r="M285" s="76">
        <f t="shared" si="43"/>
        <v>0.7681952948756956</v>
      </c>
      <c r="N285" s="76">
        <f t="shared" si="43"/>
        <v>0.7678091840636232</v>
      </c>
      <c r="O285" s="76">
        <f t="shared" si="43"/>
        <v>0.76742240027798359</v>
      </c>
      <c r="P285" s="76">
        <f t="shared" si="43"/>
        <v>0.76703499073315395</v>
      </c>
      <c r="Q285" s="76">
        <f t="shared" si="43"/>
        <v>0.76664700383607165</v>
      </c>
      <c r="R285" s="76">
        <f t="shared" si="43"/>
        <v>0.76625848920260697</v>
      </c>
      <c r="S285" s="76">
        <f t="shared" si="43"/>
        <v>0.76586949767397294</v>
      </c>
      <c r="T285" s="76">
        <f t="shared" si="43"/>
        <v>0.76548008133316492</v>
      </c>
      <c r="U285" s="76">
        <f t="shared" si="43"/>
        <v>0.76509029352142122</v>
      </c>
      <c r="V285" s="76">
        <f t="shared" si="43"/>
        <v>0.76470018885470381</v>
      </c>
      <c r="W285" s="76">
        <f t="shared" si="43"/>
        <v>0.76430982324018992</v>
      </c>
      <c r="X285" s="76">
        <f t="shared" si="43"/>
        <v>0.76391925389276905</v>
      </c>
      <c r="Y285" s="76">
        <f t="shared" si="43"/>
        <v>0.76352853935153964</v>
      </c>
      <c r="Z285" s="76">
        <f t="shared" si="43"/>
        <v>0.76313773949630015</v>
      </c>
      <c r="AA285" s="76">
        <f t="shared" si="43"/>
        <v>0.76274691556402296</v>
      </c>
      <c r="AB285" s="76">
        <f t="shared" si="43"/>
        <v>0.76235613016531245</v>
      </c>
      <c r="AC285" s="76">
        <f t="shared" si="43"/>
        <v>0.76196544730083182</v>
      </c>
      <c r="AD285" s="76">
        <f t="shared" si="43"/>
        <v>0.76157493237769769</v>
      </c>
      <c r="AE285" s="76">
        <f t="shared" si="43"/>
        <v>0.76118465222583054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1930</v>
      </c>
      <c r="E286" s="72" t="s">
        <v>79</v>
      </c>
      <c r="F286" s="72"/>
      <c r="G286" s="70" t="s">
        <v>1491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44">IF((SUM(L$330:L$337)+SUM(L$341:L$348))=0,0,L$380/(SUM(L$330:L$337)+SUM(L$341:L$348))-1)</f>
        <v>0</v>
      </c>
      <c r="M286" s="101">
        <f t="shared" si="44"/>
        <v>-1.1102230246251565E-16</v>
      </c>
      <c r="N286" s="101">
        <f t="shared" si="44"/>
        <v>0</v>
      </c>
      <c r="O286" s="101">
        <f t="shared" si="44"/>
        <v>0</v>
      </c>
      <c r="P286" s="101">
        <f t="shared" si="44"/>
        <v>0</v>
      </c>
      <c r="Q286" s="101">
        <f t="shared" si="44"/>
        <v>0</v>
      </c>
      <c r="R286" s="101">
        <f t="shared" si="44"/>
        <v>0</v>
      </c>
      <c r="S286" s="101">
        <f t="shared" si="44"/>
        <v>-1.1102230246251565E-16</v>
      </c>
      <c r="T286" s="101">
        <f t="shared" si="44"/>
        <v>0</v>
      </c>
      <c r="U286" s="101">
        <f t="shared" si="44"/>
        <v>0</v>
      </c>
      <c r="V286" s="101">
        <f t="shared" si="44"/>
        <v>0</v>
      </c>
      <c r="W286" s="101">
        <f t="shared" si="44"/>
        <v>2.2204460492503131E-16</v>
      </c>
      <c r="X286" s="101">
        <f t="shared" si="44"/>
        <v>0</v>
      </c>
      <c r="Y286" s="101">
        <f t="shared" si="44"/>
        <v>-2.2204460492503131E-16</v>
      </c>
      <c r="Z286" s="101">
        <f t="shared" si="44"/>
        <v>0</v>
      </c>
      <c r="AA286" s="101">
        <f t="shared" si="44"/>
        <v>0</v>
      </c>
      <c r="AB286" s="101">
        <f t="shared" si="44"/>
        <v>0</v>
      </c>
      <c r="AC286" s="101">
        <f t="shared" si="44"/>
        <v>0</v>
      </c>
      <c r="AD286" s="101">
        <f t="shared" si="44"/>
        <v>0</v>
      </c>
      <c r="AE286" s="101">
        <f t="shared" si="44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1446</v>
      </c>
      <c r="D287" s="73" t="s">
        <v>1323</v>
      </c>
      <c r="E287" s="70" t="s">
        <v>1447</v>
      </c>
      <c r="F287" s="70" t="s">
        <v>1323</v>
      </c>
      <c r="G287" s="70" t="s">
        <v>1448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1449</v>
      </c>
      <c r="E288" s="87" t="s">
        <v>1450</v>
      </c>
      <c r="F288" s="70" t="s">
        <v>1451</v>
      </c>
      <c r="G288" s="85"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1452</v>
      </c>
      <c r="E289" s="87" t="s">
        <v>1453</v>
      </c>
      <c r="F289" s="70" t="s">
        <v>1454</v>
      </c>
      <c r="G289" s="85"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1455</v>
      </c>
      <c r="E290" s="87" t="s">
        <v>1456</v>
      </c>
      <c r="F290" s="70" t="s">
        <v>1457</v>
      </c>
      <c r="G290" s="85"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1458</v>
      </c>
      <c r="E291" s="87" t="s">
        <v>1459</v>
      </c>
      <c r="F291" s="70" t="s">
        <v>1460</v>
      </c>
      <c r="G291" s="85"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1461</v>
      </c>
      <c r="E292" s="87" t="s">
        <v>1462</v>
      </c>
      <c r="F292" s="70" t="s">
        <v>1463</v>
      </c>
      <c r="G292" s="85"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1464</v>
      </c>
      <c r="E293" s="87" t="s">
        <v>1465</v>
      </c>
      <c r="F293" s="70" t="s">
        <v>1466</v>
      </c>
      <c r="G293" s="85"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1467</v>
      </c>
      <c r="E294" s="87" t="s">
        <v>1468</v>
      </c>
      <c r="F294" s="70" t="s">
        <v>1469</v>
      </c>
      <c r="G294" s="85"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1470</v>
      </c>
      <c r="E295" s="87" t="s">
        <v>1471</v>
      </c>
      <c r="F295" s="70" t="s">
        <v>1472</v>
      </c>
      <c r="G295" s="85"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1934</v>
      </c>
      <c r="D296" s="72" t="s">
        <v>1931</v>
      </c>
      <c r="E296" s="72" t="s">
        <v>79</v>
      </c>
      <c r="F296" s="72"/>
      <c r="G296" s="70" t="s">
        <v>1491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66"/>
        <v>0</v>
      </c>
      <c r="N296" s="101">
        <f t="shared" si="66"/>
        <v>0</v>
      </c>
      <c r="O296" s="101">
        <f t="shared" si="66"/>
        <v>0</v>
      </c>
      <c r="P296" s="101">
        <f t="shared" si="66"/>
        <v>0</v>
      </c>
      <c r="Q296" s="101">
        <f t="shared" si="66"/>
        <v>0</v>
      </c>
      <c r="R296" s="101">
        <f t="shared" si="66"/>
        <v>0</v>
      </c>
      <c r="S296" s="101">
        <f t="shared" si="66"/>
        <v>0</v>
      </c>
      <c r="T296" s="101">
        <f t="shared" si="66"/>
        <v>0</v>
      </c>
      <c r="U296" s="101">
        <f t="shared" si="66"/>
        <v>0</v>
      </c>
      <c r="V296" s="101">
        <f t="shared" si="66"/>
        <v>0</v>
      </c>
      <c r="W296" s="101">
        <f t="shared" si="66"/>
        <v>0</v>
      </c>
      <c r="X296" s="101">
        <f t="shared" si="66"/>
        <v>0</v>
      </c>
      <c r="Y296" s="101">
        <f t="shared" si="66"/>
        <v>0</v>
      </c>
      <c r="Z296" s="101">
        <f t="shared" si="66"/>
        <v>0</v>
      </c>
      <c r="AA296" s="101">
        <f t="shared" si="66"/>
        <v>0</v>
      </c>
      <c r="AB296" s="101">
        <f t="shared" si="66"/>
        <v>0</v>
      </c>
      <c r="AC296" s="101">
        <f t="shared" si="66"/>
        <v>0</v>
      </c>
      <c r="AD296" s="101">
        <f t="shared" si="66"/>
        <v>0</v>
      </c>
      <c r="AE296" s="101">
        <f t="shared" si="66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1932</v>
      </c>
      <c r="E297" s="72" t="s">
        <v>79</v>
      </c>
      <c r="F297" s="72"/>
      <c r="G297" s="70" t="s">
        <v>1491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67"/>
        <v>0</v>
      </c>
      <c r="N297" s="101">
        <f t="shared" si="67"/>
        <v>0</v>
      </c>
      <c r="O297" s="101">
        <f t="shared" si="67"/>
        <v>0</v>
      </c>
      <c r="P297" s="101">
        <f t="shared" si="67"/>
        <v>0</v>
      </c>
      <c r="Q297" s="101">
        <f t="shared" si="67"/>
        <v>0</v>
      </c>
      <c r="R297" s="101">
        <f t="shared" si="67"/>
        <v>0</v>
      </c>
      <c r="S297" s="101">
        <f t="shared" si="67"/>
        <v>0</v>
      </c>
      <c r="T297" s="101">
        <f t="shared" si="67"/>
        <v>0</v>
      </c>
      <c r="U297" s="101">
        <f t="shared" si="67"/>
        <v>0</v>
      </c>
      <c r="V297" s="101">
        <f t="shared" si="67"/>
        <v>0</v>
      </c>
      <c r="W297" s="101">
        <f t="shared" si="67"/>
        <v>0</v>
      </c>
      <c r="X297" s="101">
        <f t="shared" si="67"/>
        <v>0</v>
      </c>
      <c r="Y297" s="101">
        <f t="shared" si="67"/>
        <v>0</v>
      </c>
      <c r="Z297" s="101">
        <f t="shared" si="67"/>
        <v>0</v>
      </c>
      <c r="AA297" s="101">
        <f t="shared" si="67"/>
        <v>0</v>
      </c>
      <c r="AB297" s="101">
        <f t="shared" si="67"/>
        <v>0</v>
      </c>
      <c r="AC297" s="101">
        <f t="shared" si="67"/>
        <v>0</v>
      </c>
      <c r="AD297" s="101">
        <f t="shared" si="67"/>
        <v>0</v>
      </c>
      <c r="AE297" s="101">
        <f t="shared" si="67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1473</v>
      </c>
      <c r="D298" s="73"/>
      <c r="E298" s="72" t="s">
        <v>1895</v>
      </c>
      <c r="F298" s="70" t="s">
        <v>1474</v>
      </c>
      <c r="G298" s="70" t="s">
        <v>1475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1449</v>
      </c>
      <c r="E299" s="72">
        <f t="shared" ref="E299:E306" si="69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1452</v>
      </c>
      <c r="E300" s="72">
        <f t="shared" si="69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1455</v>
      </c>
      <c r="E301" s="72">
        <f t="shared" si="69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1458</v>
      </c>
      <c r="E302" s="72">
        <f t="shared" si="69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1461</v>
      </c>
      <c r="E303" s="72">
        <f t="shared" si="69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1464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1467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1470</v>
      </c>
      <c r="E306" s="72">
        <f t="shared" si="69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2008</v>
      </c>
      <c r="E307" s="72" t="s">
        <v>79</v>
      </c>
      <c r="F307" s="72"/>
      <c r="G307" s="70" t="s">
        <v>1491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 t="shared" ref="L307:AE307" si="70">IF(SUMPRODUCT((L$330:L$337+L$341:L$348)*(1+L$320:L$327)^(-$J$276:$J$283))=0,0,L$318/SUMPRODUCT((L$330:L$337+L$341:L$348)*(1+L$320:L$327)^(-$J$276:$J$283)))</f>
        <v>0</v>
      </c>
      <c r="M307" s="101">
        <f t="shared" si="70"/>
        <v>0</v>
      </c>
      <c r="N307" s="101">
        <f t="shared" si="70"/>
        <v>0</v>
      </c>
      <c r="O307" s="101">
        <f t="shared" si="70"/>
        <v>0</v>
      </c>
      <c r="P307" s="101">
        <f t="shared" si="70"/>
        <v>0</v>
      </c>
      <c r="Q307" s="101">
        <f t="shared" si="70"/>
        <v>0</v>
      </c>
      <c r="R307" s="101">
        <f t="shared" si="70"/>
        <v>0</v>
      </c>
      <c r="S307" s="101">
        <f t="shared" si="70"/>
        <v>0</v>
      </c>
      <c r="T307" s="101">
        <f t="shared" si="70"/>
        <v>0</v>
      </c>
      <c r="U307" s="101">
        <f t="shared" si="70"/>
        <v>0</v>
      </c>
      <c r="V307" s="101">
        <f t="shared" si="70"/>
        <v>0</v>
      </c>
      <c r="W307" s="101">
        <f t="shared" si="70"/>
        <v>0</v>
      </c>
      <c r="X307" s="101">
        <f t="shared" si="70"/>
        <v>0</v>
      </c>
      <c r="Y307" s="101">
        <f t="shared" si="70"/>
        <v>0</v>
      </c>
      <c r="Z307" s="101">
        <f t="shared" si="70"/>
        <v>0</v>
      </c>
      <c r="AA307" s="101">
        <f t="shared" si="70"/>
        <v>0</v>
      </c>
      <c r="AB307" s="101">
        <f t="shared" si="70"/>
        <v>0</v>
      </c>
      <c r="AC307" s="101">
        <f t="shared" si="70"/>
        <v>0</v>
      </c>
      <c r="AD307" s="101">
        <f t="shared" si="70"/>
        <v>0</v>
      </c>
      <c r="AE307" s="101">
        <f t="shared" si="70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1916</v>
      </c>
      <c r="E308" s="71" t="s">
        <v>1414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1917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1476</v>
      </c>
      <c r="D309" s="73"/>
      <c r="E309" s="72" t="s">
        <v>1896</v>
      </c>
      <c r="F309" s="70" t="s">
        <v>1477</v>
      </c>
      <c r="G309" s="70" t="s">
        <v>1478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1449</v>
      </c>
      <c r="E310" s="72">
        <f t="shared" ref="E310:E317" si="72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1452</v>
      </c>
      <c r="E311" s="72">
        <f t="shared" si="72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1455</v>
      </c>
      <c r="E312" s="72">
        <f t="shared" si="72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1458</v>
      </c>
      <c r="E313" s="72">
        <f t="shared" si="72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1461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1464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1467</v>
      </c>
      <c r="E316" s="72">
        <f t="shared" si="72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1470</v>
      </c>
      <c r="E317" s="72">
        <f t="shared" si="72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2009</v>
      </c>
      <c r="E318" s="72" t="s">
        <v>1868</v>
      </c>
      <c r="F318" s="72"/>
      <c r="G318" s="70" t="s">
        <v>1491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2005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1449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1452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1455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1458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1461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1464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1467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1470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2010</v>
      </c>
      <c r="E328" s="72" t="s">
        <v>1868</v>
      </c>
      <c r="F328" s="72"/>
      <c r="G328" s="70" t="s">
        <v>1491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2006</v>
      </c>
      <c r="D329" s="73"/>
      <c r="E329" s="70"/>
      <c r="F329" s="72" t="s">
        <v>1481</v>
      </c>
      <c r="G329" s="72" t="s">
        <v>1482</v>
      </c>
      <c r="H329" s="72" t="s">
        <v>1483</v>
      </c>
      <c r="I329" s="72" t="s">
        <v>1897</v>
      </c>
      <c r="J329" s="72" t="s">
        <v>1898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1484</v>
      </c>
      <c r="F330" s="72">
        <f t="shared" ref="F330:F337" si="87">H264+I264</f>
        <v>0.69003000000000003</v>
      </c>
      <c r="G330" s="72">
        <f t="shared" ref="G330:G337" si="88">MAX($J264,0)+MAX($K264,0)</f>
        <v>0.04</v>
      </c>
      <c r="H330" s="72">
        <f t="shared" ref="H330:H337" si="89">G330/F330</f>
        <v>5.7968494123443903E-2</v>
      </c>
      <c r="I330" s="100">
        <f t="shared" ref="I330:I337" si="90">IF($F330=0,0,$E299/$F330)</f>
        <v>1</v>
      </c>
      <c r="J330" s="100">
        <f t="shared" ref="J330:J337" si="91">IF($G330=0,0,$E310/$G330)</f>
        <v>1</v>
      </c>
      <c r="K330" s="72"/>
      <c r="L330" s="72">
        <f t="shared" ref="L330:AE330" si="92">L276*$F330/1000</f>
        <v>3.2287703131193024</v>
      </c>
      <c r="M330" s="72">
        <f t="shared" si="92"/>
        <v>3.3708362068965516</v>
      </c>
      <c r="N330" s="72">
        <f t="shared" si="92"/>
        <v>3.5191530000000002</v>
      </c>
      <c r="O330" s="72">
        <f t="shared" si="92"/>
        <v>3.6739957320000007</v>
      </c>
      <c r="P330" s="72">
        <f t="shared" si="92"/>
        <v>3.8356515442080004</v>
      </c>
      <c r="Q330" s="72">
        <f t="shared" si="92"/>
        <v>4.0044202121531534</v>
      </c>
      <c r="R330" s="72">
        <f t="shared" si="92"/>
        <v>4.1806147014878912</v>
      </c>
      <c r="S330" s="72">
        <f t="shared" si="92"/>
        <v>4.3645617483533581</v>
      </c>
      <c r="T330" s="72">
        <f t="shared" si="92"/>
        <v>4.5566024652809061</v>
      </c>
      <c r="U330" s="72">
        <f t="shared" si="92"/>
        <v>4.7570929737532666</v>
      </c>
      <c r="V330" s="72">
        <f t="shared" si="92"/>
        <v>4.9664050645984101</v>
      </c>
      <c r="W330" s="72">
        <f t="shared" si="92"/>
        <v>5.1849268874407404</v>
      </c>
      <c r="X330" s="72">
        <f t="shared" si="92"/>
        <v>5.4130636704881336</v>
      </c>
      <c r="Y330" s="72">
        <f t="shared" si="92"/>
        <v>5.651238471989612</v>
      </c>
      <c r="Z330" s="72">
        <f t="shared" si="92"/>
        <v>5.8998929647571536</v>
      </c>
      <c r="AA330" s="72">
        <f t="shared" si="92"/>
        <v>6.159488255206468</v>
      </c>
      <c r="AB330" s="72">
        <f t="shared" si="92"/>
        <v>6.4305057384355537</v>
      </c>
      <c r="AC330" s="72">
        <f t="shared" si="92"/>
        <v>6.713447990926718</v>
      </c>
      <c r="AD330" s="72">
        <f t="shared" si="92"/>
        <v>7.0088397025274931</v>
      </c>
      <c r="AE330" s="72">
        <f t="shared" si="92"/>
        <v>7.3172286494387029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1484</v>
      </c>
      <c r="F331" s="72">
        <f t="shared" si="87"/>
        <v>0.14025000000000001</v>
      </c>
      <c r="G331" s="72">
        <f t="shared" si="88"/>
        <v>1.4999999999999999E-2</v>
      </c>
      <c r="H331" s="72">
        <f t="shared" si="89"/>
        <v>0.10695187165775399</v>
      </c>
      <c r="I331" s="100">
        <f t="shared" si="90"/>
        <v>1</v>
      </c>
      <c r="J331" s="100">
        <f t="shared" si="91"/>
        <v>1</v>
      </c>
      <c r="K331" s="72"/>
      <c r="L331" s="72">
        <f t="shared" ref="L331:AE331" si="93">L277*$F331/1000</f>
        <v>0.61765094464262127</v>
      </c>
      <c r="M331" s="72">
        <f t="shared" si="93"/>
        <v>0.64482758620689662</v>
      </c>
      <c r="N331" s="72">
        <f t="shared" si="93"/>
        <v>0.67320000000000002</v>
      </c>
      <c r="O331" s="72">
        <f t="shared" si="93"/>
        <v>0.70282080000000002</v>
      </c>
      <c r="P331" s="72">
        <f t="shared" si="93"/>
        <v>0.73374491520000007</v>
      </c>
      <c r="Q331" s="72">
        <f t="shared" si="93"/>
        <v>0.76602969146880018</v>
      </c>
      <c r="R331" s="72">
        <f t="shared" si="93"/>
        <v>0.79973499789342728</v>
      </c>
      <c r="S331" s="72">
        <f t="shared" si="93"/>
        <v>0.83492333780073813</v>
      </c>
      <c r="T331" s="72">
        <f t="shared" si="93"/>
        <v>0.87165996466397067</v>
      </c>
      <c r="U331" s="72">
        <f t="shared" si="93"/>
        <v>0.91001300310918554</v>
      </c>
      <c r="V331" s="72">
        <f t="shared" si="93"/>
        <v>0.95005357524598955</v>
      </c>
      <c r="W331" s="72">
        <f t="shared" si="93"/>
        <v>0.99185593255681315</v>
      </c>
      <c r="X331" s="72">
        <f t="shared" si="93"/>
        <v>1.0354975935893131</v>
      </c>
      <c r="Y331" s="72">
        <f t="shared" si="93"/>
        <v>1.0810594877072428</v>
      </c>
      <c r="Z331" s="72">
        <f t="shared" si="93"/>
        <v>1.1286261051663613</v>
      </c>
      <c r="AA331" s="72">
        <f t="shared" si="93"/>
        <v>1.1782856537936812</v>
      </c>
      <c r="AB331" s="72">
        <f t="shared" si="93"/>
        <v>1.2301302225606034</v>
      </c>
      <c r="AC331" s="72">
        <f t="shared" si="93"/>
        <v>1.2842559523532699</v>
      </c>
      <c r="AD331" s="72">
        <f t="shared" si="93"/>
        <v>1.3407632142568138</v>
      </c>
      <c r="AE331" s="72">
        <f t="shared" si="93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1484</v>
      </c>
      <c r="F332" s="72">
        <f t="shared" si="87"/>
        <v>1.9220000000000002</v>
      </c>
      <c r="G332" s="72">
        <f t="shared" si="88"/>
        <v>0.25</v>
      </c>
      <c r="H332" s="72">
        <f t="shared" si="89"/>
        <v>0.13007284079084286</v>
      </c>
      <c r="I332" s="100">
        <f t="shared" si="90"/>
        <v>1</v>
      </c>
      <c r="J332" s="100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1484</v>
      </c>
      <c r="F333" s="72">
        <f t="shared" si="87"/>
        <v>0.2883</v>
      </c>
      <c r="G333" s="72">
        <f t="shared" si="88"/>
        <v>0.52600000000000002</v>
      </c>
      <c r="H333" s="72">
        <f t="shared" si="89"/>
        <v>1.8244883801595562</v>
      </c>
      <c r="I333" s="100">
        <f t="shared" si="90"/>
        <v>1</v>
      </c>
      <c r="J333" s="100">
        <f t="shared" si="91"/>
        <v>1</v>
      </c>
      <c r="K333" s="72"/>
      <c r="L333" s="72">
        <f t="shared" ref="L333:AE333" si="95">L279*$F333/1000</f>
        <v>13.508713893592759</v>
      </c>
      <c r="M333" s="72">
        <f t="shared" si="95"/>
        <v>13.954501452081319</v>
      </c>
      <c r="N333" s="72">
        <f t="shared" si="95"/>
        <v>14.414999999999999</v>
      </c>
      <c r="O333" s="72">
        <f t="shared" si="95"/>
        <v>14.890694999999997</v>
      </c>
      <c r="P333" s="72">
        <f t="shared" si="95"/>
        <v>15.382087934999998</v>
      </c>
      <c r="Q333" s="72">
        <f t="shared" si="95"/>
        <v>15.889696836854995</v>
      </c>
      <c r="R333" s="72">
        <f t="shared" si="95"/>
        <v>16.414056832471207</v>
      </c>
      <c r="S333" s="72">
        <f t="shared" si="95"/>
        <v>16.955720707942756</v>
      </c>
      <c r="T333" s="72">
        <f t="shared" si="95"/>
        <v>17.515259491304867</v>
      </c>
      <c r="U333" s="72">
        <f t="shared" si="95"/>
        <v>18.093263054517923</v>
      </c>
      <c r="V333" s="72">
        <f t="shared" si="95"/>
        <v>18.690340735317012</v>
      </c>
      <c r="W333" s="72">
        <f t="shared" si="95"/>
        <v>19.307121979582472</v>
      </c>
      <c r="X333" s="72">
        <f t="shared" si="95"/>
        <v>19.944257004908685</v>
      </c>
      <c r="Y333" s="72">
        <f t="shared" si="95"/>
        <v>20.602417486070678</v>
      </c>
      <c r="Z333" s="72">
        <f t="shared" si="95"/>
        <v>21.282297263111005</v>
      </c>
      <c r="AA333" s="72">
        <f t="shared" si="95"/>
        <v>21.984613072793667</v>
      </c>
      <c r="AB333" s="72">
        <f t="shared" si="95"/>
        <v>22.710105304195856</v>
      </c>
      <c r="AC333" s="72">
        <f t="shared" si="95"/>
        <v>23.459538779234315</v>
      </c>
      <c r="AD333" s="72">
        <f t="shared" si="95"/>
        <v>24.233703558949045</v>
      </c>
      <c r="AE333" s="72">
        <f t="shared" si="95"/>
        <v>25.03341577639436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1441</v>
      </c>
      <c r="E334" s="71" t="s">
        <v>1484</v>
      </c>
      <c r="F334" s="72">
        <f t="shared" si="87"/>
        <v>1.8512999999999999</v>
      </c>
      <c r="G334" s="72">
        <f t="shared" si="88"/>
        <v>0</v>
      </c>
      <c r="H334" s="72">
        <f t="shared" si="89"/>
        <v>0</v>
      </c>
      <c r="I334" s="100">
        <f t="shared" si="90"/>
        <v>1</v>
      </c>
      <c r="J334" s="100">
        <f t="shared" si="91"/>
        <v>0</v>
      </c>
      <c r="K334" s="72"/>
      <c r="L334" s="72">
        <f t="shared" ref="L334:AE334" si="96">L280*$F334/1000</f>
        <v>3.1638306570517116</v>
      </c>
      <c r="M334" s="72">
        <f t="shared" si="96"/>
        <v>3.2334349315068494</v>
      </c>
      <c r="N334" s="72">
        <f t="shared" si="96"/>
        <v>3.3045704999999996</v>
      </c>
      <c r="O334" s="72">
        <f t="shared" si="96"/>
        <v>3.3772710509999997</v>
      </c>
      <c r="P334" s="72">
        <f t="shared" si="96"/>
        <v>3.4515710141219995</v>
      </c>
      <c r="Q334" s="72">
        <f t="shared" si="96"/>
        <v>3.5275055764326839</v>
      </c>
      <c r="R334" s="72">
        <f t="shared" si="96"/>
        <v>3.6051106991142032</v>
      </c>
      <c r="S334" s="72">
        <f t="shared" si="96"/>
        <v>3.6844231344947156</v>
      </c>
      <c r="T334" s="72">
        <f t="shared" si="96"/>
        <v>3.7654804434535989</v>
      </c>
      <c r="U334" s="72">
        <f t="shared" si="96"/>
        <v>3.8483210132095782</v>
      </c>
      <c r="V334" s="72">
        <f t="shared" si="96"/>
        <v>3.9329840755001899</v>
      </c>
      <c r="W334" s="72">
        <f t="shared" si="96"/>
        <v>4.0195097251611935</v>
      </c>
      <c r="X334" s="72">
        <f t="shared" si="96"/>
        <v>4.1079389391147396</v>
      </c>
      <c r="Y334" s="72">
        <f t="shared" si="96"/>
        <v>4.1983135957752644</v>
      </c>
      <c r="Z334" s="72">
        <f t="shared" si="96"/>
        <v>4.2906764948823204</v>
      </c>
      <c r="AA334" s="72">
        <f t="shared" si="96"/>
        <v>4.385071377769731</v>
      </c>
      <c r="AB334" s="72">
        <f t="shared" si="96"/>
        <v>4.4815429480806639</v>
      </c>
      <c r="AC334" s="72">
        <f t="shared" si="96"/>
        <v>4.5801368929384401</v>
      </c>
      <c r="AD334" s="72">
        <f t="shared" si="96"/>
        <v>4.680899904583085</v>
      </c>
      <c r="AE334" s="72">
        <f t="shared" si="96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1484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100">
        <f t="shared" si="90"/>
        <v>1</v>
      </c>
      <c r="J335" s="100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1484</v>
      </c>
      <c r="F336" s="72">
        <f t="shared" si="87"/>
        <v>0.11219999999999999</v>
      </c>
      <c r="G336" s="72">
        <f t="shared" si="88"/>
        <v>0.97</v>
      </c>
      <c r="H336" s="72">
        <f t="shared" si="89"/>
        <v>8.6452762923351152</v>
      </c>
      <c r="I336" s="100">
        <f t="shared" si="90"/>
        <v>1</v>
      </c>
      <c r="J336" s="100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1484</v>
      </c>
      <c r="F337" s="72">
        <f t="shared" si="87"/>
        <v>0.156</v>
      </c>
      <c r="G337" s="72">
        <f t="shared" si="88"/>
        <v>2.35</v>
      </c>
      <c r="H337" s="72">
        <f t="shared" si="89"/>
        <v>15.064102564102564</v>
      </c>
      <c r="I337" s="100">
        <f t="shared" si="90"/>
        <v>1</v>
      </c>
      <c r="J337" s="100">
        <f t="shared" si="91"/>
        <v>1</v>
      </c>
      <c r="K337" s="72"/>
      <c r="L337" s="72">
        <f t="shared" ref="L337:AE337" si="99">L283*$F337/1000</f>
        <v>4.2047573055412055E-2</v>
      </c>
      <c r="M337" s="72">
        <f t="shared" si="99"/>
        <v>4.4360189573459712E-2</v>
      </c>
      <c r="N337" s="72">
        <f t="shared" si="99"/>
        <v>4.6799999999999994E-2</v>
      </c>
      <c r="O337" s="72">
        <f t="shared" si="99"/>
        <v>4.9374000000000001E-2</v>
      </c>
      <c r="P337" s="72">
        <f t="shared" si="99"/>
        <v>5.2089569999999995E-2</v>
      </c>
      <c r="Q337" s="72">
        <f t="shared" si="99"/>
        <v>5.4954496349999986E-2</v>
      </c>
      <c r="R337" s="72">
        <f t="shared" si="99"/>
        <v>5.7976993649249998E-2</v>
      </c>
      <c r="S337" s="72">
        <f t="shared" si="99"/>
        <v>6.1165728299958734E-2</v>
      </c>
      <c r="T337" s="72">
        <f t="shared" si="99"/>
        <v>6.4529843356456465E-2</v>
      </c>
      <c r="U337" s="72">
        <f t="shared" si="99"/>
        <v>6.8078984741061555E-2</v>
      </c>
      <c r="V337" s="72">
        <f t="shared" si="99"/>
        <v>7.1823328901819944E-2</v>
      </c>
      <c r="W337" s="72">
        <f t="shared" si="99"/>
        <v>7.5773611991420048E-2</v>
      </c>
      <c r="X337" s="72">
        <f t="shared" si="99"/>
        <v>7.9941160650948154E-2</v>
      </c>
      <c r="Y337" s="72">
        <f t="shared" si="99"/>
        <v>8.4337924486750301E-2</v>
      </c>
      <c r="Z337" s="72">
        <f t="shared" si="99"/>
        <v>8.8976510333521566E-2</v>
      </c>
      <c r="AA337" s="72">
        <f t="shared" si="99"/>
        <v>9.3870218401865227E-2</v>
      </c>
      <c r="AB337" s="72">
        <f t="shared" si="99"/>
        <v>9.9033080413967828E-2</v>
      </c>
      <c r="AC337" s="72">
        <f t="shared" si="99"/>
        <v>0.10447989983673604</v>
      </c>
      <c r="AD337" s="72">
        <f t="shared" si="99"/>
        <v>0.11022629432775652</v>
      </c>
      <c r="AE337" s="72">
        <f t="shared" si="99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1485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20.926246357744834</v>
      </c>
      <c r="M338" s="72">
        <f t="shared" si="100"/>
        <v>21.621228468026327</v>
      </c>
      <c r="N338" s="72">
        <f t="shared" si="100"/>
        <v>22.340203500000001</v>
      </c>
      <c r="O338" s="72">
        <f t="shared" si="100"/>
        <v>23.084029143000002</v>
      </c>
      <c r="P338" s="72">
        <f t="shared" si="100"/>
        <v>23.853594734849999</v>
      </c>
      <c r="Q338" s="72">
        <f t="shared" si="100"/>
        <v>24.649822464218669</v>
      </c>
      <c r="R338" s="72">
        <f t="shared" si="100"/>
        <v>25.473668619896113</v>
      </c>
      <c r="S338" s="72">
        <f t="shared" si="100"/>
        <v>26.326124888867824</v>
      </c>
      <c r="T338" s="72">
        <f t="shared" si="100"/>
        <v>27.208219705139577</v>
      </c>
      <c r="U338" s="72">
        <f t="shared" si="100"/>
        <v>28.12101965134655</v>
      </c>
      <c r="V338" s="72">
        <f t="shared" si="100"/>
        <v>29.065630915263302</v>
      </c>
      <c r="W338" s="72">
        <f t="shared" si="100"/>
        <v>30.043200803417911</v>
      </c>
      <c r="X338" s="72">
        <f t="shared" si="100"/>
        <v>31.054919314104172</v>
      </c>
      <c r="Y338" s="72">
        <f t="shared" si="100"/>
        <v>32.102020772179657</v>
      </c>
      <c r="Z338" s="72">
        <f t="shared" si="100"/>
        <v>33.185785528135774</v>
      </c>
      <c r="AA338" s="72">
        <f t="shared" si="100"/>
        <v>34.307541724028297</v>
      </c>
      <c r="AB338" s="72">
        <f t="shared" si="100"/>
        <v>35.468667128962906</v>
      </c>
      <c r="AC338" s="72">
        <f t="shared" si="100"/>
        <v>36.670591046941816</v>
      </c>
      <c r="AD338" s="72">
        <f t="shared" si="100"/>
        <v>37.914796299992894</v>
      </c>
      <c r="AE338" s="72">
        <f t="shared" si="100"/>
        <v>39.202821289623245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2038</v>
      </c>
      <c r="E339" s="70" t="s">
        <v>1870</v>
      </c>
      <c r="F339" s="70"/>
      <c r="G339" s="70" t="s">
        <v>1491</v>
      </c>
      <c r="H339" s="87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5.457951712911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11.327492552513137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23.512209674879454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54.911241049566854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122.87441471836945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160.45242171687661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200.75033224026109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243.93587872823028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294.60584206992246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306.02810808530927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317.93410875097499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330.34578112612309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343.2861084813519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356.77917203895248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370.85020533985403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385.52565137312359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2007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1484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0.18716695292200644</v>
      </c>
      <c r="M341" s="72">
        <f t="shared" ref="M341:M348" si="103">M276*G330/1000</f>
        <v>0.1954022988505747</v>
      </c>
      <c r="N341" s="72">
        <f t="shared" ref="N341:N348" si="104">N276*G330/1000</f>
        <v>0.20399999999999999</v>
      </c>
      <c r="O341" s="72">
        <f t="shared" ref="O341:O348" si="105">O276*G330/1000</f>
        <v>0.21297600000000003</v>
      </c>
      <c r="P341" s="72">
        <f t="shared" ref="P341:P348" si="106">P276*G330/1000</f>
        <v>0.22234694400000002</v>
      </c>
      <c r="Q341" s="72">
        <f t="shared" ref="Q341:Q348" si="107">Q276*G330/1000</f>
        <v>0.23213020953600005</v>
      </c>
      <c r="R341" s="72">
        <f t="shared" ref="R341:R348" si="108">R276*G330/1000</f>
        <v>0.24234393875558402</v>
      </c>
      <c r="S341" s="72">
        <f t="shared" ref="S341:S348" si="109">S276*G330/1000</f>
        <v>0.25300707206082967</v>
      </c>
      <c r="T341" s="72">
        <f t="shared" ref="T341:T348" si="110">T276*G330/1000</f>
        <v>0.26413938323150626</v>
      </c>
      <c r="U341" s="72">
        <f t="shared" ref="U341:U348" si="111">U276*G330/1000</f>
        <v>0.27576151609369254</v>
      </c>
      <c r="V341" s="72">
        <f t="shared" ref="V341:V348" si="112">V276*G330/1000</f>
        <v>0.287895022801815</v>
      </c>
      <c r="W341" s="72">
        <f t="shared" ref="W341:W348" si="113">W276*G330/1000</f>
        <v>0.30056240380509491</v>
      </c>
      <c r="X341" s="72">
        <f t="shared" ref="X341:X348" si="114">X276*G330/1000</f>
        <v>0.31378714957251908</v>
      </c>
      <c r="Y341" s="72">
        <f t="shared" ref="Y341:Y348" si="115">Y276*G330/1000</f>
        <v>0.32759378415370993</v>
      </c>
      <c r="Z341" s="72">
        <f t="shared" ref="Z341:Z348" si="116">Z276*G330/1000</f>
        <v>0.34200791065647307</v>
      </c>
      <c r="AA341" s="72">
        <f t="shared" ref="AA341:AA348" si="117">AA276*G330/1000</f>
        <v>0.3570562587253579</v>
      </c>
      <c r="AB341" s="72">
        <f t="shared" ref="AB341:AB348" si="118">AB276*G330/1000</f>
        <v>0.37276673410927375</v>
      </c>
      <c r="AC341" s="72">
        <f t="shared" ref="AC341:AC348" si="119">AC276*G330/1000</f>
        <v>0.38916847041008179</v>
      </c>
      <c r="AD341" s="72">
        <f t="shared" ref="AD341:AD348" si="120">AD276*G330/1000</f>
        <v>0.40629188310812531</v>
      </c>
      <c r="AE341" s="72">
        <f t="shared" ref="AE341:AE348" si="121">AE276*G330/1000</f>
        <v>0.42416872596488286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1484</v>
      </c>
      <c r="F342" s="70"/>
      <c r="G342" s="70"/>
      <c r="H342" s="70"/>
      <c r="I342" s="70"/>
      <c r="J342" s="70"/>
      <c r="K342" s="72"/>
      <c r="L342" s="72">
        <f t="shared" si="102"/>
        <v>6.6058924560708152E-2</v>
      </c>
      <c r="M342" s="72">
        <f t="shared" si="103"/>
        <v>6.8965517241379309E-2</v>
      </c>
      <c r="N342" s="72">
        <f t="shared" si="104"/>
        <v>7.1999999999999995E-2</v>
      </c>
      <c r="O342" s="72">
        <f t="shared" si="105"/>
        <v>7.5167999999999999E-2</v>
      </c>
      <c r="P342" s="72">
        <f t="shared" si="106"/>
        <v>7.8475392000000005E-2</v>
      </c>
      <c r="Q342" s="72">
        <f t="shared" si="107"/>
        <v>8.1928309248E-2</v>
      </c>
      <c r="R342" s="72">
        <f t="shared" si="108"/>
        <v>8.5533154854912002E-2</v>
      </c>
      <c r="S342" s="72">
        <f t="shared" si="109"/>
        <v>8.9296613668528119E-2</v>
      </c>
      <c r="T342" s="72">
        <f t="shared" si="110"/>
        <v>9.3225664669943364E-2</v>
      </c>
      <c r="U342" s="72">
        <f t="shared" si="111"/>
        <v>9.732759391542091E-2</v>
      </c>
      <c r="V342" s="72">
        <f t="shared" si="112"/>
        <v>0.10161000804769942</v>
      </c>
      <c r="W342" s="72">
        <f t="shared" si="113"/>
        <v>0.1060808484017982</v>
      </c>
      <c r="X342" s="72">
        <f t="shared" si="114"/>
        <v>0.1107484057314773</v>
      </c>
      <c r="Y342" s="72">
        <f t="shared" si="115"/>
        <v>0.11562133558366232</v>
      </c>
      <c r="Z342" s="72">
        <f t="shared" si="116"/>
        <v>0.12070867434934346</v>
      </c>
      <c r="AA342" s="72">
        <f t="shared" si="117"/>
        <v>0.12601985602071455</v>
      </c>
      <c r="AB342" s="72">
        <f t="shared" si="118"/>
        <v>0.13156472968562602</v>
      </c>
      <c r="AC342" s="72">
        <f t="shared" si="119"/>
        <v>0.13735357779179355</v>
      </c>
      <c r="AD342" s="72">
        <f t="shared" si="120"/>
        <v>0.14339713521463246</v>
      </c>
      <c r="AE342" s="72">
        <f t="shared" si="121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1484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1484</v>
      </c>
      <c r="F344" s="70"/>
      <c r="G344" s="70"/>
      <c r="H344" s="70"/>
      <c r="I344" s="70"/>
      <c r="J344" s="70"/>
      <c r="K344" s="72"/>
      <c r="L344" s="72">
        <f t="shared" si="102"/>
        <v>24.646491529759945</v>
      </c>
      <c r="M344" s="72">
        <f t="shared" si="103"/>
        <v>25.459825750242022</v>
      </c>
      <c r="N344" s="72">
        <f t="shared" si="104"/>
        <v>26.3</v>
      </c>
      <c r="O344" s="72">
        <f t="shared" si="105"/>
        <v>27.167899999999999</v>
      </c>
      <c r="P344" s="72">
        <f t="shared" si="106"/>
        <v>28.064440699999995</v>
      </c>
      <c r="Q344" s="72">
        <f t="shared" si="107"/>
        <v>28.990567243099992</v>
      </c>
      <c r="R344" s="72">
        <f t="shared" si="108"/>
        <v>29.947255962122291</v>
      </c>
      <c r="S344" s="72">
        <f t="shared" si="109"/>
        <v>30.935515408872323</v>
      </c>
      <c r="T344" s="72">
        <f t="shared" si="110"/>
        <v>31.956387417365107</v>
      </c>
      <c r="U344" s="72">
        <f t="shared" si="111"/>
        <v>33.010948202138145</v>
      </c>
      <c r="V344" s="72">
        <f t="shared" si="112"/>
        <v>34.100309492808698</v>
      </c>
      <c r="W344" s="72">
        <f t="shared" si="113"/>
        <v>35.225619706071392</v>
      </c>
      <c r="X344" s="72">
        <f t="shared" si="114"/>
        <v>36.388065156371731</v>
      </c>
      <c r="Y344" s="72">
        <f t="shared" si="115"/>
        <v>37.588871306532006</v>
      </c>
      <c r="Z344" s="72">
        <f t="shared" si="116"/>
        <v>38.829304059647555</v>
      </c>
      <c r="AA344" s="72">
        <f t="shared" si="117"/>
        <v>40.11067109361592</v>
      </c>
      <c r="AB344" s="72">
        <f t="shared" si="118"/>
        <v>41.434323239705236</v>
      </c>
      <c r="AC344" s="72">
        <f t="shared" si="119"/>
        <v>42.801655906615501</v>
      </c>
      <c r="AD344" s="72">
        <f t="shared" si="120"/>
        <v>44.214110551533814</v>
      </c>
      <c r="AE344" s="72">
        <f t="shared" si="121"/>
        <v>45.673176199734421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1441</v>
      </c>
      <c r="E345" s="71" t="s">
        <v>1484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1484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1484</v>
      </c>
      <c r="F347" s="70"/>
      <c r="G347" s="70"/>
      <c r="H347" s="70"/>
      <c r="I347" s="70"/>
      <c r="J347" s="70"/>
      <c r="K347" s="72"/>
      <c r="L347" s="72">
        <f t="shared" si="102"/>
        <v>0.55721293959505358</v>
      </c>
      <c r="M347" s="72">
        <f t="shared" si="103"/>
        <v>0.56947162426614473</v>
      </c>
      <c r="N347" s="72">
        <f t="shared" si="104"/>
        <v>0.58199999999999996</v>
      </c>
      <c r="O347" s="72">
        <f t="shared" si="105"/>
        <v>0.594804</v>
      </c>
      <c r="P347" s="72">
        <f t="shared" si="106"/>
        <v>0.60788968799999998</v>
      </c>
      <c r="Q347" s="72">
        <f t="shared" si="107"/>
        <v>0.62126326113599994</v>
      </c>
      <c r="R347" s="72">
        <f t="shared" si="108"/>
        <v>0.63493105288099194</v>
      </c>
      <c r="S347" s="72">
        <f t="shared" si="109"/>
        <v>0.64889953604437378</v>
      </c>
      <c r="T347" s="72">
        <f t="shared" si="110"/>
        <v>0.66317532583734995</v>
      </c>
      <c r="U347" s="72">
        <f t="shared" si="111"/>
        <v>0.67776518300577171</v>
      </c>
      <c r="V347" s="72">
        <f t="shared" si="112"/>
        <v>0.69267601703189885</v>
      </c>
      <c r="W347" s="72">
        <f t="shared" si="113"/>
        <v>0.70791488940660041</v>
      </c>
      <c r="X347" s="72">
        <f t="shared" si="114"/>
        <v>0.72348901697354573</v>
      </c>
      <c r="Y347" s="72">
        <f t="shared" si="115"/>
        <v>0.73940577534696372</v>
      </c>
      <c r="Z347" s="72">
        <f t="shared" si="116"/>
        <v>0.75567270240459705</v>
      </c>
      <c r="AA347" s="72">
        <f t="shared" si="117"/>
        <v>0.77229750185749824</v>
      </c>
      <c r="AB347" s="72">
        <f t="shared" si="118"/>
        <v>0.78928804689836307</v>
      </c>
      <c r="AC347" s="72">
        <f t="shared" si="119"/>
        <v>0.80665238393012706</v>
      </c>
      <c r="AD347" s="72">
        <f t="shared" si="120"/>
        <v>0.82439873637658989</v>
      </c>
      <c r="AE347" s="72">
        <f t="shared" si="121"/>
        <v>0.84253550857687487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1484</v>
      </c>
      <c r="F348" s="70"/>
      <c r="G348" s="70"/>
      <c r="H348" s="70"/>
      <c r="I348" s="70"/>
      <c r="J348" s="70"/>
      <c r="K348" s="72"/>
      <c r="L348" s="72">
        <f t="shared" si="102"/>
        <v>0.63340895307832257</v>
      </c>
      <c r="M348" s="72">
        <f t="shared" si="103"/>
        <v>0.66824644549763035</v>
      </c>
      <c r="N348" s="72">
        <f t="shared" si="104"/>
        <v>0.70499999999999996</v>
      </c>
      <c r="O348" s="72">
        <f t="shared" si="105"/>
        <v>0.74377499999999996</v>
      </c>
      <c r="P348" s="72">
        <f t="shared" si="106"/>
        <v>0.78468262499999997</v>
      </c>
      <c r="Q348" s="72">
        <f t="shared" si="107"/>
        <v>0.82784016937499982</v>
      </c>
      <c r="R348" s="72">
        <f t="shared" si="108"/>
        <v>0.87337137869062498</v>
      </c>
      <c r="S348" s="72">
        <f t="shared" si="109"/>
        <v>0.92140680451860923</v>
      </c>
      <c r="T348" s="72">
        <f t="shared" si="110"/>
        <v>0.97208417876713271</v>
      </c>
      <c r="U348" s="72">
        <f t="shared" si="111"/>
        <v>1.025548808599325</v>
      </c>
      <c r="V348" s="72">
        <f t="shared" si="112"/>
        <v>1.0819539930722879</v>
      </c>
      <c r="W348" s="72">
        <f t="shared" si="113"/>
        <v>1.1414614626912638</v>
      </c>
      <c r="X348" s="72">
        <f t="shared" si="114"/>
        <v>1.2042418431392832</v>
      </c>
      <c r="Y348" s="72">
        <f t="shared" si="115"/>
        <v>1.2704751445119435</v>
      </c>
      <c r="Z348" s="72">
        <f t="shared" si="116"/>
        <v>1.3403512774601003</v>
      </c>
      <c r="AA348" s="72">
        <f t="shared" si="117"/>
        <v>1.4140705977204056</v>
      </c>
      <c r="AB348" s="72">
        <f t="shared" si="118"/>
        <v>1.4918444805950282</v>
      </c>
      <c r="AC348" s="72">
        <f t="shared" si="119"/>
        <v>1.5738959270277544</v>
      </c>
      <c r="AD348" s="72">
        <f t="shared" si="120"/>
        <v>1.660460203014281</v>
      </c>
      <c r="AE348" s="72">
        <f t="shared" si="121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1485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26.090339299916039</v>
      </c>
      <c r="M349" s="72">
        <f t="shared" si="122"/>
        <v>26.961911636097753</v>
      </c>
      <c r="N349" s="72">
        <f t="shared" si="122"/>
        <v>27.863</v>
      </c>
      <c r="O349" s="72">
        <f t="shared" si="122"/>
        <v>28.794622999999998</v>
      </c>
      <c r="P349" s="72">
        <f t="shared" si="122"/>
        <v>29.757835348999993</v>
      </c>
      <c r="Q349" s="72">
        <f t="shared" si="122"/>
        <v>30.753729192394996</v>
      </c>
      <c r="R349" s="72">
        <f t="shared" si="122"/>
        <v>31.783435487304406</v>
      </c>
      <c r="S349" s="72">
        <f t="shared" si="122"/>
        <v>32.848125435164668</v>
      </c>
      <c r="T349" s="72">
        <f t="shared" si="122"/>
        <v>33.949011969871044</v>
      </c>
      <c r="U349" s="72">
        <f t="shared" si="122"/>
        <v>35.087351303752357</v>
      </c>
      <c r="V349" s="72">
        <f t="shared" si="122"/>
        <v>36.264444533762401</v>
      </c>
      <c r="W349" s="72">
        <f t="shared" si="122"/>
        <v>37.481639310376146</v>
      </c>
      <c r="X349" s="72">
        <f t="shared" si="122"/>
        <v>38.740331571788559</v>
      </c>
      <c r="Y349" s="72">
        <f t="shared" si="122"/>
        <v>40.041967346128288</v>
      </c>
      <c r="Z349" s="72">
        <f t="shared" si="122"/>
        <v>41.388044624518066</v>
      </c>
      <c r="AA349" s="72">
        <f t="shared" si="122"/>
        <v>42.780115307939894</v>
      </c>
      <c r="AB349" s="72">
        <f t="shared" si="122"/>
        <v>44.219787230993525</v>
      </c>
      <c r="AC349" s="72">
        <f t="shared" si="122"/>
        <v>45.708726265775262</v>
      </c>
      <c r="AD349" s="72">
        <f t="shared" si="122"/>
        <v>47.248658509247441</v>
      </c>
      <c r="AE349" s="72">
        <f t="shared" si="122"/>
        <v>48.841372557620318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2039</v>
      </c>
      <c r="E350" s="70" t="s">
        <v>1870</v>
      </c>
      <c r="F350" s="70"/>
      <c r="G350" s="70" t="s">
        <v>1491</v>
      </c>
      <c r="H350" s="87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5.457951712911</v>
      </c>
      <c r="Q350" s="72">
        <f>SUMPRODUCT($I$276:$I$283*$N$276:$N$283*(1+$G$276:$G$283)^(Q$274-$N$274)/($N$276:$N$283+($N$276:$N$283=0))*'Manual inputs'!Q$81*'Manual inputs'!Q$79*($F$330:$F$337+$G$330:$G$337))/1000</f>
        <v>11.327492552513139</v>
      </c>
      <c r="R350" s="72">
        <f>SUMPRODUCT($I$276:$I$283*$N$276:$N$283*(1+$G$276:$G$283)^(R$274-$N$274)/($N$276:$N$283+($N$276:$N$283=0))*'Manual inputs'!R$81*'Manual inputs'!R$79*($F$330:$F$337+$G$330:$G$337))/1000</f>
        <v>23.512209674879454</v>
      </c>
      <c r="S350" s="72">
        <f>SUMPRODUCT($I$276:$I$283*$N$276:$N$283*(1+$G$276:$G$283)^(S$274-$N$274)/($N$276:$N$283+($N$276:$N$283=0))*'Manual inputs'!S$81*'Manual inputs'!S$79*($F$330:$F$337+$G$330:$G$337))/1000</f>
        <v>54.911241049566861</v>
      </c>
      <c r="T350" s="72">
        <f>SUMPRODUCT($I$276:$I$283*$N$276:$N$283*(1+$G$276:$G$283)^(T$274-$N$274)/($N$276:$N$283+($N$276:$N$283=0))*'Manual inputs'!T$81*'Manual inputs'!T$79*($F$330:$F$337+$G$330:$G$337))/1000</f>
        <v>122.87441471836947</v>
      </c>
      <c r="U350" s="72">
        <f>SUMPRODUCT($I$276:$I$283*$N$276:$N$283*(1+$G$276:$G$283)^(U$274-$N$274)/($N$276:$N$283+($N$276:$N$283=0))*'Manual inputs'!U$81*'Manual inputs'!U$79*($F$330:$F$337+$G$330:$G$337))/1000</f>
        <v>160.45242171687664</v>
      </c>
      <c r="V350" s="72">
        <f>SUMPRODUCT($I$276:$I$283*$N$276:$N$283*(1+$G$276:$G$283)^(V$274-$N$274)/($N$276:$N$283+($N$276:$N$283=0))*'Manual inputs'!V$81*'Manual inputs'!V$79*($F$330:$F$337+$G$330:$G$337))/1000</f>
        <v>200.75033224026109</v>
      </c>
      <c r="W350" s="72">
        <f>SUMPRODUCT($I$276:$I$283*$N$276:$N$283*(1+$G$276:$G$283)^(W$274-$N$274)/($N$276:$N$283+($N$276:$N$283=0))*'Manual inputs'!W$81*'Manual inputs'!W$79*($F$330:$F$337+$G$330:$G$337))/1000</f>
        <v>243.93587872823028</v>
      </c>
      <c r="X350" s="72">
        <f>SUMPRODUCT($I$276:$I$283*$N$276:$N$283*(1+$G$276:$G$283)^(X$274-$N$274)/($N$276:$N$283+($N$276:$N$283=0))*'Manual inputs'!X$81*'Manual inputs'!X$79*($F$330:$F$337+$G$330:$G$337))/1000</f>
        <v>294.60584206992252</v>
      </c>
      <c r="Y350" s="72">
        <f>SUMPRODUCT($I$276:$I$283*$N$276:$N$283*(1+$G$276:$G$283)^(Y$274-$N$274)/($N$276:$N$283+($N$276:$N$283=0))*'Manual inputs'!Y$81*'Manual inputs'!Y$79*($F$330:$F$337+$G$330:$G$337))/1000</f>
        <v>306.02810808530927</v>
      </c>
      <c r="Z350" s="72">
        <f>SUMPRODUCT($I$276:$I$283*$N$276:$N$283*(1+$G$276:$G$283)^(Z$274-$N$274)/($N$276:$N$283+($N$276:$N$283=0))*'Manual inputs'!Z$81*'Manual inputs'!Z$79*($F$330:$F$337+$G$330:$G$337))/1000</f>
        <v>317.93410875097499</v>
      </c>
      <c r="AA350" s="72">
        <f>SUMPRODUCT($I$276:$I$283*$N$276:$N$283*(1+$G$276:$G$283)^(AA$274-$N$274)/($N$276:$N$283+($N$276:$N$283=0))*'Manual inputs'!AA$81*'Manual inputs'!AA$79*($F$330:$F$337+$G$330:$G$337))/1000</f>
        <v>330.34578112612314</v>
      </c>
      <c r="AB350" s="72">
        <f>SUMPRODUCT($I$276:$I$283*$N$276:$N$283*(1+$G$276:$G$283)^(AB$274-$N$274)/($N$276:$N$283+($N$276:$N$283=0))*'Manual inputs'!AB$81*'Manual inputs'!AB$79*($F$330:$F$337+$G$330:$G$337))/1000</f>
        <v>343.2861084813519</v>
      </c>
      <c r="AC350" s="72">
        <f>SUMPRODUCT($I$276:$I$283*$N$276:$N$283*(1+$G$276:$G$283)^(AC$274-$N$274)/($N$276:$N$283+($N$276:$N$283=0))*'Manual inputs'!AC$81*'Manual inputs'!AC$79*($F$330:$F$337+$G$330:$G$337))/1000</f>
        <v>356.77917203895254</v>
      </c>
      <c r="AD350" s="72">
        <f>SUMPRODUCT($I$276:$I$283*$N$276:$N$283*(1+$G$276:$G$283)^(AD$274-$N$274)/($N$276:$N$283+($N$276:$N$283=0))*'Manual inputs'!AD$81*'Manual inputs'!AD$79*($F$330:$F$337+$G$330:$G$337))/1000</f>
        <v>370.85020533985409</v>
      </c>
      <c r="AE350" s="72">
        <f>SUMPRODUCT($I$276:$I$283*$N$276:$N$283*(1+$G$276:$G$283)^(AE$274-$N$274)/($N$276:$N$283+($N$276:$N$283=0))*'Manual inputs'!AE$81*'Manual inputs'!AE$79*($F$330:$F$337+$G$330:$G$337))/1000</f>
        <v>385.52565137312359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1487</v>
      </c>
      <c r="D351" s="73"/>
      <c r="E351" s="72" t="s">
        <v>1488</v>
      </c>
      <c r="F351" s="72" t="s">
        <v>1406</v>
      </c>
      <c r="G351" s="72" t="s">
        <v>1489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1407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1408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1409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1410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1491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2040</v>
      </c>
      <c r="E361" s="72" t="s">
        <v>79</v>
      </c>
      <c r="F361" s="72"/>
      <c r="G361" s="70" t="s">
        <v>1491</v>
      </c>
      <c r="H361" s="87" t="str">
        <f>Settings!$B$3&amp;".mit.cbobch."&amp;$G361&amp;"."&amp;$J$5</f>
        <v>egy.mit.cbobch.cbam.tot.1</v>
      </c>
      <c r="I361" s="72"/>
      <c r="J361" s="72"/>
      <c r="K361" s="72"/>
      <c r="L361" s="101">
        <f t="shared" ref="L361:AE361" si="133">IF(L$350=0,0,L$339/L$350-1)</f>
        <v>0</v>
      </c>
      <c r="M361" s="101">
        <f t="shared" si="133"/>
        <v>0</v>
      </c>
      <c r="N361" s="101">
        <f t="shared" si="133"/>
        <v>0</v>
      </c>
      <c r="O361" s="101">
        <f t="shared" si="133"/>
        <v>0</v>
      </c>
      <c r="P361" s="101">
        <f t="shared" si="133"/>
        <v>0</v>
      </c>
      <c r="Q361" s="101">
        <f t="shared" si="133"/>
        <v>-1.1102230246251565E-16</v>
      </c>
      <c r="R361" s="101">
        <f t="shared" si="133"/>
        <v>0</v>
      </c>
      <c r="S361" s="101">
        <f t="shared" si="133"/>
        <v>-1.1102230246251565E-16</v>
      </c>
      <c r="T361" s="101">
        <f t="shared" si="133"/>
        <v>-1.1102230246251565E-16</v>
      </c>
      <c r="U361" s="101">
        <f t="shared" si="133"/>
        <v>-2.2204460492503131E-16</v>
      </c>
      <c r="V361" s="101">
        <f t="shared" si="133"/>
        <v>0</v>
      </c>
      <c r="W361" s="101">
        <f t="shared" si="133"/>
        <v>0</v>
      </c>
      <c r="X361" s="101">
        <f t="shared" si="133"/>
        <v>-2.2204460492503131E-16</v>
      </c>
      <c r="Y361" s="101">
        <f t="shared" si="133"/>
        <v>0</v>
      </c>
      <c r="Z361" s="101">
        <f t="shared" si="133"/>
        <v>0</v>
      </c>
      <c r="AA361" s="101">
        <f t="shared" si="133"/>
        <v>-2.2204460492503131E-16</v>
      </c>
      <c r="AB361" s="101">
        <f t="shared" si="133"/>
        <v>0</v>
      </c>
      <c r="AC361" s="101">
        <f t="shared" si="133"/>
        <v>-1.1102230246251565E-16</v>
      </c>
      <c r="AD361" s="101">
        <f t="shared" si="133"/>
        <v>-1.1102230246251565E-16</v>
      </c>
      <c r="AE361" s="101">
        <f t="shared" si="133"/>
        <v>0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1490</v>
      </c>
      <c r="D362" s="73"/>
      <c r="E362" s="72" t="s">
        <v>1979</v>
      </c>
      <c r="F362" s="72" t="s">
        <v>1980</v>
      </c>
      <c r="G362" s="72" t="s">
        <v>1981</v>
      </c>
      <c r="H362" s="74" t="s">
        <v>1982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1.0536051565782627E-3</v>
      </c>
      <c r="F363" s="78">
        <f>'Manual inputs'!U$53</f>
        <v>1</v>
      </c>
      <c r="G363" s="71">
        <f>'Manual inputs'!V$53</f>
        <v>1.0536051565782627E-3</v>
      </c>
      <c r="H363" s="78">
        <f>'Manual inputs'!W$53</f>
        <v>1</v>
      </c>
      <c r="I363" s="70" t="s">
        <v>2911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71">
        <f>'Manual inputs'!T$54</f>
        <v>2.0202707317519466E-4</v>
      </c>
      <c r="F364" s="78">
        <f>'Manual inputs'!U$54</f>
        <v>1</v>
      </c>
      <c r="G364" s="71">
        <f>'Manual inputs'!V$54</f>
        <v>2.0202707317519466E-4</v>
      </c>
      <c r="H364" s="78">
        <f>'Manual inputs'!W$54</f>
        <v>1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1407</v>
      </c>
      <c r="E365" s="71">
        <f>'Manual inputs'!T$55</f>
        <v>5.1293294387550576E-4</v>
      </c>
      <c r="F365" s="78">
        <f>'Manual inputs'!U$55</f>
        <v>1</v>
      </c>
      <c r="G365" s="71">
        <f>'Manual inputs'!V$55</f>
        <v>5.1293294387550576E-4</v>
      </c>
      <c r="H365" s="78">
        <f>'Manual inputs'!W$55</f>
        <v>1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1408</v>
      </c>
      <c r="E366" s="71">
        <f>'Manual inputs'!T$56</f>
        <v>8.338160893905101E-4</v>
      </c>
      <c r="F366" s="78">
        <f>'Manual inputs'!U$56</f>
        <v>1</v>
      </c>
      <c r="G366" s="71">
        <f>'Manual inputs'!V$56</f>
        <v>8.338160893905101E-4</v>
      </c>
      <c r="H366" s="78">
        <f>'Manual inputs'!W$56</f>
        <v>1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1409</v>
      </c>
      <c r="E367" s="71">
        <f>'Manual inputs'!T$57</f>
        <v>1.9845093872383817E-3</v>
      </c>
      <c r="F367" s="78">
        <f>'Manual inputs'!U$57</f>
        <v>1</v>
      </c>
      <c r="G367" s="71">
        <f>'Manual inputs'!V$57</f>
        <v>1.9845093872383817E-3</v>
      </c>
      <c r="H367" s="78">
        <f>'Manual inputs'!W$57</f>
        <v>1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71">
        <f>'Manual inputs'!T$58</f>
        <v>0</v>
      </c>
      <c r="F368" s="78">
        <f>'Manual inputs'!U$58</f>
        <v>1</v>
      </c>
      <c r="G368" s="71">
        <f>'Manual inputs'!V$58</f>
        <v>0</v>
      </c>
      <c r="H368" s="78">
        <f>'Manual inputs'!W$58</f>
        <v>1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1410</v>
      </c>
      <c r="E369" s="71">
        <f>'Manual inputs'!T$59</f>
        <v>1.0498221244986778E-2</v>
      </c>
      <c r="F369" s="78">
        <f>'Manual inputs'!U$59</f>
        <v>1</v>
      </c>
      <c r="G369" s="71">
        <f>'Manual inputs'!V$59</f>
        <v>1.0498221244986778E-2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71">
        <f>'Manual inputs'!T$60</f>
        <v>8.338160893905101E-4</v>
      </c>
      <c r="F370" s="78">
        <f>'Manual inputs'!U$60</f>
        <v>1</v>
      </c>
      <c r="G370" s="71">
        <f>'Manual inputs'!V$60</f>
        <v>8.338160893905101E-4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1491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2041</v>
      </c>
      <c r="E372" s="72" t="s">
        <v>79</v>
      </c>
      <c r="F372" s="72"/>
      <c r="G372" s="70" t="s">
        <v>1491</v>
      </c>
      <c r="H372" s="87" t="str">
        <f>Settings!$B$3&amp;".mit.cbobchu."&amp;$G372&amp;"."&amp;$J$5</f>
        <v>egy.mit.cbobchu.cbam.tot.1</v>
      </c>
      <c r="I372" s="72"/>
      <c r="J372" s="72"/>
      <c r="K372" s="72"/>
      <c r="L372" s="101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101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101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101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101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0</v>
      </c>
      <c r="Q372" s="101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-2.2204460492503131E-16</v>
      </c>
      <c r="R372" s="101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4.4408920985006262E-16</v>
      </c>
      <c r="S372" s="101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-1.1102230246251565E-16</v>
      </c>
      <c r="T372" s="101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0</v>
      </c>
      <c r="U372" s="101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-2.2204460492503131E-16</v>
      </c>
      <c r="V372" s="101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101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101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101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2.2204460492503131E-16</v>
      </c>
      <c r="Z372" s="101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101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101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101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101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101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1492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1493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3.5290636333347374</v>
      </c>
      <c r="M374" s="72">
        <f t="shared" si="144"/>
        <v>3.6067030332681016</v>
      </c>
      <c r="N374" s="72">
        <f t="shared" si="144"/>
        <v>3.6860504999999999</v>
      </c>
      <c r="O374" s="72">
        <f t="shared" si="144"/>
        <v>3.7671436109999994</v>
      </c>
      <c r="P374" s="72">
        <f t="shared" si="144"/>
        <v>3.8500207704419993</v>
      </c>
      <c r="Q374" s="72">
        <f t="shared" si="144"/>
        <v>3.9347212273917243</v>
      </c>
      <c r="R374" s="72">
        <f t="shared" si="144"/>
        <v>4.0212850943943419</v>
      </c>
      <c r="S374" s="72">
        <f t="shared" si="144"/>
        <v>4.1097533664710175</v>
      </c>
      <c r="T374" s="72">
        <f t="shared" si="144"/>
        <v>4.2001679405333787</v>
      </c>
      <c r="U374" s="72">
        <f t="shared" si="144"/>
        <v>4.292571635225114</v>
      </c>
      <c r="V374" s="72">
        <f t="shared" si="144"/>
        <v>4.387008211200067</v>
      </c>
      <c r="W374" s="72">
        <f t="shared" si="144"/>
        <v>4.4835223918464679</v>
      </c>
      <c r="X374" s="72">
        <f t="shared" si="144"/>
        <v>4.5821598844670905</v>
      </c>
      <c r="Y374" s="72">
        <f t="shared" si="144"/>
        <v>4.6829674019253673</v>
      </c>
      <c r="Z374" s="72">
        <f t="shared" si="144"/>
        <v>4.7859926847677254</v>
      </c>
      <c r="AA374" s="72">
        <f t="shared" si="144"/>
        <v>4.8912845238326144</v>
      </c>
      <c r="AB374" s="72">
        <f t="shared" si="144"/>
        <v>4.998892783356931</v>
      </c>
      <c r="AC374" s="72">
        <f t="shared" si="144"/>
        <v>5.1088684245907858</v>
      </c>
      <c r="AD374" s="72">
        <f t="shared" si="144"/>
        <v>5.2212635299317824</v>
      </c>
      <c r="AE374" s="72">
        <f t="shared" si="144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1494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3.8464212577619237</v>
      </c>
      <c r="M375" s="72">
        <f t="shared" si="145"/>
        <v>4.0156637931034478</v>
      </c>
      <c r="N375" s="72">
        <f t="shared" si="145"/>
        <v>4.1923530000000007</v>
      </c>
      <c r="O375" s="72">
        <f t="shared" si="145"/>
        <v>4.3768165320000012</v>
      </c>
      <c r="P375" s="72">
        <f t="shared" si="145"/>
        <v>4.5693964594080008</v>
      </c>
      <c r="Q375" s="72">
        <f t="shared" si="145"/>
        <v>4.7704499036219534</v>
      </c>
      <c r="R375" s="72">
        <f t="shared" si="145"/>
        <v>4.9803496993813186</v>
      </c>
      <c r="S375" s="72">
        <f t="shared" si="145"/>
        <v>5.1994850861540964</v>
      </c>
      <c r="T375" s="72">
        <f t="shared" si="145"/>
        <v>5.4282624299448763</v>
      </c>
      <c r="U375" s="72">
        <f t="shared" si="145"/>
        <v>5.6671059768624517</v>
      </c>
      <c r="V375" s="72">
        <f t="shared" si="145"/>
        <v>5.9164586398444001</v>
      </c>
      <c r="W375" s="72">
        <f t="shared" si="145"/>
        <v>6.1767828199975536</v>
      </c>
      <c r="X375" s="72">
        <f t="shared" si="145"/>
        <v>6.4485612640774468</v>
      </c>
      <c r="Y375" s="72">
        <f t="shared" si="145"/>
        <v>6.7322979596968544</v>
      </c>
      <c r="Z375" s="72">
        <f t="shared" si="145"/>
        <v>7.0285190699235152</v>
      </c>
      <c r="AA375" s="72">
        <f t="shared" si="145"/>
        <v>7.3377739090001493</v>
      </c>
      <c r="AB375" s="72">
        <f t="shared" si="145"/>
        <v>7.6606359609961574</v>
      </c>
      <c r="AC375" s="72">
        <f t="shared" si="145"/>
        <v>7.9977039432799879</v>
      </c>
      <c r="AD375" s="72">
        <f t="shared" si="145"/>
        <v>8.3496029167843062</v>
      </c>
      <c r="AE375" s="72">
        <f t="shared" si="145"/>
        <v>8.7169854451228161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1495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4.2047573055412055E-2</v>
      </c>
      <c r="M376" s="72">
        <f t="shared" si="146"/>
        <v>4.4360189573459712E-2</v>
      </c>
      <c r="N376" s="72">
        <f t="shared" si="146"/>
        <v>4.6799999999999994E-2</v>
      </c>
      <c r="O376" s="72">
        <f t="shared" si="146"/>
        <v>4.9374000000000001E-2</v>
      </c>
      <c r="P376" s="72">
        <f t="shared" si="146"/>
        <v>5.2089569999999995E-2</v>
      </c>
      <c r="Q376" s="72">
        <f t="shared" si="146"/>
        <v>5.4954496349999986E-2</v>
      </c>
      <c r="R376" s="72">
        <f t="shared" si="146"/>
        <v>5.7976993649249998E-2</v>
      </c>
      <c r="S376" s="72">
        <f t="shared" si="146"/>
        <v>6.1165728299958734E-2</v>
      </c>
      <c r="T376" s="72">
        <f t="shared" si="146"/>
        <v>6.4529843356456465E-2</v>
      </c>
      <c r="U376" s="72">
        <f t="shared" si="146"/>
        <v>6.8078984741061555E-2</v>
      </c>
      <c r="V376" s="72">
        <f t="shared" si="146"/>
        <v>7.1823328901819944E-2</v>
      </c>
      <c r="W376" s="72">
        <f t="shared" si="146"/>
        <v>7.5773611991420048E-2</v>
      </c>
      <c r="X376" s="72">
        <f t="shared" si="146"/>
        <v>7.9941160650948154E-2</v>
      </c>
      <c r="Y376" s="72">
        <f t="shared" si="146"/>
        <v>8.4337924486750301E-2</v>
      </c>
      <c r="Z376" s="72">
        <f t="shared" si="146"/>
        <v>8.8976510333521566E-2</v>
      </c>
      <c r="AA376" s="72">
        <f t="shared" si="146"/>
        <v>9.3870218401865227E-2</v>
      </c>
      <c r="AB376" s="72">
        <f t="shared" si="146"/>
        <v>9.9033080413967828E-2</v>
      </c>
      <c r="AC376" s="72">
        <f t="shared" si="146"/>
        <v>0.10447989983673604</v>
      </c>
      <c r="AD376" s="72">
        <f t="shared" si="146"/>
        <v>0.11022629432775652</v>
      </c>
      <c r="AE376" s="72">
        <f t="shared" si="146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1496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1497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13.508713893592759</v>
      </c>
      <c r="M378" s="72">
        <f t="shared" si="147"/>
        <v>13.954501452081319</v>
      </c>
      <c r="N378" s="72">
        <f t="shared" si="147"/>
        <v>14.414999999999999</v>
      </c>
      <c r="O378" s="72">
        <f t="shared" si="147"/>
        <v>14.890694999999997</v>
      </c>
      <c r="P378" s="72">
        <f t="shared" si="147"/>
        <v>15.382087934999998</v>
      </c>
      <c r="Q378" s="72">
        <f t="shared" si="147"/>
        <v>15.889696836854995</v>
      </c>
      <c r="R378" s="72">
        <f t="shared" si="147"/>
        <v>16.414056832471207</v>
      </c>
      <c r="S378" s="72">
        <f t="shared" si="147"/>
        <v>16.955720707942756</v>
      </c>
      <c r="T378" s="72">
        <f t="shared" si="147"/>
        <v>17.515259491304867</v>
      </c>
      <c r="U378" s="72">
        <f t="shared" si="147"/>
        <v>18.093263054517923</v>
      </c>
      <c r="V378" s="72">
        <f t="shared" si="147"/>
        <v>18.690340735317012</v>
      </c>
      <c r="W378" s="72">
        <f t="shared" si="147"/>
        <v>19.307121979582472</v>
      </c>
      <c r="X378" s="72">
        <f t="shared" si="147"/>
        <v>19.944257004908685</v>
      </c>
      <c r="Y378" s="72">
        <f t="shared" si="147"/>
        <v>20.602417486070678</v>
      </c>
      <c r="Z378" s="72">
        <f t="shared" si="147"/>
        <v>21.282297263111005</v>
      </c>
      <c r="AA378" s="72">
        <f t="shared" si="147"/>
        <v>21.984613072793667</v>
      </c>
      <c r="AB378" s="72">
        <f t="shared" si="147"/>
        <v>22.710105304195856</v>
      </c>
      <c r="AC378" s="72">
        <f t="shared" si="147"/>
        <v>23.459538779234315</v>
      </c>
      <c r="AD378" s="72">
        <f t="shared" si="147"/>
        <v>24.233703558949045</v>
      </c>
      <c r="AE378" s="72">
        <f t="shared" si="147"/>
        <v>25.03341577639436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1491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20.926246357744834</v>
      </c>
      <c r="M379" s="72">
        <f t="shared" si="148"/>
        <v>21.621228468026327</v>
      </c>
      <c r="N379" s="72">
        <f t="shared" si="148"/>
        <v>22.340203500000001</v>
      </c>
      <c r="O379" s="72">
        <f t="shared" si="148"/>
        <v>23.084029142999999</v>
      </c>
      <c r="P379" s="72">
        <f t="shared" si="148"/>
        <v>23.853594734849999</v>
      </c>
      <c r="Q379" s="72">
        <f t="shared" si="148"/>
        <v>24.649822464218673</v>
      </c>
      <c r="R379" s="72">
        <f t="shared" si="148"/>
        <v>25.473668619896117</v>
      </c>
      <c r="S379" s="72">
        <f t="shared" si="148"/>
        <v>26.326124888867827</v>
      </c>
      <c r="T379" s="72">
        <f t="shared" si="148"/>
        <v>27.20821970513958</v>
      </c>
      <c r="U379" s="72">
        <f t="shared" si="148"/>
        <v>28.12101965134655</v>
      </c>
      <c r="V379" s="72">
        <f t="shared" si="148"/>
        <v>29.065630915263299</v>
      </c>
      <c r="W379" s="72">
        <f t="shared" si="148"/>
        <v>30.043200803417914</v>
      </c>
      <c r="X379" s="72">
        <f t="shared" si="148"/>
        <v>31.054919314104168</v>
      </c>
      <c r="Y379" s="72">
        <f t="shared" si="148"/>
        <v>32.10202077217965</v>
      </c>
      <c r="Z379" s="72">
        <f t="shared" si="148"/>
        <v>33.185785528135767</v>
      </c>
      <c r="AA379" s="72">
        <f t="shared" si="148"/>
        <v>34.307541724028297</v>
      </c>
      <c r="AB379" s="72">
        <f t="shared" si="148"/>
        <v>35.468667128962913</v>
      </c>
      <c r="AC379" s="72">
        <f t="shared" si="148"/>
        <v>36.670591046941823</v>
      </c>
      <c r="AD379" s="72">
        <f t="shared" si="148"/>
        <v>37.914796299992886</v>
      </c>
      <c r="AE379" s="72">
        <f t="shared" si="148"/>
        <v>39.202821289623245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1867</v>
      </c>
      <c r="E380" s="72" t="s">
        <v>1868</v>
      </c>
      <c r="F380" s="72"/>
      <c r="G380" s="70" t="s">
        <v>1491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47.016585657660869</v>
      </c>
      <c r="M380" s="72">
        <f t="shared" si="149"/>
        <v>48.583140104124077</v>
      </c>
      <c r="N380" s="72">
        <f t="shared" si="149"/>
        <v>50.203203500000001</v>
      </c>
      <c r="O380" s="72">
        <f t="shared" si="149"/>
        <v>51.878652142999996</v>
      </c>
      <c r="P380" s="72">
        <f t="shared" si="149"/>
        <v>53.611430083849996</v>
      </c>
      <c r="Q380" s="72">
        <f t="shared" si="149"/>
        <v>55.403551656613665</v>
      </c>
      <c r="R380" s="72">
        <f t="shared" si="149"/>
        <v>57.257104107200519</v>
      </c>
      <c r="S380" s="72">
        <f t="shared" si="149"/>
        <v>59.174250324032485</v>
      </c>
      <c r="T380" s="72">
        <f t="shared" si="149"/>
        <v>61.157231675010621</v>
      </c>
      <c r="U380" s="72">
        <f t="shared" si="149"/>
        <v>63.208370955098907</v>
      </c>
      <c r="V380" s="72">
        <f t="shared" si="149"/>
        <v>65.330075449025699</v>
      </c>
      <c r="W380" s="72">
        <f t="shared" si="149"/>
        <v>67.52484011379407</v>
      </c>
      <c r="X380" s="72">
        <f t="shared" si="149"/>
        <v>69.795250885892727</v>
      </c>
      <c r="Y380" s="72">
        <f t="shared" si="149"/>
        <v>72.143988118307931</v>
      </c>
      <c r="Z380" s="72">
        <f t="shared" si="149"/>
        <v>74.573830152653841</v>
      </c>
      <c r="AA380" s="72">
        <f t="shared" si="149"/>
        <v>77.087657031968192</v>
      </c>
      <c r="AB380" s="72">
        <f t="shared" si="149"/>
        <v>79.688454359956438</v>
      </c>
      <c r="AC380" s="72">
        <f t="shared" si="149"/>
        <v>82.379317312717077</v>
      </c>
      <c r="AD380" s="72">
        <f t="shared" si="149"/>
        <v>85.163454809240335</v>
      </c>
      <c r="AE380" s="72">
        <f t="shared" si="149"/>
        <v>88.044193847243562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1869</v>
      </c>
      <c r="E381" s="72" t="s">
        <v>1868</v>
      </c>
      <c r="F381" s="72"/>
      <c r="G381" s="70" t="s">
        <v>1491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1899</v>
      </c>
      <c r="E382" s="72" t="s">
        <v>1870</v>
      </c>
      <c r="F382" s="72"/>
      <c r="G382" s="70" t="s">
        <v>1491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1918</v>
      </c>
      <c r="E383" s="72" t="s">
        <v>1870</v>
      </c>
      <c r="F383" s="72"/>
      <c r="G383" s="70" t="s">
        <v>1491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1498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1493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0.55721293959505358</v>
      </c>
      <c r="M385" s="72">
        <f t="shared" si="153"/>
        <v>0.56947162426614473</v>
      </c>
      <c r="N385" s="72">
        <f t="shared" si="153"/>
        <v>0.58199999999999996</v>
      </c>
      <c r="O385" s="72">
        <f t="shared" si="153"/>
        <v>0.594804</v>
      </c>
      <c r="P385" s="72">
        <f t="shared" si="153"/>
        <v>0.60788968799999998</v>
      </c>
      <c r="Q385" s="72">
        <f t="shared" si="153"/>
        <v>0.62126326113599994</v>
      </c>
      <c r="R385" s="72">
        <f t="shared" si="153"/>
        <v>0.63493105288099194</v>
      </c>
      <c r="S385" s="72">
        <f t="shared" si="153"/>
        <v>0.64889953604437378</v>
      </c>
      <c r="T385" s="72">
        <f t="shared" si="153"/>
        <v>0.66317532583734995</v>
      </c>
      <c r="U385" s="72">
        <f t="shared" si="153"/>
        <v>0.67776518300577171</v>
      </c>
      <c r="V385" s="72">
        <f t="shared" si="153"/>
        <v>0.69267601703189885</v>
      </c>
      <c r="W385" s="72">
        <f t="shared" si="153"/>
        <v>0.70791488940660041</v>
      </c>
      <c r="X385" s="72">
        <f t="shared" si="153"/>
        <v>0.72348901697354573</v>
      </c>
      <c r="Y385" s="72">
        <f t="shared" si="153"/>
        <v>0.73940577534696372</v>
      </c>
      <c r="Z385" s="72">
        <f t="shared" si="153"/>
        <v>0.75567270240459705</v>
      </c>
      <c r="AA385" s="72">
        <f t="shared" si="153"/>
        <v>0.77229750185749824</v>
      </c>
      <c r="AB385" s="72">
        <f t="shared" si="153"/>
        <v>0.78928804689836307</v>
      </c>
      <c r="AC385" s="72">
        <f t="shared" si="153"/>
        <v>0.80665238393012706</v>
      </c>
      <c r="AD385" s="72">
        <f t="shared" si="153"/>
        <v>0.82439873637658989</v>
      </c>
      <c r="AE385" s="72">
        <f t="shared" si="153"/>
        <v>0.84253550857687487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1494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0.25322587748271458</v>
      </c>
      <c r="M386" s="72">
        <f t="shared" si="154"/>
        <v>0.26436781609195403</v>
      </c>
      <c r="N386" s="72">
        <f t="shared" si="154"/>
        <v>0.27599999999999997</v>
      </c>
      <c r="O386" s="72">
        <f t="shared" si="154"/>
        <v>0.28814400000000001</v>
      </c>
      <c r="P386" s="72">
        <f t="shared" si="154"/>
        <v>0.30082233600000002</v>
      </c>
      <c r="Q386" s="72">
        <f t="shared" si="154"/>
        <v>0.31405851878400004</v>
      </c>
      <c r="R386" s="72">
        <f t="shared" si="154"/>
        <v>0.327877093610496</v>
      </c>
      <c r="S386" s="72">
        <f t="shared" si="154"/>
        <v>0.34230368572935777</v>
      </c>
      <c r="T386" s="72">
        <f t="shared" si="154"/>
        <v>0.35736504790144963</v>
      </c>
      <c r="U386" s="72">
        <f t="shared" si="154"/>
        <v>0.37308911000911343</v>
      </c>
      <c r="V386" s="72">
        <f t="shared" si="154"/>
        <v>0.38950503084951443</v>
      </c>
      <c r="W386" s="72">
        <f t="shared" si="154"/>
        <v>0.40664325220689312</v>
      </c>
      <c r="X386" s="72">
        <f t="shared" si="154"/>
        <v>0.42453555530399639</v>
      </c>
      <c r="Y386" s="72">
        <f t="shared" si="154"/>
        <v>0.44321511973737227</v>
      </c>
      <c r="Z386" s="72">
        <f t="shared" si="154"/>
        <v>0.46271658500581653</v>
      </c>
      <c r="AA386" s="72">
        <f t="shared" si="154"/>
        <v>0.48307611474607248</v>
      </c>
      <c r="AB386" s="72">
        <f t="shared" si="154"/>
        <v>0.50433146379489979</v>
      </c>
      <c r="AC386" s="72">
        <f t="shared" si="154"/>
        <v>0.52652204820187531</v>
      </c>
      <c r="AD386" s="72">
        <f t="shared" si="154"/>
        <v>0.54968901832275774</v>
      </c>
      <c r="AE386" s="72">
        <f t="shared" si="154"/>
        <v>0.57387533512895916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1495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0.63340895307832257</v>
      </c>
      <c r="M387" s="72">
        <f t="shared" si="155"/>
        <v>0.66824644549763035</v>
      </c>
      <c r="N387" s="72">
        <f t="shared" si="155"/>
        <v>0.70499999999999996</v>
      </c>
      <c r="O387" s="72">
        <f t="shared" si="155"/>
        <v>0.74377499999999996</v>
      </c>
      <c r="P387" s="72">
        <f t="shared" si="155"/>
        <v>0.78468262499999997</v>
      </c>
      <c r="Q387" s="72">
        <f t="shared" si="155"/>
        <v>0.82784016937499982</v>
      </c>
      <c r="R387" s="72">
        <f t="shared" si="155"/>
        <v>0.87337137869062498</v>
      </c>
      <c r="S387" s="72">
        <f t="shared" si="155"/>
        <v>0.92140680451860923</v>
      </c>
      <c r="T387" s="72">
        <f t="shared" si="155"/>
        <v>0.97208417876713271</v>
      </c>
      <c r="U387" s="72">
        <f t="shared" si="155"/>
        <v>1.025548808599325</v>
      </c>
      <c r="V387" s="72">
        <f t="shared" si="155"/>
        <v>1.0819539930722879</v>
      </c>
      <c r="W387" s="72">
        <f t="shared" si="155"/>
        <v>1.1414614626912638</v>
      </c>
      <c r="X387" s="72">
        <f t="shared" si="155"/>
        <v>1.2042418431392832</v>
      </c>
      <c r="Y387" s="72">
        <f t="shared" si="155"/>
        <v>1.2704751445119435</v>
      </c>
      <c r="Z387" s="72">
        <f t="shared" si="155"/>
        <v>1.3403512774601003</v>
      </c>
      <c r="AA387" s="72">
        <f t="shared" si="155"/>
        <v>1.4140705977204056</v>
      </c>
      <c r="AB387" s="72">
        <f t="shared" si="155"/>
        <v>1.4918444805950282</v>
      </c>
      <c r="AC387" s="72">
        <f t="shared" si="155"/>
        <v>1.5738959270277544</v>
      </c>
      <c r="AD387" s="72">
        <f t="shared" si="155"/>
        <v>1.660460203014281</v>
      </c>
      <c r="AE387" s="72">
        <f t="shared" si="155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1496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1497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24.646491529759945</v>
      </c>
      <c r="M389" s="72">
        <f t="shared" si="156"/>
        <v>25.459825750242022</v>
      </c>
      <c r="N389" s="72">
        <f t="shared" si="156"/>
        <v>26.3</v>
      </c>
      <c r="O389" s="72">
        <f t="shared" si="156"/>
        <v>27.167899999999999</v>
      </c>
      <c r="P389" s="72">
        <f t="shared" si="156"/>
        <v>28.064440699999995</v>
      </c>
      <c r="Q389" s="72">
        <f t="shared" si="156"/>
        <v>28.990567243099992</v>
      </c>
      <c r="R389" s="72">
        <f t="shared" si="156"/>
        <v>29.947255962122291</v>
      </c>
      <c r="S389" s="72">
        <f t="shared" si="156"/>
        <v>30.935515408872323</v>
      </c>
      <c r="T389" s="72">
        <f t="shared" si="156"/>
        <v>31.956387417365107</v>
      </c>
      <c r="U389" s="72">
        <f t="shared" si="156"/>
        <v>33.010948202138145</v>
      </c>
      <c r="V389" s="72">
        <f t="shared" si="156"/>
        <v>34.100309492808698</v>
      </c>
      <c r="W389" s="72">
        <f t="shared" si="156"/>
        <v>35.225619706071392</v>
      </c>
      <c r="X389" s="72">
        <f t="shared" si="156"/>
        <v>36.388065156371731</v>
      </c>
      <c r="Y389" s="72">
        <f t="shared" si="156"/>
        <v>37.588871306532006</v>
      </c>
      <c r="Z389" s="72">
        <f t="shared" si="156"/>
        <v>38.829304059647555</v>
      </c>
      <c r="AA389" s="72">
        <f t="shared" si="156"/>
        <v>40.11067109361592</v>
      </c>
      <c r="AB389" s="72">
        <f t="shared" si="156"/>
        <v>41.434323239705236</v>
      </c>
      <c r="AC389" s="72">
        <f t="shared" si="156"/>
        <v>42.801655906615501</v>
      </c>
      <c r="AD389" s="72">
        <f t="shared" si="156"/>
        <v>44.214110551533814</v>
      </c>
      <c r="AE389" s="72">
        <f t="shared" si="156"/>
        <v>45.673176199734421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1491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26.090339299916035</v>
      </c>
      <c r="M390" s="72">
        <f t="shared" si="157"/>
        <v>26.961911636097749</v>
      </c>
      <c r="N390" s="72">
        <f t="shared" si="157"/>
        <v>27.863</v>
      </c>
      <c r="O390" s="72">
        <f t="shared" si="157"/>
        <v>28.794623000000001</v>
      </c>
      <c r="P390" s="72">
        <f t="shared" si="157"/>
        <v>29.757835348999997</v>
      </c>
      <c r="Q390" s="72">
        <f t="shared" si="157"/>
        <v>30.753729192394992</v>
      </c>
      <c r="R390" s="72">
        <f t="shared" si="157"/>
        <v>31.783435487304406</v>
      </c>
      <c r="S390" s="72">
        <f t="shared" si="157"/>
        <v>32.848125435164661</v>
      </c>
      <c r="T390" s="72">
        <f t="shared" si="157"/>
        <v>33.949011969871037</v>
      </c>
      <c r="U390" s="72">
        <f t="shared" si="157"/>
        <v>35.087351303752357</v>
      </c>
      <c r="V390" s="72">
        <f t="shared" si="157"/>
        <v>36.264444533762401</v>
      </c>
      <c r="W390" s="72">
        <f t="shared" si="157"/>
        <v>37.481639310376153</v>
      </c>
      <c r="X390" s="72">
        <f t="shared" si="157"/>
        <v>38.740331571788559</v>
      </c>
      <c r="Y390" s="72">
        <f t="shared" si="157"/>
        <v>40.041967346128288</v>
      </c>
      <c r="Z390" s="72">
        <f t="shared" si="157"/>
        <v>41.388044624518066</v>
      </c>
      <c r="AA390" s="72">
        <f t="shared" si="157"/>
        <v>42.780115307939894</v>
      </c>
      <c r="AB390" s="72">
        <f t="shared" si="157"/>
        <v>44.219787230993525</v>
      </c>
      <c r="AC390" s="72">
        <f t="shared" si="157"/>
        <v>45.708726265775255</v>
      </c>
      <c r="AD390" s="72">
        <f t="shared" si="157"/>
        <v>47.248658509247441</v>
      </c>
      <c r="AE390" s="72">
        <f t="shared" si="157"/>
        <v>48.841372557620318</v>
      </c>
      <c r="AF390" s="70"/>
      <c r="AG390" s="70"/>
      <c r="AH390" s="70"/>
      <c r="AI390" s="70"/>
    </row>
    <row r="391" spans="1:35" x14ac:dyDescent="0.45">
      <c r="A391" s="70"/>
      <c r="B391" s="52" t="s">
        <v>1871</v>
      </c>
      <c r="C391" s="73" t="s">
        <v>1499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1441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1500</v>
      </c>
      <c r="E400" s="70" t="s">
        <v>1870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1872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2417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2418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2419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2420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2421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2422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2423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2424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2425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2426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2427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2428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2429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2430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2431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2432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2433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2434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2435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2436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2437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2438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2439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2440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2441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2442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2443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2444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2445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2446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2447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2448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2449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2450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2451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2452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1421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1422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1423</v>
      </c>
      <c r="E646" s="71" t="s">
        <v>1414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1424</v>
      </c>
      <c r="E647" s="70" t="s">
        <v>1414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1425</v>
      </c>
      <c r="E648" s="70" t="s">
        <v>1426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2914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1427</v>
      </c>
      <c r="E649" s="70" t="s">
        <v>1860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2913</v>
      </c>
      <c r="J649" s="70"/>
      <c r="K649" s="70"/>
      <c r="L649" s="113">
        <f>Fund_Industry!L$329</f>
        <v>0</v>
      </c>
      <c r="M649" s="113">
        <f>Fund_Industry!M$329</f>
        <v>0</v>
      </c>
      <c r="N649" s="113">
        <f>Fund_Industry!N$329</f>
        <v>0</v>
      </c>
      <c r="O649" s="113">
        <f>Fund_Industry!O$329</f>
        <v>0</v>
      </c>
      <c r="P649" s="113">
        <f>Fund_Industry!P$329</f>
        <v>0</v>
      </c>
      <c r="Q649" s="113">
        <f>Fund_Industry!Q$329</f>
        <v>0</v>
      </c>
      <c r="R649" s="113">
        <f>Fund_Industry!R$329</f>
        <v>0</v>
      </c>
      <c r="S649" s="113">
        <f>Fund_Industry!S$329</f>
        <v>0</v>
      </c>
      <c r="T649" s="113">
        <f>Fund_Industry!T$329</f>
        <v>0</v>
      </c>
      <c r="U649" s="113">
        <f>Fund_Industry!U$329</f>
        <v>0</v>
      </c>
      <c r="V649" s="113">
        <f>Fund_Industry!V$329</f>
        <v>0</v>
      </c>
      <c r="W649" s="113">
        <f>Fund_Industry!W$329</f>
        <v>0</v>
      </c>
      <c r="X649" s="113">
        <f>Fund_Industry!X$329</f>
        <v>0</v>
      </c>
      <c r="Y649" s="113">
        <f>Fund_Industry!Y$329</f>
        <v>0</v>
      </c>
      <c r="Z649" s="113">
        <f>Fund_Industry!Z$329</f>
        <v>0</v>
      </c>
      <c r="AA649" s="113">
        <f>Fund_Industry!AA$329</f>
        <v>0</v>
      </c>
      <c r="AB649" s="113">
        <f>Fund_Industry!AB$329</f>
        <v>0</v>
      </c>
      <c r="AC649" s="113">
        <f>Fund_Industry!AC$329</f>
        <v>0</v>
      </c>
      <c r="AD649" s="113">
        <f>Fund_Industry!AD$329</f>
        <v>0</v>
      </c>
      <c r="AE649" s="113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1861</v>
      </c>
      <c r="E650" s="70" t="s">
        <v>1414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1862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1428</v>
      </c>
      <c r="D651" s="73"/>
      <c r="E651" s="71" t="s">
        <v>1429</v>
      </c>
      <c r="F651" s="71" t="s">
        <v>1430</v>
      </c>
      <c r="G651" s="71" t="s">
        <v>1404</v>
      </c>
      <c r="H651" s="71" t="s">
        <v>1431</v>
      </c>
      <c r="I651" s="71" t="s">
        <v>1432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1900</v>
      </c>
      <c r="D657" s="72" t="s">
        <v>1901</v>
      </c>
      <c r="E657" s="72" t="s">
        <v>1868</v>
      </c>
      <c r="F657" s="72"/>
      <c r="G657" s="70" t="s">
        <v>1491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15.80851477988204</v>
      </c>
      <c r="M657" s="72">
        <f t="shared" si="193"/>
        <v>16.333156432126469</v>
      </c>
      <c r="N657" s="72">
        <f t="shared" si="193"/>
        <v>16.8755025</v>
      </c>
      <c r="O657" s="72">
        <f t="shared" si="193"/>
        <v>17.436160520999998</v>
      </c>
      <c r="P657" s="72">
        <f t="shared" si="193"/>
        <v>18.015759258365996</v>
      </c>
      <c r="Q657" s="72">
        <f t="shared" si="193"/>
        <v>18.614949457680826</v>
      </c>
      <c r="R657" s="72">
        <f t="shared" si="193"/>
        <v>19.234404631062102</v>
      </c>
      <c r="S657" s="72">
        <f t="shared" si="193"/>
        <v>19.874821869976433</v>
      </c>
      <c r="T657" s="72">
        <f t="shared" si="193"/>
        <v>20.536922687748202</v>
      </c>
      <c r="U657" s="72">
        <f t="shared" si="193"/>
        <v>21.221453892876486</v>
      </c>
      <c r="V657" s="72">
        <f t="shared" si="193"/>
        <v>21.929188494316179</v>
      </c>
      <c r="W657" s="72">
        <f t="shared" si="193"/>
        <v>22.660926639924458</v>
      </c>
      <c r="X657" s="72">
        <f t="shared" si="193"/>
        <v>23.417496589319796</v>
      </c>
      <c r="Y657" s="72">
        <f t="shared" si="193"/>
        <v>24.199755722449421</v>
      </c>
      <c r="Z657" s="72">
        <f t="shared" si="193"/>
        <v>25.008591585210848</v>
      </c>
      <c r="AA657" s="72">
        <f t="shared" si="193"/>
        <v>25.844922973525971</v>
      </c>
      <c r="AB657" s="72">
        <f t="shared" si="193"/>
        <v>26.709701057319819</v>
      </c>
      <c r="AC657" s="72">
        <f t="shared" si="193"/>
        <v>27.603910545913166</v>
      </c>
      <c r="AD657" s="72">
        <f t="shared" si="193"/>
        <v>28.528570896396577</v>
      </c>
      <c r="AE657" s="72">
        <f t="shared" si="193"/>
        <v>29.484737566614793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1902</v>
      </c>
      <c r="E658" s="72" t="s">
        <v>1868</v>
      </c>
      <c r="F658" s="72"/>
      <c r="G658" s="70" t="s">
        <v>1491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5.1177315778627914</v>
      </c>
      <c r="M658" s="72">
        <f t="shared" si="194"/>
        <v>5.2880720358998579</v>
      </c>
      <c r="N658" s="72">
        <f t="shared" si="194"/>
        <v>5.4647009999999998</v>
      </c>
      <c r="O658" s="72">
        <f t="shared" si="194"/>
        <v>5.6478686219999998</v>
      </c>
      <c r="P658" s="72">
        <f t="shared" si="194"/>
        <v>5.8378354764840008</v>
      </c>
      <c r="Q658" s="72">
        <f t="shared" si="194"/>
        <v>6.0348730065378486</v>
      </c>
      <c r="R658" s="72">
        <f t="shared" si="194"/>
        <v>6.2392639888340149</v>
      </c>
      <c r="S658" s="72">
        <f t="shared" si="194"/>
        <v>6.451303018891398</v>
      </c>
      <c r="T658" s="72">
        <f t="shared" si="194"/>
        <v>6.6712970173913781</v>
      </c>
      <c r="U658" s="72">
        <f t="shared" si="194"/>
        <v>6.8995657584700689</v>
      </c>
      <c r="V658" s="72">
        <f t="shared" si="194"/>
        <v>7.1364424209471196</v>
      </c>
      <c r="W658" s="72">
        <f t="shared" si="194"/>
        <v>7.3822741634934577</v>
      </c>
      <c r="X658" s="72">
        <f t="shared" si="194"/>
        <v>7.6374227247843756</v>
      </c>
      <c r="Y658" s="72">
        <f t="shared" si="194"/>
        <v>7.9022650497302331</v>
      </c>
      <c r="Z658" s="72">
        <f t="shared" si="194"/>
        <v>8.1771939429249247</v>
      </c>
      <c r="AA658" s="72">
        <f t="shared" si="194"/>
        <v>8.462618750502326</v>
      </c>
      <c r="AB658" s="72">
        <f t="shared" si="194"/>
        <v>8.7589660716430888</v>
      </c>
      <c r="AC658" s="72">
        <f t="shared" si="194"/>
        <v>9.0666805010286531</v>
      </c>
      <c r="AD658" s="72">
        <f t="shared" si="194"/>
        <v>9.3862254035963115</v>
      </c>
      <c r="AE658" s="72">
        <f t="shared" si="194"/>
        <v>9.7180837230084443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1903</v>
      </c>
      <c r="E659" s="72" t="s">
        <v>1868</v>
      </c>
      <c r="F659" s="72"/>
      <c r="G659" s="70" t="s">
        <v>1491</v>
      </c>
      <c r="H659" s="87" t="str">
        <f>Settings!$B$3&amp;".mit.emisnp."&amp;$G659&amp;"."&amp;$J$404</f>
        <v>egy.mit.emisnp.cbam.tot.2</v>
      </c>
      <c r="I659" s="72" t="s">
        <v>2912</v>
      </c>
      <c r="J659" s="72"/>
      <c r="K659" s="72"/>
      <c r="L659" s="72">
        <f t="shared" ref="L659:AE659" si="195">SUMPRODUCT(L$675:L$682*($J$663:$J$670&gt;0)*$J$663:$J$670*(1+$J$672*(EXP(-$E$762:$E$769*($F$709:$F$716*L$707+$G$709:$G$716*L$647+L$648))-1)))/1000</f>
        <v>25.304020994313927</v>
      </c>
      <c r="M659" s="72">
        <f t="shared" si="195"/>
        <v>26.150733850694163</v>
      </c>
      <c r="N659" s="72">
        <f t="shared" si="195"/>
        <v>27.026</v>
      </c>
      <c r="O659" s="72">
        <f t="shared" si="195"/>
        <v>27.930793999999999</v>
      </c>
      <c r="P659" s="72">
        <f t="shared" si="195"/>
        <v>28.866124285999998</v>
      </c>
      <c r="Q659" s="72">
        <f t="shared" si="195"/>
        <v>29.833034380633993</v>
      </c>
      <c r="R659" s="72">
        <f t="shared" si="195"/>
        <v>30.832604148514033</v>
      </c>
      <c r="S659" s="72">
        <f t="shared" si="195"/>
        <v>31.865951097485905</v>
      </c>
      <c r="T659" s="72">
        <f t="shared" si="195"/>
        <v>32.934231728309406</v>
      </c>
      <c r="U659" s="72">
        <f t="shared" si="195"/>
        <v>34.038642934657467</v>
      </c>
      <c r="V659" s="72">
        <f t="shared" si="195"/>
        <v>35.180423455406483</v>
      </c>
      <c r="W659" s="72">
        <f t="shared" si="195"/>
        <v>36.360855381272707</v>
      </c>
      <c r="X659" s="72">
        <f t="shared" si="195"/>
        <v>37.581265717934848</v>
      </c>
      <c r="Y659" s="72">
        <f t="shared" si="195"/>
        <v>38.843028007872746</v>
      </c>
      <c r="Z659" s="72">
        <f t="shared" si="195"/>
        <v>40.147564013244924</v>
      </c>
      <c r="AA659" s="72">
        <f t="shared" si="195"/>
        <v>41.496345462226081</v>
      </c>
      <c r="AB659" s="72">
        <f t="shared" si="195"/>
        <v>42.890895861326747</v>
      </c>
      <c r="AC659" s="72">
        <f t="shared" si="195"/>
        <v>44.332792376324456</v>
      </c>
      <c r="AD659" s="72">
        <f t="shared" si="195"/>
        <v>45.823667784546537</v>
      </c>
      <c r="AE659" s="72">
        <f t="shared" si="195"/>
        <v>47.365212501361292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1904</v>
      </c>
      <c r="E660" s="72" t="s">
        <v>1868</v>
      </c>
      <c r="F660" s="72"/>
      <c r="G660" s="70" t="s">
        <v>1491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SUMPRODUCT(L$675:L$682*($K$663:$K$670&gt;0)*$K$663:$K$670*(1+$K$672*(EXP(-$E$762:$E$769*($F$709:$F$716*L$707+$G$709:$G$716*L$647+L$648))-1)))/1000</f>
        <v>0.78631830560210647</v>
      </c>
      <c r="M660" s="72">
        <f t="shared" si="196"/>
        <v>0.81117778540358554</v>
      </c>
      <c r="N660" s="72">
        <f t="shared" si="196"/>
        <v>0.83699999999999997</v>
      </c>
      <c r="O660" s="72">
        <f t="shared" si="196"/>
        <v>0.86382899999999996</v>
      </c>
      <c r="P660" s="72">
        <f t="shared" si="196"/>
        <v>0.89171106299999991</v>
      </c>
      <c r="Q660" s="72">
        <f t="shared" si="196"/>
        <v>0.92069481176099999</v>
      </c>
      <c r="R660" s="72">
        <f t="shared" si="196"/>
        <v>0.95083133879036696</v>
      </c>
      <c r="S660" s="72">
        <f t="shared" si="196"/>
        <v>0.98217433767876439</v>
      </c>
      <c r="T660" s="72">
        <f t="shared" si="196"/>
        <v>1.014780241561632</v>
      </c>
      <c r="U660" s="72">
        <f t="shared" si="196"/>
        <v>1.0487083690948893</v>
      </c>
      <c r="V660" s="72">
        <f t="shared" si="196"/>
        <v>1.0840210783559179</v>
      </c>
      <c r="W660" s="72">
        <f t="shared" si="196"/>
        <v>1.1207839291034405</v>
      </c>
      <c r="X660" s="72">
        <f t="shared" si="196"/>
        <v>1.1590658538537117</v>
      </c>
      <c r="Y660" s="72">
        <f t="shared" si="196"/>
        <v>1.1989393382555391</v>
      </c>
      <c r="Z660" s="72">
        <f t="shared" si="196"/>
        <v>1.2404806112731439</v>
      </c>
      <c r="AA660" s="72">
        <f t="shared" si="196"/>
        <v>1.2837698457138151</v>
      </c>
      <c r="AB660" s="72">
        <f t="shared" si="196"/>
        <v>1.3288913696667772</v>
      </c>
      <c r="AC660" s="72">
        <f t="shared" si="196"/>
        <v>1.3759338894508042</v>
      </c>
      <c r="AD660" s="72">
        <f t="shared" si="196"/>
        <v>1.4249907247009042</v>
      </c>
      <c r="AE660" s="72">
        <f t="shared" si="196"/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197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0.98003000000000007</v>
      </c>
      <c r="R663" s="76">
        <f t="shared" ref="R663:R670" si="199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197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198"/>
        <v>0.40525</v>
      </c>
      <c r="R664" s="76">
        <f t="shared" si="199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197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198"/>
        <v>2.3595000000000002</v>
      </c>
      <c r="R665" s="76">
        <f t="shared" si="199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197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0.87055000000000005</v>
      </c>
      <c r="R666" s="76">
        <f t="shared" si="199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197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1.8888</v>
      </c>
      <c r="R667" s="76">
        <f t="shared" si="199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197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0.48764960000000002</v>
      </c>
      <c r="R668" s="76">
        <f t="shared" si="199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197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1.52732</v>
      </c>
      <c r="R669" s="76">
        <f t="shared" si="199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197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198"/>
        <v>9.2560000000000002</v>
      </c>
      <c r="R670" s="76">
        <f t="shared" si="199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1889</v>
      </c>
      <c r="D671" s="73"/>
      <c r="E671" s="71"/>
      <c r="F671" s="71"/>
      <c r="G671" s="71"/>
      <c r="H671" s="71" t="s">
        <v>1891</v>
      </c>
      <c r="I671" s="71" t="s">
        <v>1892</v>
      </c>
      <c r="J671" s="71" t="s">
        <v>1893</v>
      </c>
      <c r="K671" s="71" t="s">
        <v>1894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1890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1433</v>
      </c>
      <c r="D673" s="73"/>
      <c r="E673" s="70"/>
      <c r="F673" s="70" t="s">
        <v>1434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1435</v>
      </c>
      <c r="G674" s="70" t="s">
        <v>1436</v>
      </c>
      <c r="H674" s="70" t="s">
        <v>1437</v>
      </c>
      <c r="I674" s="70" t="s">
        <v>1438</v>
      </c>
      <c r="J674" s="71" t="s">
        <v>2004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1439</v>
      </c>
      <c r="F675" s="88">
        <v>5100</v>
      </c>
      <c r="G675" s="89">
        <v>4.3999999999999997E-2</v>
      </c>
      <c r="H675" s="80"/>
      <c r="I675" s="88">
        <v>580</v>
      </c>
      <c r="J675" s="113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90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1439</v>
      </c>
      <c r="F676" s="88">
        <v>4800</v>
      </c>
      <c r="G676" s="89">
        <v>4.3999999999999997E-2</v>
      </c>
      <c r="H676" s="80"/>
      <c r="I676" s="88">
        <v>300</v>
      </c>
      <c r="J676" s="113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90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1439</v>
      </c>
      <c r="F677" s="88">
        <v>0</v>
      </c>
      <c r="G677" s="89">
        <v>0</v>
      </c>
      <c r="H677" s="80"/>
      <c r="I677" s="88">
        <v>0</v>
      </c>
      <c r="J677" s="113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90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1440</v>
      </c>
      <c r="F678" s="88">
        <v>50000</v>
      </c>
      <c r="G678" s="89">
        <v>3.3000000000000002E-2</v>
      </c>
      <c r="H678" s="80"/>
      <c r="I678" s="88">
        <v>800</v>
      </c>
      <c r="J678" s="113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90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1441</v>
      </c>
      <c r="E679" s="70" t="s">
        <v>1442</v>
      </c>
      <c r="F679" s="88">
        <v>1785</v>
      </c>
      <c r="G679" s="89">
        <v>2.1999999999999999E-2</v>
      </c>
      <c r="H679" s="80"/>
      <c r="I679" s="88">
        <v>120</v>
      </c>
      <c r="J679" s="113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90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1443</v>
      </c>
      <c r="F680" s="88">
        <v>2800</v>
      </c>
      <c r="G680" s="89">
        <v>2.1999999999999999E-2</v>
      </c>
      <c r="H680" s="80"/>
      <c r="I680" s="88">
        <v>1600</v>
      </c>
      <c r="J680" s="113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90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1444</v>
      </c>
      <c r="F681" s="88">
        <v>600</v>
      </c>
      <c r="G681" s="89">
        <v>2.1999999999999999E-2</v>
      </c>
      <c r="H681" s="80"/>
      <c r="I681" s="88">
        <v>80</v>
      </c>
      <c r="J681" s="113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90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1445</v>
      </c>
      <c r="F682" s="88">
        <v>300</v>
      </c>
      <c r="G682" s="89">
        <v>5.5E-2</v>
      </c>
      <c r="H682" s="80"/>
      <c r="I682" s="88">
        <v>167</v>
      </c>
      <c r="J682" s="113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90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1933</v>
      </c>
      <c r="D683" s="72" t="s">
        <v>1927</v>
      </c>
      <c r="E683" s="72" t="s">
        <v>79</v>
      </c>
      <c r="F683" s="72"/>
      <c r="G683" s="70" t="s">
        <v>1491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0.44508222077447085</v>
      </c>
      <c r="M683" s="101">
        <f t="shared" si="210"/>
        <v>0.44503563214908298</v>
      </c>
      <c r="N683" s="101">
        <f t="shared" si="210"/>
        <v>0.44499557682608842</v>
      </c>
      <c r="O683" s="101">
        <f t="shared" si="210"/>
        <v>0.44496200632526917</v>
      </c>
      <c r="P683" s="101">
        <f t="shared" si="210"/>
        <v>0.44493487111875607</v>
      </c>
      <c r="Q683" s="101">
        <f t="shared" si="210"/>
        <v>0.44491412061443458</v>
      </c>
      <c r="R683" s="101">
        <f t="shared" si="210"/>
        <v>0.44489970313906613</v>
      </c>
      <c r="S683" s="101">
        <f t="shared" si="210"/>
        <v>0.44489156592113127</v>
      </c>
      <c r="T683" s="101">
        <f t="shared" si="210"/>
        <v>0.44488965507340145</v>
      </c>
      <c r="U683" s="101">
        <f t="shared" si="210"/>
        <v>0.44489391557524516</v>
      </c>
      <c r="V683" s="101">
        <f t="shared" si="210"/>
        <v>0.44490429125467623</v>
      </c>
      <c r="W683" s="101">
        <f t="shared" si="210"/>
        <v>0.44492072477015238</v>
      </c>
      <c r="X683" s="101">
        <f t="shared" si="210"/>
        <v>0.44494315759213221</v>
      </c>
      <c r="Y683" s="101">
        <f t="shared" si="210"/>
        <v>0.44497152998439715</v>
      </c>
      <c r="Z683" s="101">
        <f t="shared" si="210"/>
        <v>0.44500578098515164</v>
      </c>
      <c r="AA683" s="101">
        <f t="shared" si="210"/>
        <v>0.44504584838790712</v>
      </c>
      <c r="AB683" s="101">
        <f t="shared" si="210"/>
        <v>0.4450916687221626</v>
      </c>
      <c r="AC683" s="101">
        <f t="shared" si="210"/>
        <v>0.44514317723389163</v>
      </c>
      <c r="AD683" s="101">
        <f t="shared" si="210"/>
        <v>0.44520030786584641</v>
      </c>
      <c r="AE683" s="101">
        <f t="shared" si="210"/>
        <v>0.44526299323769192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1928</v>
      </c>
      <c r="E684" s="72" t="s">
        <v>1929</v>
      </c>
      <c r="F684" s="72"/>
      <c r="G684" s="70" t="s">
        <v>1491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0.76858068667604662</v>
      </c>
      <c r="M684" s="76">
        <f t="shared" si="211"/>
        <v>0.7681952948756956</v>
      </c>
      <c r="N684" s="76">
        <f t="shared" si="211"/>
        <v>0.7678091840636232</v>
      </c>
      <c r="O684" s="76">
        <f t="shared" si="211"/>
        <v>0.76742240027798359</v>
      </c>
      <c r="P684" s="76">
        <f t="shared" si="211"/>
        <v>0.76703499073315395</v>
      </c>
      <c r="Q684" s="76">
        <f t="shared" si="211"/>
        <v>0.76664700383607165</v>
      </c>
      <c r="R684" s="76">
        <f t="shared" si="211"/>
        <v>0.76625848920260697</v>
      </c>
      <c r="S684" s="76">
        <f t="shared" si="211"/>
        <v>0.76586949767397294</v>
      </c>
      <c r="T684" s="76">
        <f t="shared" si="211"/>
        <v>0.76548008133316492</v>
      </c>
      <c r="U684" s="76">
        <f t="shared" si="211"/>
        <v>0.76509029352142122</v>
      </c>
      <c r="V684" s="76">
        <f t="shared" si="211"/>
        <v>0.76470018885470381</v>
      </c>
      <c r="W684" s="76">
        <f t="shared" si="211"/>
        <v>0.76430982324018992</v>
      </c>
      <c r="X684" s="76">
        <f t="shared" si="211"/>
        <v>0.76391925389276905</v>
      </c>
      <c r="Y684" s="76">
        <f t="shared" si="211"/>
        <v>0.76352853935153964</v>
      </c>
      <c r="Z684" s="76">
        <f t="shared" si="211"/>
        <v>0.76313773949630015</v>
      </c>
      <c r="AA684" s="76">
        <f t="shared" si="211"/>
        <v>0.76274691556402296</v>
      </c>
      <c r="AB684" s="76">
        <f t="shared" si="211"/>
        <v>0.76235613016531245</v>
      </c>
      <c r="AC684" s="76">
        <f t="shared" si="211"/>
        <v>0.76196544730083182</v>
      </c>
      <c r="AD684" s="76">
        <f t="shared" si="211"/>
        <v>0.76157493237769769</v>
      </c>
      <c r="AE684" s="76">
        <f t="shared" si="211"/>
        <v>0.76118465222583054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1930</v>
      </c>
      <c r="E685" s="72" t="s">
        <v>79</v>
      </c>
      <c r="F685" s="72"/>
      <c r="G685" s="70" t="s">
        <v>1491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12">IF((SUM(L$729:L$736)+SUM(L$740:L$747))=0,0,L$779/(SUM(L$729:L$736)+SUM(L$740:L$747))-1)</f>
        <v>0</v>
      </c>
      <c r="M685" s="101">
        <f t="shared" si="212"/>
        <v>-1.1102230246251565E-16</v>
      </c>
      <c r="N685" s="101">
        <f t="shared" si="212"/>
        <v>0</v>
      </c>
      <c r="O685" s="101">
        <f t="shared" si="212"/>
        <v>0</v>
      </c>
      <c r="P685" s="101">
        <f t="shared" si="212"/>
        <v>0</v>
      </c>
      <c r="Q685" s="101">
        <f t="shared" si="212"/>
        <v>0</v>
      </c>
      <c r="R685" s="101">
        <f t="shared" si="212"/>
        <v>0</v>
      </c>
      <c r="S685" s="101">
        <f t="shared" si="212"/>
        <v>-1.1102230246251565E-16</v>
      </c>
      <c r="T685" s="101">
        <f t="shared" si="212"/>
        <v>0</v>
      </c>
      <c r="U685" s="101">
        <f t="shared" si="212"/>
        <v>0</v>
      </c>
      <c r="V685" s="101">
        <f t="shared" si="212"/>
        <v>0</v>
      </c>
      <c r="W685" s="101">
        <f t="shared" si="212"/>
        <v>2.2204460492503131E-16</v>
      </c>
      <c r="X685" s="101">
        <f t="shared" si="212"/>
        <v>0</v>
      </c>
      <c r="Y685" s="101">
        <f t="shared" si="212"/>
        <v>-2.2204460492503131E-16</v>
      </c>
      <c r="Z685" s="101">
        <f t="shared" si="212"/>
        <v>0</v>
      </c>
      <c r="AA685" s="101">
        <f t="shared" si="212"/>
        <v>0</v>
      </c>
      <c r="AB685" s="101">
        <f t="shared" si="212"/>
        <v>0</v>
      </c>
      <c r="AC685" s="101">
        <f t="shared" si="212"/>
        <v>0</v>
      </c>
      <c r="AD685" s="101">
        <f t="shared" si="212"/>
        <v>0</v>
      </c>
      <c r="AE685" s="101">
        <f t="shared" si="212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1446</v>
      </c>
      <c r="D686" s="73" t="s">
        <v>1323</v>
      </c>
      <c r="E686" s="70" t="s">
        <v>1447</v>
      </c>
      <c r="F686" s="70" t="s">
        <v>1323</v>
      </c>
      <c r="G686" s="70" t="s">
        <v>1448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1449</v>
      </c>
      <c r="E687" s="87" t="s">
        <v>1450</v>
      </c>
      <c r="F687" s="70" t="s">
        <v>1451</v>
      </c>
      <c r="G687" s="85"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1452</v>
      </c>
      <c r="E688" s="87" t="s">
        <v>1453</v>
      </c>
      <c r="F688" s="70" t="s">
        <v>1454</v>
      </c>
      <c r="G688" s="85"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1455</v>
      </c>
      <c r="E689" s="87" t="s">
        <v>1456</v>
      </c>
      <c r="F689" s="70" t="s">
        <v>1457</v>
      </c>
      <c r="G689" s="85"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1458</v>
      </c>
      <c r="E690" s="87" t="s">
        <v>1459</v>
      </c>
      <c r="F690" s="70" t="s">
        <v>1460</v>
      </c>
      <c r="G690" s="85"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1461</v>
      </c>
      <c r="E691" s="87" t="s">
        <v>1462</v>
      </c>
      <c r="F691" s="70" t="s">
        <v>1463</v>
      </c>
      <c r="G691" s="85"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1464</v>
      </c>
      <c r="E692" s="87" t="s">
        <v>1465</v>
      </c>
      <c r="F692" s="70" t="s">
        <v>1466</v>
      </c>
      <c r="G692" s="85"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1467</v>
      </c>
      <c r="E693" s="87" t="s">
        <v>1468</v>
      </c>
      <c r="F693" s="70" t="s">
        <v>1469</v>
      </c>
      <c r="G693" s="85"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1470</v>
      </c>
      <c r="E694" s="87" t="s">
        <v>1471</v>
      </c>
      <c r="F694" s="70" t="s">
        <v>1472</v>
      </c>
      <c r="G694" s="85"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1934</v>
      </c>
      <c r="D695" s="72" t="s">
        <v>1931</v>
      </c>
      <c r="E695" s="72" t="s">
        <v>79</v>
      </c>
      <c r="F695" s="72"/>
      <c r="G695" s="70" t="s">
        <v>1491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234"/>
        <v>0</v>
      </c>
      <c r="N695" s="101">
        <f t="shared" si="234"/>
        <v>0</v>
      </c>
      <c r="O695" s="101">
        <f t="shared" si="234"/>
        <v>0</v>
      </c>
      <c r="P695" s="101">
        <f t="shared" si="234"/>
        <v>0</v>
      </c>
      <c r="Q695" s="101">
        <f t="shared" si="234"/>
        <v>0</v>
      </c>
      <c r="R695" s="101">
        <f t="shared" si="234"/>
        <v>0</v>
      </c>
      <c r="S695" s="101">
        <f t="shared" si="234"/>
        <v>0</v>
      </c>
      <c r="T695" s="101">
        <f t="shared" si="234"/>
        <v>0</v>
      </c>
      <c r="U695" s="101">
        <f t="shared" si="234"/>
        <v>0</v>
      </c>
      <c r="V695" s="101">
        <f t="shared" si="234"/>
        <v>0</v>
      </c>
      <c r="W695" s="101">
        <f t="shared" si="234"/>
        <v>0</v>
      </c>
      <c r="X695" s="101">
        <f t="shared" si="234"/>
        <v>0</v>
      </c>
      <c r="Y695" s="101">
        <f t="shared" si="234"/>
        <v>0</v>
      </c>
      <c r="Z695" s="101">
        <f t="shared" si="234"/>
        <v>0</v>
      </c>
      <c r="AA695" s="101">
        <f t="shared" si="234"/>
        <v>0</v>
      </c>
      <c r="AB695" s="101">
        <f t="shared" si="234"/>
        <v>0</v>
      </c>
      <c r="AC695" s="101">
        <f t="shared" si="234"/>
        <v>0</v>
      </c>
      <c r="AD695" s="101">
        <f t="shared" si="234"/>
        <v>0</v>
      </c>
      <c r="AE695" s="101">
        <f t="shared" si="234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1932</v>
      </c>
      <c r="E696" s="72" t="s">
        <v>79</v>
      </c>
      <c r="F696" s="72"/>
      <c r="G696" s="70" t="s">
        <v>1491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0.54710770173786794</v>
      </c>
      <c r="M696" s="101">
        <f t="shared" si="235"/>
        <v>0.54710770173786794</v>
      </c>
      <c r="N696" s="101">
        <f t="shared" si="235"/>
        <v>0.54710770173786805</v>
      </c>
      <c r="O696" s="101">
        <f t="shared" si="235"/>
        <v>0.54710770173786794</v>
      </c>
      <c r="P696" s="101">
        <f t="shared" si="235"/>
        <v>0.54710770173786794</v>
      </c>
      <c r="Q696" s="101">
        <f t="shared" si="235"/>
        <v>0.54710770173786794</v>
      </c>
      <c r="R696" s="101">
        <f t="shared" si="235"/>
        <v>0.54710770173786794</v>
      </c>
      <c r="S696" s="101">
        <f t="shared" si="235"/>
        <v>0.54710770173786794</v>
      </c>
      <c r="T696" s="101">
        <f t="shared" si="235"/>
        <v>0.54710770173786794</v>
      </c>
      <c r="U696" s="101">
        <f t="shared" si="235"/>
        <v>0.54710770173786794</v>
      </c>
      <c r="V696" s="101">
        <f t="shared" si="235"/>
        <v>0.54710770173786794</v>
      </c>
      <c r="W696" s="101">
        <f t="shared" si="235"/>
        <v>0.54710770173786794</v>
      </c>
      <c r="X696" s="101">
        <f t="shared" si="235"/>
        <v>0.54710770173786794</v>
      </c>
      <c r="Y696" s="101">
        <f t="shared" si="235"/>
        <v>0.54710770173786782</v>
      </c>
      <c r="Z696" s="101">
        <f t="shared" si="235"/>
        <v>0.54710770173786794</v>
      </c>
      <c r="AA696" s="101">
        <f t="shared" si="235"/>
        <v>0.54710770173786805</v>
      </c>
      <c r="AB696" s="101">
        <f t="shared" si="235"/>
        <v>0.54710770173786794</v>
      </c>
      <c r="AC696" s="101">
        <f t="shared" si="235"/>
        <v>0.54710770173786782</v>
      </c>
      <c r="AD696" s="101">
        <f t="shared" si="235"/>
        <v>0.54710770173786805</v>
      </c>
      <c r="AE696" s="101">
        <f t="shared" si="235"/>
        <v>0.54710770173786794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1473</v>
      </c>
      <c r="D697" s="73"/>
      <c r="E697" s="72" t="s">
        <v>1895</v>
      </c>
      <c r="F697" s="70" t="s">
        <v>1474</v>
      </c>
      <c r="G697" s="70" t="s">
        <v>1475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1449</v>
      </c>
      <c r="E698" s="72">
        <f t="shared" ref="E698:E705" si="237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1452</v>
      </c>
      <c r="E699" s="72">
        <f t="shared" si="237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1455</v>
      </c>
      <c r="E700" s="72">
        <f t="shared" si="237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1458</v>
      </c>
      <c r="E701" s="72">
        <f t="shared" si="237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1461</v>
      </c>
      <c r="E702" s="72">
        <f t="shared" si="237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1464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1467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1470</v>
      </c>
      <c r="E705" s="72">
        <f t="shared" si="237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2008</v>
      </c>
      <c r="E706" s="72" t="s">
        <v>79</v>
      </c>
      <c r="F706" s="72"/>
      <c r="G706" s="70" t="s">
        <v>1491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 t="shared" ref="L706:AE706" si="238">IF(SUMPRODUCT((L$729:L$736+L$740:L$747)*(1+L$719:L$726)^(-$J$675:$J$682))=0,0,L$717/SUMPRODUCT((L$729:L$736+L$740:L$747)*(1+L$719:L$726)^(-$J$675:$J$682)))</f>
        <v>0</v>
      </c>
      <c r="M706" s="101">
        <f t="shared" si="238"/>
        <v>0</v>
      </c>
      <c r="N706" s="101">
        <f t="shared" si="238"/>
        <v>0</v>
      </c>
      <c r="O706" s="101">
        <f t="shared" si="238"/>
        <v>0</v>
      </c>
      <c r="P706" s="101">
        <f t="shared" si="238"/>
        <v>0</v>
      </c>
      <c r="Q706" s="101">
        <f t="shared" si="238"/>
        <v>0</v>
      </c>
      <c r="R706" s="101">
        <f t="shared" si="238"/>
        <v>0</v>
      </c>
      <c r="S706" s="101">
        <f t="shared" si="238"/>
        <v>0</v>
      </c>
      <c r="T706" s="101">
        <f t="shared" si="238"/>
        <v>0</v>
      </c>
      <c r="U706" s="101">
        <f t="shared" si="238"/>
        <v>0</v>
      </c>
      <c r="V706" s="101">
        <f t="shared" si="238"/>
        <v>0</v>
      </c>
      <c r="W706" s="101">
        <f t="shared" si="238"/>
        <v>0</v>
      </c>
      <c r="X706" s="101">
        <f t="shared" si="238"/>
        <v>0</v>
      </c>
      <c r="Y706" s="101">
        <f t="shared" si="238"/>
        <v>0</v>
      </c>
      <c r="Z706" s="101">
        <f t="shared" si="238"/>
        <v>0</v>
      </c>
      <c r="AA706" s="101">
        <f t="shared" si="238"/>
        <v>0</v>
      </c>
      <c r="AB706" s="101">
        <f t="shared" si="238"/>
        <v>0</v>
      </c>
      <c r="AC706" s="101">
        <f t="shared" si="238"/>
        <v>0</v>
      </c>
      <c r="AD706" s="101">
        <f t="shared" si="238"/>
        <v>0</v>
      </c>
      <c r="AE706" s="101">
        <f t="shared" si="238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1916</v>
      </c>
      <c r="E707" s="71" t="s">
        <v>1414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1917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1476</v>
      </c>
      <c r="D708" s="73"/>
      <c r="E708" s="72" t="s">
        <v>1896</v>
      </c>
      <c r="F708" s="70" t="s">
        <v>1477</v>
      </c>
      <c r="G708" s="70" t="s">
        <v>1478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1449</v>
      </c>
      <c r="E709" s="72">
        <f t="shared" ref="E709:E716" si="240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1452</v>
      </c>
      <c r="E710" s="72">
        <f t="shared" si="240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1455</v>
      </c>
      <c r="E711" s="72">
        <f t="shared" si="240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1458</v>
      </c>
      <c r="E712" s="72">
        <f t="shared" si="240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1461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1464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1467</v>
      </c>
      <c r="E715" s="72">
        <f t="shared" si="240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1470</v>
      </c>
      <c r="E716" s="72">
        <f t="shared" si="240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2009</v>
      </c>
      <c r="E717" s="72" t="s">
        <v>1868</v>
      </c>
      <c r="F717" s="72"/>
      <c r="G717" s="70" t="s">
        <v>1491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2005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1449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1.15005E-2</v>
      </c>
      <c r="R719" s="78">
        <f t="shared" si="245"/>
        <v>2.3001000000000001E-2</v>
      </c>
      <c r="S719" s="78">
        <f t="shared" si="245"/>
        <v>3.4501500000000004E-2</v>
      </c>
      <c r="T719" s="78">
        <f t="shared" si="245"/>
        <v>4.6002000000000001E-2</v>
      </c>
      <c r="U719" s="78">
        <f t="shared" si="245"/>
        <v>5.7502500000000005E-2</v>
      </c>
      <c r="V719" s="78">
        <f t="shared" si="245"/>
        <v>6.9003000000000009E-2</v>
      </c>
      <c r="W719" s="78">
        <f t="shared" si="245"/>
        <v>8.0503500000000006E-2</v>
      </c>
      <c r="X719" s="78">
        <f t="shared" si="245"/>
        <v>9.2004000000000002E-2</v>
      </c>
      <c r="Y719" s="78">
        <f t="shared" si="245"/>
        <v>0.10350450000000001</v>
      </c>
      <c r="Z719" s="78">
        <f t="shared" si="245"/>
        <v>0.11500500000000001</v>
      </c>
      <c r="AA719" s="78">
        <f t="shared" si="245"/>
        <v>0.12650549999999999</v>
      </c>
      <c r="AB719" s="78">
        <f t="shared" si="245"/>
        <v>0.13800600000000002</v>
      </c>
      <c r="AC719" s="78">
        <f t="shared" si="245"/>
        <v>0.14950649999999999</v>
      </c>
      <c r="AD719" s="78">
        <f t="shared" si="245"/>
        <v>0.16100700000000001</v>
      </c>
      <c r="AE719" s="78">
        <f t="shared" si="245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1452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2.5781250000000006E-3</v>
      </c>
      <c r="R720" s="78">
        <f t="shared" si="246"/>
        <v>5.1562500000000011E-3</v>
      </c>
      <c r="S720" s="78">
        <f t="shared" si="246"/>
        <v>7.7343750000000008E-3</v>
      </c>
      <c r="T720" s="78">
        <f t="shared" si="246"/>
        <v>1.0312500000000002E-2</v>
      </c>
      <c r="U720" s="78">
        <f t="shared" si="246"/>
        <v>1.2890624999999999E-2</v>
      </c>
      <c r="V720" s="78">
        <f t="shared" si="246"/>
        <v>1.5468750000000002E-2</v>
      </c>
      <c r="W720" s="78">
        <f t="shared" si="246"/>
        <v>1.8046875E-2</v>
      </c>
      <c r="X720" s="78">
        <f t="shared" si="246"/>
        <v>2.0625000000000004E-2</v>
      </c>
      <c r="Y720" s="78">
        <f t="shared" si="246"/>
        <v>2.3203125000000002E-2</v>
      </c>
      <c r="Z720" s="78">
        <f t="shared" si="246"/>
        <v>2.5781249999999999E-2</v>
      </c>
      <c r="AA720" s="78">
        <f t="shared" si="246"/>
        <v>2.8359375000000003E-2</v>
      </c>
      <c r="AB720" s="78">
        <f t="shared" si="246"/>
        <v>3.0937500000000003E-2</v>
      </c>
      <c r="AC720" s="78">
        <f t="shared" si="246"/>
        <v>3.3515625E-2</v>
      </c>
      <c r="AD720" s="78">
        <f t="shared" si="246"/>
        <v>3.6093750000000001E-2</v>
      </c>
      <c r="AE720" s="78">
        <f t="shared" si="246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1455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3.8750000000000007E-2</v>
      </c>
      <c r="R721" s="78">
        <f t="shared" si="247"/>
        <v>7.7500000000000013E-2</v>
      </c>
      <c r="S721" s="78">
        <f t="shared" si="247"/>
        <v>0.11625000000000001</v>
      </c>
      <c r="T721" s="78">
        <f t="shared" si="247"/>
        <v>0.15500000000000003</v>
      </c>
      <c r="U721" s="78">
        <f t="shared" si="247"/>
        <v>0.19375000000000003</v>
      </c>
      <c r="V721" s="78">
        <f t="shared" si="247"/>
        <v>0.23250000000000001</v>
      </c>
      <c r="W721" s="78">
        <f t="shared" si="247"/>
        <v>0.27124999999999999</v>
      </c>
      <c r="X721" s="78">
        <f t="shared" si="247"/>
        <v>0.31000000000000005</v>
      </c>
      <c r="Y721" s="78">
        <f t="shared" si="247"/>
        <v>0.34875000000000006</v>
      </c>
      <c r="Z721" s="78">
        <f t="shared" si="247"/>
        <v>0.38750000000000007</v>
      </c>
      <c r="AA721" s="78">
        <f t="shared" si="247"/>
        <v>0.42625000000000007</v>
      </c>
      <c r="AB721" s="78">
        <f t="shared" si="247"/>
        <v>0.46500000000000002</v>
      </c>
      <c r="AC721" s="78">
        <f t="shared" si="247"/>
        <v>0.50375000000000003</v>
      </c>
      <c r="AD721" s="78">
        <f t="shared" si="247"/>
        <v>0.54249999999999998</v>
      </c>
      <c r="AE721" s="78">
        <f t="shared" si="247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1458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3.2761363636363637E-2</v>
      </c>
      <c r="R722" s="78">
        <f t="shared" si="248"/>
        <v>6.5522727272727274E-2</v>
      </c>
      <c r="S722" s="78">
        <f t="shared" si="248"/>
        <v>9.8284090909090904E-2</v>
      </c>
      <c r="T722" s="78">
        <f t="shared" si="248"/>
        <v>0.13104545454545455</v>
      </c>
      <c r="U722" s="78">
        <f t="shared" si="248"/>
        <v>0.16380681818181819</v>
      </c>
      <c r="V722" s="78">
        <f t="shared" si="248"/>
        <v>0.19656818181818181</v>
      </c>
      <c r="W722" s="78">
        <f t="shared" si="248"/>
        <v>0.22932954545454545</v>
      </c>
      <c r="X722" s="78">
        <f t="shared" si="248"/>
        <v>0.2620909090909091</v>
      </c>
      <c r="Y722" s="78">
        <f t="shared" si="248"/>
        <v>0.29485227272727277</v>
      </c>
      <c r="Z722" s="78">
        <f t="shared" si="248"/>
        <v>0.32761363636363638</v>
      </c>
      <c r="AA722" s="78">
        <f t="shared" si="248"/>
        <v>0.360375</v>
      </c>
      <c r="AB722" s="78">
        <f t="shared" si="248"/>
        <v>0.39313636363636362</v>
      </c>
      <c r="AC722" s="78">
        <f t="shared" si="248"/>
        <v>0.42589772727272729</v>
      </c>
      <c r="AD722" s="78">
        <f t="shared" si="248"/>
        <v>0.45865909090909091</v>
      </c>
      <c r="AE722" s="78">
        <f t="shared" si="248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1461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5.1424999999999998E-2</v>
      </c>
      <c r="R723" s="78">
        <f t="shared" si="249"/>
        <v>0.10285</v>
      </c>
      <c r="S723" s="78">
        <f t="shared" si="249"/>
        <v>0.154275</v>
      </c>
      <c r="T723" s="78">
        <f t="shared" si="249"/>
        <v>0.20569999999999999</v>
      </c>
      <c r="U723" s="78">
        <f t="shared" si="249"/>
        <v>0.25712499999999999</v>
      </c>
      <c r="V723" s="78">
        <f t="shared" si="249"/>
        <v>0.30854999999999999</v>
      </c>
      <c r="W723" s="78">
        <f t="shared" si="249"/>
        <v>0.35997499999999993</v>
      </c>
      <c r="X723" s="78">
        <f t="shared" si="249"/>
        <v>0.41139999999999999</v>
      </c>
      <c r="Y723" s="78">
        <f t="shared" si="249"/>
        <v>0.46282499999999993</v>
      </c>
      <c r="Z723" s="78">
        <f t="shared" si="249"/>
        <v>0.51424999999999998</v>
      </c>
      <c r="AA723" s="78">
        <f t="shared" si="249"/>
        <v>0.56567499999999993</v>
      </c>
      <c r="AB723" s="78">
        <f t="shared" si="249"/>
        <v>0.61709999999999998</v>
      </c>
      <c r="AC723" s="78">
        <f t="shared" si="249"/>
        <v>0.66852500000000004</v>
      </c>
      <c r="AD723" s="78">
        <f t="shared" si="249"/>
        <v>0.71994999999999987</v>
      </c>
      <c r="AE723" s="78">
        <f t="shared" si="249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1464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1467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1470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8.1249999999999996E-4</v>
      </c>
      <c r="R726" s="78">
        <f t="shared" si="252"/>
        <v>1.6249999999999999E-3</v>
      </c>
      <c r="S726" s="78">
        <f t="shared" si="252"/>
        <v>2.4375E-3</v>
      </c>
      <c r="T726" s="78">
        <f t="shared" si="252"/>
        <v>3.2499999999999999E-3</v>
      </c>
      <c r="U726" s="78">
        <f t="shared" si="252"/>
        <v>4.0625000000000001E-3</v>
      </c>
      <c r="V726" s="78">
        <f t="shared" si="252"/>
        <v>4.875E-3</v>
      </c>
      <c r="W726" s="78">
        <f t="shared" si="252"/>
        <v>5.6874999999999998E-3</v>
      </c>
      <c r="X726" s="78">
        <f t="shared" si="252"/>
        <v>6.4999999999999997E-3</v>
      </c>
      <c r="Y726" s="78">
        <f t="shared" si="252"/>
        <v>7.3125000000000004E-3</v>
      </c>
      <c r="Z726" s="78">
        <f t="shared" si="252"/>
        <v>8.1250000000000003E-3</v>
      </c>
      <c r="AA726" s="78">
        <f t="shared" si="252"/>
        <v>8.9374999999999993E-3</v>
      </c>
      <c r="AB726" s="78">
        <f t="shared" si="252"/>
        <v>9.75E-3</v>
      </c>
      <c r="AC726" s="78">
        <f t="shared" si="252"/>
        <v>1.0562500000000001E-2</v>
      </c>
      <c r="AD726" s="78">
        <f t="shared" si="252"/>
        <v>1.1375E-2</v>
      </c>
      <c r="AE726" s="78">
        <f t="shared" si="252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2010</v>
      </c>
      <c r="E727" s="72" t="s">
        <v>1868</v>
      </c>
      <c r="F727" s="72"/>
      <c r="G727" s="70" t="s">
        <v>1491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2006</v>
      </c>
      <c r="D728" s="73"/>
      <c r="E728" s="70"/>
      <c r="F728" s="72" t="s">
        <v>1481</v>
      </c>
      <c r="G728" s="72" t="s">
        <v>1482</v>
      </c>
      <c r="H728" s="72" t="s">
        <v>1483</v>
      </c>
      <c r="I728" s="72" t="s">
        <v>1897</v>
      </c>
      <c r="J728" s="72" t="s">
        <v>1898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1484</v>
      </c>
      <c r="F729" s="72">
        <f t="shared" ref="F729:F736" si="255">H663+I663</f>
        <v>0.69003000000000003</v>
      </c>
      <c r="G729" s="72">
        <f t="shared" ref="G729:G736" si="256">MAX($J663,0)+MAX($K663,0)</f>
        <v>0.04</v>
      </c>
      <c r="H729" s="72">
        <f t="shared" ref="H729:H736" si="257">G729/F729</f>
        <v>5.7968494123443903E-2</v>
      </c>
      <c r="I729" s="100">
        <f t="shared" ref="I729:I736" si="258">IF($F729=0,0,$E698/$F729)</f>
        <v>1</v>
      </c>
      <c r="J729" s="100">
        <f t="shared" ref="J729:J736" si="259">IF($G729=0,0,$E709/$G729)</f>
        <v>1</v>
      </c>
      <c r="K729" s="72"/>
      <c r="L729" s="72">
        <f t="shared" ref="L729:AE729" si="260">L675*$F729/1000</f>
        <v>3.2287703131193024</v>
      </c>
      <c r="M729" s="72">
        <f t="shared" si="260"/>
        <v>3.3708362068965516</v>
      </c>
      <c r="N729" s="72">
        <f t="shared" si="260"/>
        <v>3.5191530000000002</v>
      </c>
      <c r="O729" s="72">
        <f t="shared" si="260"/>
        <v>3.6739957320000007</v>
      </c>
      <c r="P729" s="72">
        <f t="shared" si="260"/>
        <v>3.8356515442080004</v>
      </c>
      <c r="Q729" s="72">
        <f t="shared" si="260"/>
        <v>4.0044202121531534</v>
      </c>
      <c r="R729" s="72">
        <f t="shared" si="260"/>
        <v>4.1806147014878912</v>
      </c>
      <c r="S729" s="72">
        <f t="shared" si="260"/>
        <v>4.3645617483533581</v>
      </c>
      <c r="T729" s="72">
        <f t="shared" si="260"/>
        <v>4.5566024652809061</v>
      </c>
      <c r="U729" s="72">
        <f t="shared" si="260"/>
        <v>4.7570929737532666</v>
      </c>
      <c r="V729" s="72">
        <f t="shared" si="260"/>
        <v>4.9664050645984101</v>
      </c>
      <c r="W729" s="72">
        <f t="shared" si="260"/>
        <v>5.1849268874407404</v>
      </c>
      <c r="X729" s="72">
        <f t="shared" si="260"/>
        <v>5.4130636704881336</v>
      </c>
      <c r="Y729" s="72">
        <f t="shared" si="260"/>
        <v>5.651238471989612</v>
      </c>
      <c r="Z729" s="72">
        <f t="shared" si="260"/>
        <v>5.8998929647571536</v>
      </c>
      <c r="AA729" s="72">
        <f t="shared" si="260"/>
        <v>6.159488255206468</v>
      </c>
      <c r="AB729" s="72">
        <f t="shared" si="260"/>
        <v>6.4305057384355537</v>
      </c>
      <c r="AC729" s="72">
        <f t="shared" si="260"/>
        <v>6.713447990926718</v>
      </c>
      <c r="AD729" s="72">
        <f t="shared" si="260"/>
        <v>7.0088397025274931</v>
      </c>
      <c r="AE729" s="72">
        <f t="shared" si="260"/>
        <v>7.3172286494387029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1484</v>
      </c>
      <c r="F730" s="72">
        <f t="shared" si="255"/>
        <v>0.14025000000000001</v>
      </c>
      <c r="G730" s="72">
        <f t="shared" si="256"/>
        <v>1.4999999999999999E-2</v>
      </c>
      <c r="H730" s="72">
        <f t="shared" si="257"/>
        <v>0.10695187165775399</v>
      </c>
      <c r="I730" s="100">
        <f t="shared" si="258"/>
        <v>1</v>
      </c>
      <c r="J730" s="100">
        <f t="shared" si="259"/>
        <v>1</v>
      </c>
      <c r="K730" s="72"/>
      <c r="L730" s="72">
        <f t="shared" ref="L730:AE730" si="261">L676*$F730/1000</f>
        <v>0.61765094464262127</v>
      </c>
      <c r="M730" s="72">
        <f t="shared" si="261"/>
        <v>0.64482758620689662</v>
      </c>
      <c r="N730" s="72">
        <f t="shared" si="261"/>
        <v>0.67320000000000002</v>
      </c>
      <c r="O730" s="72">
        <f t="shared" si="261"/>
        <v>0.70282080000000002</v>
      </c>
      <c r="P730" s="72">
        <f t="shared" si="261"/>
        <v>0.73374491520000007</v>
      </c>
      <c r="Q730" s="72">
        <f t="shared" si="261"/>
        <v>0.76602969146880018</v>
      </c>
      <c r="R730" s="72">
        <f t="shared" si="261"/>
        <v>0.79973499789342728</v>
      </c>
      <c r="S730" s="72">
        <f t="shared" si="261"/>
        <v>0.83492333780073813</v>
      </c>
      <c r="T730" s="72">
        <f t="shared" si="261"/>
        <v>0.87165996466397067</v>
      </c>
      <c r="U730" s="72">
        <f t="shared" si="261"/>
        <v>0.91001300310918554</v>
      </c>
      <c r="V730" s="72">
        <f t="shared" si="261"/>
        <v>0.95005357524598955</v>
      </c>
      <c r="W730" s="72">
        <f t="shared" si="261"/>
        <v>0.99185593255681315</v>
      </c>
      <c r="X730" s="72">
        <f t="shared" si="261"/>
        <v>1.0354975935893131</v>
      </c>
      <c r="Y730" s="72">
        <f t="shared" si="261"/>
        <v>1.0810594877072428</v>
      </c>
      <c r="Z730" s="72">
        <f t="shared" si="261"/>
        <v>1.1286261051663613</v>
      </c>
      <c r="AA730" s="72">
        <f t="shared" si="261"/>
        <v>1.1782856537936812</v>
      </c>
      <c r="AB730" s="72">
        <f t="shared" si="261"/>
        <v>1.2301302225606034</v>
      </c>
      <c r="AC730" s="72">
        <f t="shared" si="261"/>
        <v>1.2842559523532699</v>
      </c>
      <c r="AD730" s="72">
        <f t="shared" si="261"/>
        <v>1.3407632142568138</v>
      </c>
      <c r="AE730" s="72">
        <f t="shared" si="261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1484</v>
      </c>
      <c r="F731" s="72">
        <f t="shared" si="255"/>
        <v>1.9220000000000002</v>
      </c>
      <c r="G731" s="72">
        <f t="shared" si="256"/>
        <v>0.25</v>
      </c>
      <c r="H731" s="72">
        <f t="shared" si="257"/>
        <v>0.13007284079084286</v>
      </c>
      <c r="I731" s="100">
        <f t="shared" si="258"/>
        <v>1</v>
      </c>
      <c r="J731" s="100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1484</v>
      </c>
      <c r="F732" s="72">
        <f t="shared" si="255"/>
        <v>0.2883</v>
      </c>
      <c r="G732" s="72">
        <f t="shared" si="256"/>
        <v>0.52600000000000002</v>
      </c>
      <c r="H732" s="72">
        <f t="shared" si="257"/>
        <v>1.8244883801595562</v>
      </c>
      <c r="I732" s="100">
        <f t="shared" si="258"/>
        <v>1</v>
      </c>
      <c r="J732" s="100">
        <f t="shared" si="259"/>
        <v>1</v>
      </c>
      <c r="K732" s="72"/>
      <c r="L732" s="72">
        <f t="shared" ref="L732:AE732" si="263">L678*$F732/1000</f>
        <v>13.508713893592759</v>
      </c>
      <c r="M732" s="72">
        <f t="shared" si="263"/>
        <v>13.954501452081319</v>
      </c>
      <c r="N732" s="72">
        <f t="shared" si="263"/>
        <v>14.414999999999999</v>
      </c>
      <c r="O732" s="72">
        <f t="shared" si="263"/>
        <v>14.890694999999997</v>
      </c>
      <c r="P732" s="72">
        <f t="shared" si="263"/>
        <v>15.382087934999998</v>
      </c>
      <c r="Q732" s="72">
        <f t="shared" si="263"/>
        <v>15.889696836854995</v>
      </c>
      <c r="R732" s="72">
        <f t="shared" si="263"/>
        <v>16.414056832471207</v>
      </c>
      <c r="S732" s="72">
        <f t="shared" si="263"/>
        <v>16.955720707942756</v>
      </c>
      <c r="T732" s="72">
        <f t="shared" si="263"/>
        <v>17.515259491304867</v>
      </c>
      <c r="U732" s="72">
        <f t="shared" si="263"/>
        <v>18.093263054517923</v>
      </c>
      <c r="V732" s="72">
        <f t="shared" si="263"/>
        <v>18.690340735317012</v>
      </c>
      <c r="W732" s="72">
        <f t="shared" si="263"/>
        <v>19.307121979582472</v>
      </c>
      <c r="X732" s="72">
        <f t="shared" si="263"/>
        <v>19.944257004908685</v>
      </c>
      <c r="Y732" s="72">
        <f t="shared" si="263"/>
        <v>20.602417486070678</v>
      </c>
      <c r="Z732" s="72">
        <f t="shared" si="263"/>
        <v>21.282297263111005</v>
      </c>
      <c r="AA732" s="72">
        <f t="shared" si="263"/>
        <v>21.984613072793667</v>
      </c>
      <c r="AB732" s="72">
        <f t="shared" si="263"/>
        <v>22.710105304195856</v>
      </c>
      <c r="AC732" s="72">
        <f t="shared" si="263"/>
        <v>23.459538779234315</v>
      </c>
      <c r="AD732" s="72">
        <f t="shared" si="263"/>
        <v>24.233703558949045</v>
      </c>
      <c r="AE732" s="72">
        <f t="shared" si="263"/>
        <v>25.03341577639436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1441</v>
      </c>
      <c r="E733" s="71" t="s">
        <v>1484</v>
      </c>
      <c r="F733" s="72">
        <f t="shared" si="255"/>
        <v>1.8512999999999999</v>
      </c>
      <c r="G733" s="72">
        <f t="shared" si="256"/>
        <v>0</v>
      </c>
      <c r="H733" s="72">
        <f t="shared" si="257"/>
        <v>0</v>
      </c>
      <c r="I733" s="100">
        <f t="shared" si="258"/>
        <v>1</v>
      </c>
      <c r="J733" s="100">
        <f t="shared" si="259"/>
        <v>0</v>
      </c>
      <c r="K733" s="72"/>
      <c r="L733" s="72">
        <f t="shared" ref="L733:AE733" si="264">L679*$F733/1000</f>
        <v>3.1638306570517116</v>
      </c>
      <c r="M733" s="72">
        <f t="shared" si="264"/>
        <v>3.2334349315068494</v>
      </c>
      <c r="N733" s="72">
        <f t="shared" si="264"/>
        <v>3.3045704999999996</v>
      </c>
      <c r="O733" s="72">
        <f t="shared" si="264"/>
        <v>3.3772710509999997</v>
      </c>
      <c r="P733" s="72">
        <f t="shared" si="264"/>
        <v>3.4515710141219995</v>
      </c>
      <c r="Q733" s="72">
        <f t="shared" si="264"/>
        <v>3.5275055764326839</v>
      </c>
      <c r="R733" s="72">
        <f t="shared" si="264"/>
        <v>3.6051106991142032</v>
      </c>
      <c r="S733" s="72">
        <f t="shared" si="264"/>
        <v>3.6844231344947156</v>
      </c>
      <c r="T733" s="72">
        <f t="shared" si="264"/>
        <v>3.7654804434535989</v>
      </c>
      <c r="U733" s="72">
        <f t="shared" si="264"/>
        <v>3.8483210132095782</v>
      </c>
      <c r="V733" s="72">
        <f t="shared" si="264"/>
        <v>3.9329840755001899</v>
      </c>
      <c r="W733" s="72">
        <f t="shared" si="264"/>
        <v>4.0195097251611935</v>
      </c>
      <c r="X733" s="72">
        <f t="shared" si="264"/>
        <v>4.1079389391147396</v>
      </c>
      <c r="Y733" s="72">
        <f t="shared" si="264"/>
        <v>4.1983135957752644</v>
      </c>
      <c r="Z733" s="72">
        <f t="shared" si="264"/>
        <v>4.2906764948823204</v>
      </c>
      <c r="AA733" s="72">
        <f t="shared" si="264"/>
        <v>4.385071377769731</v>
      </c>
      <c r="AB733" s="72">
        <f t="shared" si="264"/>
        <v>4.4815429480806639</v>
      </c>
      <c r="AC733" s="72">
        <f t="shared" si="264"/>
        <v>4.5801368929384401</v>
      </c>
      <c r="AD733" s="72">
        <f t="shared" si="264"/>
        <v>4.680899904583085</v>
      </c>
      <c r="AE733" s="72">
        <f t="shared" si="264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1484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100">
        <f t="shared" si="258"/>
        <v>1</v>
      </c>
      <c r="J734" s="100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1484</v>
      </c>
      <c r="F735" s="72">
        <f t="shared" si="255"/>
        <v>0.11219999999999999</v>
      </c>
      <c r="G735" s="72">
        <f t="shared" si="256"/>
        <v>0.97</v>
      </c>
      <c r="H735" s="72">
        <f t="shared" si="257"/>
        <v>8.6452762923351152</v>
      </c>
      <c r="I735" s="100">
        <f t="shared" si="258"/>
        <v>1</v>
      </c>
      <c r="J735" s="100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1484</v>
      </c>
      <c r="F736" s="72">
        <f t="shared" si="255"/>
        <v>0.156</v>
      </c>
      <c r="G736" s="72">
        <f t="shared" si="256"/>
        <v>2.35</v>
      </c>
      <c r="H736" s="72">
        <f t="shared" si="257"/>
        <v>15.064102564102564</v>
      </c>
      <c r="I736" s="100">
        <f t="shared" si="258"/>
        <v>1</v>
      </c>
      <c r="J736" s="100">
        <f t="shared" si="259"/>
        <v>1</v>
      </c>
      <c r="K736" s="72"/>
      <c r="L736" s="72">
        <f t="shared" ref="L736:AE736" si="267">L682*$F736/1000</f>
        <v>4.2047573055412055E-2</v>
      </c>
      <c r="M736" s="72">
        <f t="shared" si="267"/>
        <v>4.4360189573459712E-2</v>
      </c>
      <c r="N736" s="72">
        <f t="shared" si="267"/>
        <v>4.6799999999999994E-2</v>
      </c>
      <c r="O736" s="72">
        <f t="shared" si="267"/>
        <v>4.9374000000000001E-2</v>
      </c>
      <c r="P736" s="72">
        <f t="shared" si="267"/>
        <v>5.2089569999999995E-2</v>
      </c>
      <c r="Q736" s="72">
        <f t="shared" si="267"/>
        <v>5.4954496349999986E-2</v>
      </c>
      <c r="R736" s="72">
        <f t="shared" si="267"/>
        <v>5.7976993649249998E-2</v>
      </c>
      <c r="S736" s="72">
        <f t="shared" si="267"/>
        <v>6.1165728299958734E-2</v>
      </c>
      <c r="T736" s="72">
        <f t="shared" si="267"/>
        <v>6.4529843356456465E-2</v>
      </c>
      <c r="U736" s="72">
        <f t="shared" si="267"/>
        <v>6.8078984741061555E-2</v>
      </c>
      <c r="V736" s="72">
        <f t="shared" si="267"/>
        <v>7.1823328901819944E-2</v>
      </c>
      <c r="W736" s="72">
        <f t="shared" si="267"/>
        <v>7.5773611991420048E-2</v>
      </c>
      <c r="X736" s="72">
        <f t="shared" si="267"/>
        <v>7.9941160650948154E-2</v>
      </c>
      <c r="Y736" s="72">
        <f t="shared" si="267"/>
        <v>8.4337924486750301E-2</v>
      </c>
      <c r="Z736" s="72">
        <f t="shared" si="267"/>
        <v>8.8976510333521566E-2</v>
      </c>
      <c r="AA736" s="72">
        <f t="shared" si="267"/>
        <v>9.3870218401865227E-2</v>
      </c>
      <c r="AB736" s="72">
        <f t="shared" si="267"/>
        <v>9.9033080413967828E-2</v>
      </c>
      <c r="AC736" s="72">
        <f t="shared" si="267"/>
        <v>0.10447989983673604</v>
      </c>
      <c r="AD736" s="72">
        <f t="shared" si="267"/>
        <v>0.11022629432775652</v>
      </c>
      <c r="AE736" s="72">
        <f t="shared" si="267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1485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20.926246357744834</v>
      </c>
      <c r="M737" s="72">
        <f t="shared" si="268"/>
        <v>21.621228468026327</v>
      </c>
      <c r="N737" s="72">
        <f t="shared" si="268"/>
        <v>22.340203500000001</v>
      </c>
      <c r="O737" s="72">
        <f t="shared" si="268"/>
        <v>23.084029143000002</v>
      </c>
      <c r="P737" s="72">
        <f t="shared" si="268"/>
        <v>23.853594734849999</v>
      </c>
      <c r="Q737" s="72">
        <f t="shared" si="268"/>
        <v>24.649822464218669</v>
      </c>
      <c r="R737" s="72">
        <f t="shared" si="268"/>
        <v>25.473668619896113</v>
      </c>
      <c r="S737" s="72">
        <f t="shared" si="268"/>
        <v>26.326124888867824</v>
      </c>
      <c r="T737" s="72">
        <f t="shared" si="268"/>
        <v>27.208219705139577</v>
      </c>
      <c r="U737" s="72">
        <f t="shared" si="268"/>
        <v>28.12101965134655</v>
      </c>
      <c r="V737" s="72">
        <f t="shared" si="268"/>
        <v>29.065630915263302</v>
      </c>
      <c r="W737" s="72">
        <f t="shared" si="268"/>
        <v>30.043200803417911</v>
      </c>
      <c r="X737" s="72">
        <f t="shared" si="268"/>
        <v>31.054919314104172</v>
      </c>
      <c r="Y737" s="72">
        <f t="shared" si="268"/>
        <v>32.102020772179657</v>
      </c>
      <c r="Z737" s="72">
        <f t="shared" si="268"/>
        <v>33.185785528135774</v>
      </c>
      <c r="AA737" s="72">
        <f t="shared" si="268"/>
        <v>34.307541724028297</v>
      </c>
      <c r="AB737" s="72">
        <f t="shared" si="268"/>
        <v>35.468667128962906</v>
      </c>
      <c r="AC737" s="72">
        <f t="shared" si="268"/>
        <v>36.670591046941816</v>
      </c>
      <c r="AD737" s="72">
        <f t="shared" si="268"/>
        <v>37.914796299992894</v>
      </c>
      <c r="AE737" s="72">
        <f t="shared" si="268"/>
        <v>39.202821289623245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2038</v>
      </c>
      <c r="E738" s="70" t="s">
        <v>1870</v>
      </c>
      <c r="F738" s="70"/>
      <c r="G738" s="70" t="s">
        <v>1491</v>
      </c>
      <c r="H738" s="87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5.457951712911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2.8295157968185394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5.9295364150406025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19.893881028249599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55.722231908884488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73.435902511650994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92.57072838512822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113.22275177560057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139.16429102065371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135.87417401403818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136.77287250075193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137.59400306988212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138.33161538205343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138.97943950973377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139.53086974141848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139.97894752712384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2007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1484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0.18716695292200644</v>
      </c>
      <c r="M740" s="72">
        <f t="shared" ref="M740:M747" si="271">M675*G729/1000</f>
        <v>0.1954022988505747</v>
      </c>
      <c r="N740" s="72">
        <f t="shared" ref="N740:N747" si="272">N675*G729/1000</f>
        <v>0.20399999999999999</v>
      </c>
      <c r="O740" s="72">
        <f t="shared" ref="O740:O747" si="273">O675*G729/1000</f>
        <v>0.21297600000000003</v>
      </c>
      <c r="P740" s="72">
        <f t="shared" ref="P740:P747" si="274">P675*G729/1000</f>
        <v>0.22234694400000002</v>
      </c>
      <c r="Q740" s="72">
        <f t="shared" ref="Q740:Q747" si="275">Q675*G729/1000</f>
        <v>0.23213020953600005</v>
      </c>
      <c r="R740" s="72">
        <f t="shared" ref="R740:R747" si="276">R675*G729/1000</f>
        <v>0.24234393875558402</v>
      </c>
      <c r="S740" s="72">
        <f t="shared" ref="S740:S747" si="277">S675*G729/1000</f>
        <v>0.25300707206082967</v>
      </c>
      <c r="T740" s="72">
        <f t="shared" ref="T740:T747" si="278">T675*G729/1000</f>
        <v>0.26413938323150626</v>
      </c>
      <c r="U740" s="72">
        <f t="shared" ref="U740:U747" si="279">U675*G729/1000</f>
        <v>0.27576151609369254</v>
      </c>
      <c r="V740" s="72">
        <f t="shared" ref="V740:V747" si="280">V675*G729/1000</f>
        <v>0.287895022801815</v>
      </c>
      <c r="W740" s="72">
        <f t="shared" ref="W740:W747" si="281">W675*G729/1000</f>
        <v>0.30056240380509491</v>
      </c>
      <c r="X740" s="72">
        <f t="shared" ref="X740:X747" si="282">X675*G729/1000</f>
        <v>0.31378714957251908</v>
      </c>
      <c r="Y740" s="72">
        <f t="shared" ref="Y740:Y747" si="283">Y675*G729/1000</f>
        <v>0.32759378415370993</v>
      </c>
      <c r="Z740" s="72">
        <f t="shared" ref="Z740:Z747" si="284">Z675*G729/1000</f>
        <v>0.34200791065647307</v>
      </c>
      <c r="AA740" s="72">
        <f t="shared" ref="AA740:AA747" si="285">AA675*G729/1000</f>
        <v>0.3570562587253579</v>
      </c>
      <c r="AB740" s="72">
        <f t="shared" ref="AB740:AB747" si="286">AB675*G729/1000</f>
        <v>0.37276673410927375</v>
      </c>
      <c r="AC740" s="72">
        <f t="shared" ref="AC740:AC747" si="287">AC675*G729/1000</f>
        <v>0.38916847041008179</v>
      </c>
      <c r="AD740" s="72">
        <f t="shared" ref="AD740:AD747" si="288">AD675*G729/1000</f>
        <v>0.40629188310812531</v>
      </c>
      <c r="AE740" s="72">
        <f t="shared" ref="AE740:AE747" si="289">AE675*G729/1000</f>
        <v>0.42416872596488286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1484</v>
      </c>
      <c r="F741" s="70"/>
      <c r="G741" s="70"/>
      <c r="H741" s="70"/>
      <c r="I741" s="70"/>
      <c r="J741" s="70"/>
      <c r="K741" s="72"/>
      <c r="L741" s="72">
        <f t="shared" si="270"/>
        <v>6.6058924560708152E-2</v>
      </c>
      <c r="M741" s="72">
        <f t="shared" si="271"/>
        <v>6.8965517241379309E-2</v>
      </c>
      <c r="N741" s="72">
        <f t="shared" si="272"/>
        <v>7.1999999999999995E-2</v>
      </c>
      <c r="O741" s="72">
        <f t="shared" si="273"/>
        <v>7.5167999999999999E-2</v>
      </c>
      <c r="P741" s="72">
        <f t="shared" si="274"/>
        <v>7.8475392000000005E-2</v>
      </c>
      <c r="Q741" s="72">
        <f t="shared" si="275"/>
        <v>8.1928309248E-2</v>
      </c>
      <c r="R741" s="72">
        <f t="shared" si="276"/>
        <v>8.5533154854912002E-2</v>
      </c>
      <c r="S741" s="72">
        <f t="shared" si="277"/>
        <v>8.9296613668528119E-2</v>
      </c>
      <c r="T741" s="72">
        <f t="shared" si="278"/>
        <v>9.3225664669943364E-2</v>
      </c>
      <c r="U741" s="72">
        <f t="shared" si="279"/>
        <v>9.732759391542091E-2</v>
      </c>
      <c r="V741" s="72">
        <f t="shared" si="280"/>
        <v>0.10161000804769942</v>
      </c>
      <c r="W741" s="72">
        <f t="shared" si="281"/>
        <v>0.1060808484017982</v>
      </c>
      <c r="X741" s="72">
        <f t="shared" si="282"/>
        <v>0.1107484057314773</v>
      </c>
      <c r="Y741" s="72">
        <f t="shared" si="283"/>
        <v>0.11562133558366232</v>
      </c>
      <c r="Z741" s="72">
        <f t="shared" si="284"/>
        <v>0.12070867434934346</v>
      </c>
      <c r="AA741" s="72">
        <f t="shared" si="285"/>
        <v>0.12601985602071455</v>
      </c>
      <c r="AB741" s="72">
        <f t="shared" si="286"/>
        <v>0.13156472968562602</v>
      </c>
      <c r="AC741" s="72">
        <f t="shared" si="287"/>
        <v>0.13735357779179355</v>
      </c>
      <c r="AD741" s="72">
        <f t="shared" si="288"/>
        <v>0.14339713521463246</v>
      </c>
      <c r="AE741" s="72">
        <f t="shared" si="289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1484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1484</v>
      </c>
      <c r="F743" s="70"/>
      <c r="G743" s="70"/>
      <c r="H743" s="70"/>
      <c r="I743" s="70"/>
      <c r="J743" s="70"/>
      <c r="K743" s="72"/>
      <c r="L743" s="72">
        <f t="shared" si="270"/>
        <v>24.646491529759945</v>
      </c>
      <c r="M743" s="72">
        <f t="shared" si="271"/>
        <v>25.459825750242022</v>
      </c>
      <c r="N743" s="72">
        <f t="shared" si="272"/>
        <v>26.3</v>
      </c>
      <c r="O743" s="72">
        <f t="shared" si="273"/>
        <v>27.167899999999999</v>
      </c>
      <c r="P743" s="72">
        <f t="shared" si="274"/>
        <v>28.064440699999995</v>
      </c>
      <c r="Q743" s="72">
        <f t="shared" si="275"/>
        <v>28.990567243099992</v>
      </c>
      <c r="R743" s="72">
        <f t="shared" si="276"/>
        <v>29.947255962122291</v>
      </c>
      <c r="S743" s="72">
        <f t="shared" si="277"/>
        <v>30.935515408872323</v>
      </c>
      <c r="T743" s="72">
        <f t="shared" si="278"/>
        <v>31.956387417365107</v>
      </c>
      <c r="U743" s="72">
        <f t="shared" si="279"/>
        <v>33.010948202138145</v>
      </c>
      <c r="V743" s="72">
        <f t="shared" si="280"/>
        <v>34.100309492808698</v>
      </c>
      <c r="W743" s="72">
        <f t="shared" si="281"/>
        <v>35.225619706071392</v>
      </c>
      <c r="X743" s="72">
        <f t="shared" si="282"/>
        <v>36.388065156371731</v>
      </c>
      <c r="Y743" s="72">
        <f t="shared" si="283"/>
        <v>37.588871306532006</v>
      </c>
      <c r="Z743" s="72">
        <f t="shared" si="284"/>
        <v>38.829304059647555</v>
      </c>
      <c r="AA743" s="72">
        <f t="shared" si="285"/>
        <v>40.11067109361592</v>
      </c>
      <c r="AB743" s="72">
        <f t="shared" si="286"/>
        <v>41.434323239705236</v>
      </c>
      <c r="AC743" s="72">
        <f t="shared" si="287"/>
        <v>42.801655906615501</v>
      </c>
      <c r="AD743" s="72">
        <f t="shared" si="288"/>
        <v>44.214110551533814</v>
      </c>
      <c r="AE743" s="72">
        <f t="shared" si="289"/>
        <v>45.673176199734421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1441</v>
      </c>
      <c r="E744" s="71" t="s">
        <v>1484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1484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1484</v>
      </c>
      <c r="F746" s="70"/>
      <c r="G746" s="70"/>
      <c r="H746" s="70"/>
      <c r="I746" s="70"/>
      <c r="J746" s="70"/>
      <c r="K746" s="72"/>
      <c r="L746" s="72">
        <f t="shared" si="270"/>
        <v>0.55721293959505358</v>
      </c>
      <c r="M746" s="72">
        <f t="shared" si="271"/>
        <v>0.56947162426614473</v>
      </c>
      <c r="N746" s="72">
        <f t="shared" si="272"/>
        <v>0.58199999999999996</v>
      </c>
      <c r="O746" s="72">
        <f t="shared" si="273"/>
        <v>0.594804</v>
      </c>
      <c r="P746" s="72">
        <f t="shared" si="274"/>
        <v>0.60788968799999998</v>
      </c>
      <c r="Q746" s="72">
        <f t="shared" si="275"/>
        <v>0.62126326113599994</v>
      </c>
      <c r="R746" s="72">
        <f t="shared" si="276"/>
        <v>0.63493105288099194</v>
      </c>
      <c r="S746" s="72">
        <f t="shared" si="277"/>
        <v>0.64889953604437378</v>
      </c>
      <c r="T746" s="72">
        <f t="shared" si="278"/>
        <v>0.66317532583734995</v>
      </c>
      <c r="U746" s="72">
        <f t="shared" si="279"/>
        <v>0.67776518300577171</v>
      </c>
      <c r="V746" s="72">
        <f t="shared" si="280"/>
        <v>0.69267601703189885</v>
      </c>
      <c r="W746" s="72">
        <f t="shared" si="281"/>
        <v>0.70791488940660041</v>
      </c>
      <c r="X746" s="72">
        <f t="shared" si="282"/>
        <v>0.72348901697354573</v>
      </c>
      <c r="Y746" s="72">
        <f t="shared" si="283"/>
        <v>0.73940577534696372</v>
      </c>
      <c r="Z746" s="72">
        <f t="shared" si="284"/>
        <v>0.75567270240459705</v>
      </c>
      <c r="AA746" s="72">
        <f t="shared" si="285"/>
        <v>0.77229750185749824</v>
      </c>
      <c r="AB746" s="72">
        <f t="shared" si="286"/>
        <v>0.78928804689836307</v>
      </c>
      <c r="AC746" s="72">
        <f t="shared" si="287"/>
        <v>0.80665238393012706</v>
      </c>
      <c r="AD746" s="72">
        <f t="shared" si="288"/>
        <v>0.82439873637658989</v>
      </c>
      <c r="AE746" s="72">
        <f t="shared" si="289"/>
        <v>0.84253550857687487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1484</v>
      </c>
      <c r="F747" s="70"/>
      <c r="G747" s="70"/>
      <c r="H747" s="70"/>
      <c r="I747" s="70"/>
      <c r="J747" s="70"/>
      <c r="K747" s="72"/>
      <c r="L747" s="72">
        <f t="shared" si="270"/>
        <v>0.63340895307832257</v>
      </c>
      <c r="M747" s="72">
        <f t="shared" si="271"/>
        <v>0.66824644549763035</v>
      </c>
      <c r="N747" s="72">
        <f t="shared" si="272"/>
        <v>0.70499999999999996</v>
      </c>
      <c r="O747" s="72">
        <f t="shared" si="273"/>
        <v>0.74377499999999996</v>
      </c>
      <c r="P747" s="72">
        <f t="shared" si="274"/>
        <v>0.78468262499999997</v>
      </c>
      <c r="Q747" s="72">
        <f t="shared" si="275"/>
        <v>0.82784016937499982</v>
      </c>
      <c r="R747" s="72">
        <f t="shared" si="276"/>
        <v>0.87337137869062498</v>
      </c>
      <c r="S747" s="72">
        <f t="shared" si="277"/>
        <v>0.92140680451860923</v>
      </c>
      <c r="T747" s="72">
        <f t="shared" si="278"/>
        <v>0.97208417876713271</v>
      </c>
      <c r="U747" s="72">
        <f t="shared" si="279"/>
        <v>1.025548808599325</v>
      </c>
      <c r="V747" s="72">
        <f t="shared" si="280"/>
        <v>1.0819539930722879</v>
      </c>
      <c r="W747" s="72">
        <f t="shared" si="281"/>
        <v>1.1414614626912638</v>
      </c>
      <c r="X747" s="72">
        <f t="shared" si="282"/>
        <v>1.2042418431392832</v>
      </c>
      <c r="Y747" s="72">
        <f t="shared" si="283"/>
        <v>1.2704751445119435</v>
      </c>
      <c r="Z747" s="72">
        <f t="shared" si="284"/>
        <v>1.3403512774601003</v>
      </c>
      <c r="AA747" s="72">
        <f t="shared" si="285"/>
        <v>1.4140705977204056</v>
      </c>
      <c r="AB747" s="72">
        <f t="shared" si="286"/>
        <v>1.4918444805950282</v>
      </c>
      <c r="AC747" s="72">
        <f t="shared" si="287"/>
        <v>1.5738959270277544</v>
      </c>
      <c r="AD747" s="72">
        <f t="shared" si="288"/>
        <v>1.660460203014281</v>
      </c>
      <c r="AE747" s="72">
        <f t="shared" si="289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1485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26.090339299916039</v>
      </c>
      <c r="M748" s="72">
        <f t="shared" si="290"/>
        <v>26.961911636097753</v>
      </c>
      <c r="N748" s="72">
        <f t="shared" si="290"/>
        <v>27.863</v>
      </c>
      <c r="O748" s="72">
        <f t="shared" si="290"/>
        <v>28.794622999999998</v>
      </c>
      <c r="P748" s="72">
        <f t="shared" si="290"/>
        <v>29.757835348999993</v>
      </c>
      <c r="Q748" s="72">
        <f t="shared" si="290"/>
        <v>30.753729192394996</v>
      </c>
      <c r="R748" s="72">
        <f t="shared" si="290"/>
        <v>31.783435487304406</v>
      </c>
      <c r="S748" s="72">
        <f t="shared" si="290"/>
        <v>32.848125435164668</v>
      </c>
      <c r="T748" s="72">
        <f t="shared" si="290"/>
        <v>33.949011969871044</v>
      </c>
      <c r="U748" s="72">
        <f t="shared" si="290"/>
        <v>35.087351303752357</v>
      </c>
      <c r="V748" s="72">
        <f t="shared" si="290"/>
        <v>36.264444533762401</v>
      </c>
      <c r="W748" s="72">
        <f t="shared" si="290"/>
        <v>37.481639310376146</v>
      </c>
      <c r="X748" s="72">
        <f t="shared" si="290"/>
        <v>38.740331571788559</v>
      </c>
      <c r="Y748" s="72">
        <f t="shared" si="290"/>
        <v>40.041967346128288</v>
      </c>
      <c r="Z748" s="72">
        <f t="shared" si="290"/>
        <v>41.388044624518066</v>
      </c>
      <c r="AA748" s="72">
        <f t="shared" si="290"/>
        <v>42.780115307939894</v>
      </c>
      <c r="AB748" s="72">
        <f t="shared" si="290"/>
        <v>44.219787230993525</v>
      </c>
      <c r="AC748" s="72">
        <f t="shared" si="290"/>
        <v>45.708726265775262</v>
      </c>
      <c r="AD748" s="72">
        <f t="shared" si="290"/>
        <v>47.248658509247441</v>
      </c>
      <c r="AE748" s="72">
        <f t="shared" si="290"/>
        <v>48.841372557620318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2039</v>
      </c>
      <c r="E749" s="70" t="s">
        <v>1870</v>
      </c>
      <c r="F749" s="70"/>
      <c r="G749" s="70" t="s">
        <v>1491</v>
      </c>
      <c r="H749" s="87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5.457951712911</v>
      </c>
      <c r="Q749" s="72">
        <f>SUMPRODUCT($I$675:$I$682*$N$675:$N$682*(1+$G$675:$G$682)^(Q$673-$N$673)/($N$675:$N$682+($N$675:$N$682=0))*'Manual inputs'!Q$81*'Manual inputs'!Q$79*($F$729:$F$736+$G$729:$G$736))/1000</f>
        <v>11.327492552513139</v>
      </c>
      <c r="R749" s="72">
        <f>SUMPRODUCT($I$675:$I$682*$N$675:$N$682*(1+$G$675:$G$682)^(R$673-$N$673)/($N$675:$N$682+($N$675:$N$682=0))*'Manual inputs'!R$81*'Manual inputs'!R$79*($F$729:$F$736+$G$729:$G$736))/1000</f>
        <v>23.512209674879454</v>
      </c>
      <c r="S749" s="72">
        <f>SUMPRODUCT($I$675:$I$682*$N$675:$N$682*(1+$G$675:$G$682)^(S$673-$N$673)/($N$675:$N$682+($N$675:$N$682=0))*'Manual inputs'!S$81*'Manual inputs'!S$79*($F$729:$F$736+$G$729:$G$736))/1000</f>
        <v>54.911241049566861</v>
      </c>
      <c r="T749" s="72">
        <f>SUMPRODUCT($I$675:$I$682*$N$675:$N$682*(1+$G$675:$G$682)^(T$673-$N$673)/($N$675:$N$682+($N$675:$N$682=0))*'Manual inputs'!T$81*'Manual inputs'!T$79*($F$729:$F$736+$G$729:$G$736))/1000</f>
        <v>122.87441471836947</v>
      </c>
      <c r="U749" s="72">
        <f>SUMPRODUCT($I$675:$I$682*$N$675:$N$682*(1+$G$675:$G$682)^(U$673-$N$673)/($N$675:$N$682+($N$675:$N$682=0))*'Manual inputs'!U$81*'Manual inputs'!U$79*($F$729:$F$736+$G$729:$G$736))/1000</f>
        <v>160.45242171687664</v>
      </c>
      <c r="V749" s="72">
        <f>SUMPRODUCT($I$675:$I$682*$N$675:$N$682*(1+$G$675:$G$682)^(V$673-$N$673)/($N$675:$N$682+($N$675:$N$682=0))*'Manual inputs'!V$81*'Manual inputs'!V$79*($F$729:$F$736+$G$729:$G$736))/1000</f>
        <v>200.75033224026109</v>
      </c>
      <c r="W749" s="72">
        <f>SUMPRODUCT($I$675:$I$682*$N$675:$N$682*(1+$G$675:$G$682)^(W$673-$N$673)/($N$675:$N$682+($N$675:$N$682=0))*'Manual inputs'!W$81*'Manual inputs'!W$79*($F$729:$F$736+$G$729:$G$736))/1000</f>
        <v>243.93587872823028</v>
      </c>
      <c r="X749" s="72">
        <f>SUMPRODUCT($I$675:$I$682*$N$675:$N$682*(1+$G$675:$G$682)^(X$673-$N$673)/($N$675:$N$682+($N$675:$N$682=0))*'Manual inputs'!X$81*'Manual inputs'!X$79*($F$729:$F$736+$G$729:$G$736))/1000</f>
        <v>294.60584206992252</v>
      </c>
      <c r="Y749" s="72">
        <f>SUMPRODUCT($I$675:$I$682*$N$675:$N$682*(1+$G$675:$G$682)^(Y$673-$N$673)/($N$675:$N$682+($N$675:$N$682=0))*'Manual inputs'!Y$81*'Manual inputs'!Y$79*($F$729:$F$736+$G$729:$G$736))/1000</f>
        <v>306.02810808530927</v>
      </c>
      <c r="Z749" s="72">
        <f>SUMPRODUCT($I$675:$I$682*$N$675:$N$682*(1+$G$675:$G$682)^(Z$673-$N$673)/($N$675:$N$682+($N$675:$N$682=0))*'Manual inputs'!Z$81*'Manual inputs'!Z$79*($F$729:$F$736+$G$729:$G$736))/1000</f>
        <v>317.93410875097499</v>
      </c>
      <c r="AA749" s="72">
        <f>SUMPRODUCT($I$675:$I$682*$N$675:$N$682*(1+$G$675:$G$682)^(AA$673-$N$673)/($N$675:$N$682+($N$675:$N$682=0))*'Manual inputs'!AA$81*'Manual inputs'!AA$79*($F$729:$F$736+$G$729:$G$736))/1000</f>
        <v>330.34578112612314</v>
      </c>
      <c r="AB749" s="72">
        <f>SUMPRODUCT($I$675:$I$682*$N$675:$N$682*(1+$G$675:$G$682)^(AB$673-$N$673)/($N$675:$N$682+($N$675:$N$682=0))*'Manual inputs'!AB$81*'Manual inputs'!AB$79*($F$729:$F$736+$G$729:$G$736))/1000</f>
        <v>343.2861084813519</v>
      </c>
      <c r="AC749" s="72">
        <f>SUMPRODUCT($I$675:$I$682*$N$675:$N$682*(1+$G$675:$G$682)^(AC$673-$N$673)/($N$675:$N$682+($N$675:$N$682=0))*'Manual inputs'!AC$81*'Manual inputs'!AC$79*($F$729:$F$736+$G$729:$G$736))/1000</f>
        <v>356.77917203895254</v>
      </c>
      <c r="AD749" s="72">
        <f>SUMPRODUCT($I$675:$I$682*$N$675:$N$682*(1+$G$675:$G$682)^(AD$673-$N$673)/($N$675:$N$682+($N$675:$N$682=0))*'Manual inputs'!AD$81*'Manual inputs'!AD$79*($F$729:$F$736+$G$729:$G$736))/1000</f>
        <v>370.85020533985409</v>
      </c>
      <c r="AE749" s="72">
        <f>SUMPRODUCT($I$675:$I$682*$N$675:$N$682*(1+$G$675:$G$682)^(AE$673-$N$673)/($N$675:$N$682+($N$675:$N$682=0))*'Manual inputs'!AE$81*'Manual inputs'!AE$79*($F$729:$F$736+$G$729:$G$736))/1000</f>
        <v>385.52565137312359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1487</v>
      </c>
      <c r="D750" s="73"/>
      <c r="E750" s="72" t="s">
        <v>1488</v>
      </c>
      <c r="F750" s="72" t="s">
        <v>1406</v>
      </c>
      <c r="G750" s="72" t="s">
        <v>1489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1407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1408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1409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1410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1491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2040</v>
      </c>
      <c r="E760" s="72" t="s">
        <v>79</v>
      </c>
      <c r="F760" s="72"/>
      <c r="G760" s="70" t="s">
        <v>1491</v>
      </c>
      <c r="H760" s="87" t="str">
        <f>Settings!$B$3&amp;".mit.cbobch."&amp;$G760&amp;"."&amp;$J$404</f>
        <v>egy.mit.cbobch.cbam.tot.2</v>
      </c>
      <c r="I760" s="72"/>
      <c r="J760" s="72"/>
      <c r="K760" s="72"/>
      <c r="L760" s="101">
        <f t="shared" ref="L760:AE760" si="301">IF(L$749=0,0,L$738/L$749-1)</f>
        <v>0</v>
      </c>
      <c r="M760" s="101">
        <f t="shared" si="301"/>
        <v>0</v>
      </c>
      <c r="N760" s="101">
        <f t="shared" si="301"/>
        <v>0</v>
      </c>
      <c r="O760" s="101">
        <f t="shared" si="301"/>
        <v>0</v>
      </c>
      <c r="P760" s="101">
        <f t="shared" si="301"/>
        <v>0</v>
      </c>
      <c r="Q760" s="101">
        <f t="shared" si="301"/>
        <v>-0.75020810795494386</v>
      </c>
      <c r="R760" s="101">
        <f t="shared" si="301"/>
        <v>-0.74781032931261482</v>
      </c>
      <c r="S760" s="101">
        <f t="shared" si="301"/>
        <v>-0.63770840636634052</v>
      </c>
      <c r="T760" s="101">
        <f t="shared" si="301"/>
        <v>-0.54651070333396157</v>
      </c>
      <c r="U760" s="101">
        <f t="shared" si="301"/>
        <v>-0.54231976229544876</v>
      </c>
      <c r="V760" s="101">
        <f t="shared" si="301"/>
        <v>-0.53887633782673827</v>
      </c>
      <c r="W760" s="101">
        <f t="shared" si="301"/>
        <v>-0.53585035392951608</v>
      </c>
      <c r="X760" s="101">
        <f t="shared" si="301"/>
        <v>-0.52762548752300686</v>
      </c>
      <c r="Y760" s="101">
        <f t="shared" si="301"/>
        <v>-0.55600753517660051</v>
      </c>
      <c r="Z760" s="101">
        <f t="shared" si="301"/>
        <v>-0.56980748923708391</v>
      </c>
      <c r="AA760" s="101">
        <f t="shared" si="301"/>
        <v>-0.58348490905246364</v>
      </c>
      <c r="AB760" s="101">
        <f t="shared" si="301"/>
        <v>-0.59703695557617387</v>
      </c>
      <c r="AC760" s="101">
        <f t="shared" si="301"/>
        <v>-0.6104608945766592</v>
      </c>
      <c r="AD760" s="101">
        <f t="shared" si="301"/>
        <v>-0.62375409873765664</v>
      </c>
      <c r="AE760" s="101">
        <f t="shared" si="301"/>
        <v>-0.63691404961365872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1490</v>
      </c>
      <c r="D761" s="73"/>
      <c r="E761" s="72" t="s">
        <v>1979</v>
      </c>
      <c r="F761" s="72" t="s">
        <v>1980</v>
      </c>
      <c r="G761" s="72" t="s">
        <v>1981</v>
      </c>
      <c r="H761" s="74" t="s">
        <v>1982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1.0536051565782627E-3</v>
      </c>
      <c r="F762" s="78">
        <f>'Manual inputs'!U$53</f>
        <v>1</v>
      </c>
      <c r="G762" s="71">
        <f>'Manual inputs'!V$53</f>
        <v>1.0536051565782627E-3</v>
      </c>
      <c r="H762" s="78">
        <f>'Manual inputs'!W$53</f>
        <v>1</v>
      </c>
      <c r="I762" s="70" t="s">
        <v>2911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71">
        <f>'Manual inputs'!T$54</f>
        <v>2.0202707317519466E-4</v>
      </c>
      <c r="F763" s="78">
        <f>'Manual inputs'!U$54</f>
        <v>1</v>
      </c>
      <c r="G763" s="71">
        <f>'Manual inputs'!V$54</f>
        <v>2.0202707317519466E-4</v>
      </c>
      <c r="H763" s="78">
        <f>'Manual inputs'!W$54</f>
        <v>1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1407</v>
      </c>
      <c r="E764" s="71">
        <f>'Manual inputs'!T$55</f>
        <v>5.1293294387550576E-4</v>
      </c>
      <c r="F764" s="78">
        <f>'Manual inputs'!U$55</f>
        <v>1</v>
      </c>
      <c r="G764" s="71">
        <f>'Manual inputs'!V$55</f>
        <v>5.1293294387550576E-4</v>
      </c>
      <c r="H764" s="78">
        <f>'Manual inputs'!W$55</f>
        <v>1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1408</v>
      </c>
      <c r="E765" s="71">
        <f>'Manual inputs'!T$56</f>
        <v>8.338160893905101E-4</v>
      </c>
      <c r="F765" s="78">
        <f>'Manual inputs'!U$56</f>
        <v>1</v>
      </c>
      <c r="G765" s="71">
        <f>'Manual inputs'!V$56</f>
        <v>8.338160893905101E-4</v>
      </c>
      <c r="H765" s="78">
        <f>'Manual inputs'!W$56</f>
        <v>1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1409</v>
      </c>
      <c r="E766" s="71">
        <f>'Manual inputs'!T$57</f>
        <v>1.9845093872383817E-3</v>
      </c>
      <c r="F766" s="78">
        <f>'Manual inputs'!U$57</f>
        <v>1</v>
      </c>
      <c r="G766" s="71">
        <f>'Manual inputs'!V$57</f>
        <v>1.9845093872383817E-3</v>
      </c>
      <c r="H766" s="78">
        <f>'Manual inputs'!W$57</f>
        <v>1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71">
        <f>'Manual inputs'!T$58</f>
        <v>0</v>
      </c>
      <c r="F767" s="78">
        <f>'Manual inputs'!U$58</f>
        <v>1</v>
      </c>
      <c r="G767" s="71">
        <f>'Manual inputs'!V$58</f>
        <v>0</v>
      </c>
      <c r="H767" s="78">
        <f>'Manual inputs'!W$58</f>
        <v>1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1410</v>
      </c>
      <c r="E768" s="71">
        <f>'Manual inputs'!T$59</f>
        <v>1.0498221244986778E-2</v>
      </c>
      <c r="F768" s="78">
        <f>'Manual inputs'!U$59</f>
        <v>1</v>
      </c>
      <c r="G768" s="71">
        <f>'Manual inputs'!V$59</f>
        <v>1.0498221244986778E-2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71">
        <f>'Manual inputs'!T$60</f>
        <v>8.338160893905101E-4</v>
      </c>
      <c r="F769" s="78">
        <f>'Manual inputs'!U$60</f>
        <v>1</v>
      </c>
      <c r="G769" s="71">
        <f>'Manual inputs'!V$60</f>
        <v>8.338160893905101E-4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1491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2041</v>
      </c>
      <c r="E771" s="72" t="s">
        <v>79</v>
      </c>
      <c r="F771" s="72"/>
      <c r="G771" s="70" t="s">
        <v>1491</v>
      </c>
      <c r="H771" s="87" t="str">
        <f>Settings!$B$3&amp;".mit.cbobchu."&amp;$G771&amp;"."&amp;$J$404</f>
        <v>egy.mit.cbobchu.cbam.tot.2</v>
      </c>
      <c r="I771" s="72"/>
      <c r="J771" s="72"/>
      <c r="K771" s="72"/>
      <c r="L771" s="101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101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101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101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101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0</v>
      </c>
      <c r="Q771" s="101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-0.75724716426458638</v>
      </c>
      <c r="R771" s="101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-0.75724716426458616</v>
      </c>
      <c r="S771" s="101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-0.64809053053506327</v>
      </c>
      <c r="T771" s="101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-0.55790339708136627</v>
      </c>
      <c r="U771" s="101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-0.55569116442901012</v>
      </c>
      <c r="V771" s="101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-0.55423139186248926</v>
      </c>
      <c r="W771" s="101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-0.55319597178623603</v>
      </c>
      <c r="X771" s="101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-0.54710770173786794</v>
      </c>
      <c r="Y771" s="101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-0.57713871861087329</v>
      </c>
      <c r="Z771" s="101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-0.59351221367030171</v>
      </c>
      <c r="AA771" s="101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-0.60988570872973014</v>
      </c>
      <c r="AB771" s="101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-0.62625920378915856</v>
      </c>
      <c r="AC771" s="101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-0.64263269884858709</v>
      </c>
      <c r="AD771" s="101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-0.65900619390801563</v>
      </c>
      <c r="AE771" s="101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-0.67537968896744416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1492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1493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3.5290636333347374</v>
      </c>
      <c r="M773" s="72">
        <f t="shared" si="312"/>
        <v>3.6067030332681016</v>
      </c>
      <c r="N773" s="72">
        <f t="shared" si="312"/>
        <v>3.6860504999999999</v>
      </c>
      <c r="O773" s="72">
        <f t="shared" si="312"/>
        <v>3.7671436109999994</v>
      </c>
      <c r="P773" s="72">
        <f t="shared" si="312"/>
        <v>3.8500207704419993</v>
      </c>
      <c r="Q773" s="72">
        <f t="shared" si="312"/>
        <v>3.9347212273917243</v>
      </c>
      <c r="R773" s="72">
        <f t="shared" si="312"/>
        <v>4.0212850943943419</v>
      </c>
      <c r="S773" s="72">
        <f t="shared" si="312"/>
        <v>4.1097533664710175</v>
      </c>
      <c r="T773" s="72">
        <f t="shared" si="312"/>
        <v>4.2001679405333787</v>
      </c>
      <c r="U773" s="72">
        <f t="shared" si="312"/>
        <v>4.292571635225114</v>
      </c>
      <c r="V773" s="72">
        <f t="shared" si="312"/>
        <v>4.387008211200067</v>
      </c>
      <c r="W773" s="72">
        <f t="shared" si="312"/>
        <v>4.4835223918464679</v>
      </c>
      <c r="X773" s="72">
        <f t="shared" si="312"/>
        <v>4.5821598844670905</v>
      </c>
      <c r="Y773" s="72">
        <f t="shared" si="312"/>
        <v>4.6829674019253673</v>
      </c>
      <c r="Z773" s="72">
        <f t="shared" si="312"/>
        <v>4.7859926847677254</v>
      </c>
      <c r="AA773" s="72">
        <f t="shared" si="312"/>
        <v>4.8912845238326144</v>
      </c>
      <c r="AB773" s="72">
        <f t="shared" si="312"/>
        <v>4.998892783356931</v>
      </c>
      <c r="AC773" s="72">
        <f t="shared" si="312"/>
        <v>5.1088684245907858</v>
      </c>
      <c r="AD773" s="72">
        <f t="shared" si="312"/>
        <v>5.2212635299317824</v>
      </c>
      <c r="AE773" s="72">
        <f t="shared" si="312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1494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3.8464212577619237</v>
      </c>
      <c r="M774" s="72">
        <f t="shared" si="313"/>
        <v>4.0156637931034478</v>
      </c>
      <c r="N774" s="72">
        <f t="shared" si="313"/>
        <v>4.1923530000000007</v>
      </c>
      <c r="O774" s="72">
        <f t="shared" si="313"/>
        <v>4.3768165320000012</v>
      </c>
      <c r="P774" s="72">
        <f t="shared" si="313"/>
        <v>4.5693964594080008</v>
      </c>
      <c r="Q774" s="72">
        <f t="shared" si="313"/>
        <v>4.7704499036219534</v>
      </c>
      <c r="R774" s="72">
        <f t="shared" si="313"/>
        <v>4.9803496993813186</v>
      </c>
      <c r="S774" s="72">
        <f t="shared" si="313"/>
        <v>5.1994850861540964</v>
      </c>
      <c r="T774" s="72">
        <f t="shared" si="313"/>
        <v>5.4282624299448763</v>
      </c>
      <c r="U774" s="72">
        <f t="shared" si="313"/>
        <v>5.6671059768624517</v>
      </c>
      <c r="V774" s="72">
        <f t="shared" si="313"/>
        <v>5.9164586398444001</v>
      </c>
      <c r="W774" s="72">
        <f t="shared" si="313"/>
        <v>6.1767828199975536</v>
      </c>
      <c r="X774" s="72">
        <f t="shared" si="313"/>
        <v>6.4485612640774468</v>
      </c>
      <c r="Y774" s="72">
        <f t="shared" si="313"/>
        <v>6.7322979596968544</v>
      </c>
      <c r="Z774" s="72">
        <f t="shared" si="313"/>
        <v>7.0285190699235152</v>
      </c>
      <c r="AA774" s="72">
        <f t="shared" si="313"/>
        <v>7.3377739090001493</v>
      </c>
      <c r="AB774" s="72">
        <f t="shared" si="313"/>
        <v>7.6606359609961574</v>
      </c>
      <c r="AC774" s="72">
        <f t="shared" si="313"/>
        <v>7.9977039432799879</v>
      </c>
      <c r="AD774" s="72">
        <f t="shared" si="313"/>
        <v>8.3496029167843062</v>
      </c>
      <c r="AE774" s="72">
        <f t="shared" si="313"/>
        <v>8.7169854451228161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1495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4.2047573055412055E-2</v>
      </c>
      <c r="M775" s="72">
        <f t="shared" si="314"/>
        <v>4.4360189573459712E-2</v>
      </c>
      <c r="N775" s="72">
        <f t="shared" si="314"/>
        <v>4.6799999999999994E-2</v>
      </c>
      <c r="O775" s="72">
        <f t="shared" si="314"/>
        <v>4.9374000000000001E-2</v>
      </c>
      <c r="P775" s="72">
        <f t="shared" si="314"/>
        <v>5.2089569999999995E-2</v>
      </c>
      <c r="Q775" s="72">
        <f t="shared" si="314"/>
        <v>5.4954496349999986E-2</v>
      </c>
      <c r="R775" s="72">
        <f t="shared" si="314"/>
        <v>5.7976993649249998E-2</v>
      </c>
      <c r="S775" s="72">
        <f t="shared" si="314"/>
        <v>6.1165728299958734E-2</v>
      </c>
      <c r="T775" s="72">
        <f t="shared" si="314"/>
        <v>6.4529843356456465E-2</v>
      </c>
      <c r="U775" s="72">
        <f t="shared" si="314"/>
        <v>6.8078984741061555E-2</v>
      </c>
      <c r="V775" s="72">
        <f t="shared" si="314"/>
        <v>7.1823328901819944E-2</v>
      </c>
      <c r="W775" s="72">
        <f t="shared" si="314"/>
        <v>7.5773611991420048E-2</v>
      </c>
      <c r="X775" s="72">
        <f t="shared" si="314"/>
        <v>7.9941160650948154E-2</v>
      </c>
      <c r="Y775" s="72">
        <f t="shared" si="314"/>
        <v>8.4337924486750301E-2</v>
      </c>
      <c r="Z775" s="72">
        <f t="shared" si="314"/>
        <v>8.8976510333521566E-2</v>
      </c>
      <c r="AA775" s="72">
        <f t="shared" si="314"/>
        <v>9.3870218401865227E-2</v>
      </c>
      <c r="AB775" s="72">
        <f t="shared" si="314"/>
        <v>9.9033080413967828E-2</v>
      </c>
      <c r="AC775" s="72">
        <f t="shared" si="314"/>
        <v>0.10447989983673604</v>
      </c>
      <c r="AD775" s="72">
        <f t="shared" si="314"/>
        <v>0.11022629432775652</v>
      </c>
      <c r="AE775" s="72">
        <f t="shared" si="314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1496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1497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13.508713893592759</v>
      </c>
      <c r="M777" s="72">
        <f t="shared" si="315"/>
        <v>13.954501452081319</v>
      </c>
      <c r="N777" s="72">
        <f t="shared" si="315"/>
        <v>14.414999999999999</v>
      </c>
      <c r="O777" s="72">
        <f t="shared" si="315"/>
        <v>14.890694999999997</v>
      </c>
      <c r="P777" s="72">
        <f t="shared" si="315"/>
        <v>15.382087934999998</v>
      </c>
      <c r="Q777" s="72">
        <f t="shared" si="315"/>
        <v>15.889696836854995</v>
      </c>
      <c r="R777" s="72">
        <f t="shared" si="315"/>
        <v>16.414056832471207</v>
      </c>
      <c r="S777" s="72">
        <f t="shared" si="315"/>
        <v>16.955720707942756</v>
      </c>
      <c r="T777" s="72">
        <f t="shared" si="315"/>
        <v>17.515259491304867</v>
      </c>
      <c r="U777" s="72">
        <f t="shared" si="315"/>
        <v>18.093263054517923</v>
      </c>
      <c r="V777" s="72">
        <f t="shared" si="315"/>
        <v>18.690340735317012</v>
      </c>
      <c r="W777" s="72">
        <f t="shared" si="315"/>
        <v>19.307121979582472</v>
      </c>
      <c r="X777" s="72">
        <f t="shared" si="315"/>
        <v>19.944257004908685</v>
      </c>
      <c r="Y777" s="72">
        <f t="shared" si="315"/>
        <v>20.602417486070678</v>
      </c>
      <c r="Z777" s="72">
        <f t="shared" si="315"/>
        <v>21.282297263111005</v>
      </c>
      <c r="AA777" s="72">
        <f t="shared" si="315"/>
        <v>21.984613072793667</v>
      </c>
      <c r="AB777" s="72">
        <f t="shared" si="315"/>
        <v>22.710105304195856</v>
      </c>
      <c r="AC777" s="72">
        <f t="shared" si="315"/>
        <v>23.459538779234315</v>
      </c>
      <c r="AD777" s="72">
        <f t="shared" si="315"/>
        <v>24.233703558949045</v>
      </c>
      <c r="AE777" s="72">
        <f t="shared" si="315"/>
        <v>25.03341577639436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1491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20.926246357744834</v>
      </c>
      <c r="M778" s="72">
        <f t="shared" si="316"/>
        <v>21.621228468026327</v>
      </c>
      <c r="N778" s="72">
        <f t="shared" si="316"/>
        <v>22.340203500000001</v>
      </c>
      <c r="O778" s="72">
        <f t="shared" si="316"/>
        <v>23.084029142999999</v>
      </c>
      <c r="P778" s="72">
        <f t="shared" si="316"/>
        <v>23.853594734849999</v>
      </c>
      <c r="Q778" s="72">
        <f t="shared" si="316"/>
        <v>24.649822464218673</v>
      </c>
      <c r="R778" s="72">
        <f t="shared" si="316"/>
        <v>25.473668619896117</v>
      </c>
      <c r="S778" s="72">
        <f t="shared" si="316"/>
        <v>26.326124888867827</v>
      </c>
      <c r="T778" s="72">
        <f t="shared" si="316"/>
        <v>27.20821970513958</v>
      </c>
      <c r="U778" s="72">
        <f t="shared" si="316"/>
        <v>28.12101965134655</v>
      </c>
      <c r="V778" s="72">
        <f t="shared" si="316"/>
        <v>29.065630915263299</v>
      </c>
      <c r="W778" s="72">
        <f t="shared" si="316"/>
        <v>30.043200803417914</v>
      </c>
      <c r="X778" s="72">
        <f t="shared" si="316"/>
        <v>31.054919314104168</v>
      </c>
      <c r="Y778" s="72">
        <f t="shared" si="316"/>
        <v>32.10202077217965</v>
      </c>
      <c r="Z778" s="72">
        <f t="shared" si="316"/>
        <v>33.185785528135767</v>
      </c>
      <c r="AA778" s="72">
        <f t="shared" si="316"/>
        <v>34.307541724028297</v>
      </c>
      <c r="AB778" s="72">
        <f t="shared" si="316"/>
        <v>35.468667128962913</v>
      </c>
      <c r="AC778" s="72">
        <f t="shared" si="316"/>
        <v>36.670591046941823</v>
      </c>
      <c r="AD778" s="72">
        <f t="shared" si="316"/>
        <v>37.914796299992886</v>
      </c>
      <c r="AE778" s="72">
        <f t="shared" si="316"/>
        <v>39.202821289623245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1867</v>
      </c>
      <c r="E779" s="72" t="s">
        <v>1868</v>
      </c>
      <c r="F779" s="72"/>
      <c r="G779" s="70" t="s">
        <v>1491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47.016585657660869</v>
      </c>
      <c r="M779" s="72">
        <f t="shared" si="317"/>
        <v>48.583140104124077</v>
      </c>
      <c r="N779" s="72">
        <f t="shared" si="317"/>
        <v>50.203203500000001</v>
      </c>
      <c r="O779" s="72">
        <f t="shared" si="317"/>
        <v>51.878652142999996</v>
      </c>
      <c r="P779" s="72">
        <f t="shared" si="317"/>
        <v>53.611430083849996</v>
      </c>
      <c r="Q779" s="72">
        <f t="shared" si="317"/>
        <v>55.403551656613665</v>
      </c>
      <c r="R779" s="72">
        <f t="shared" si="317"/>
        <v>57.257104107200519</v>
      </c>
      <c r="S779" s="72">
        <f t="shared" si="317"/>
        <v>59.174250324032485</v>
      </c>
      <c r="T779" s="72">
        <f t="shared" si="317"/>
        <v>61.157231675010621</v>
      </c>
      <c r="U779" s="72">
        <f t="shared" si="317"/>
        <v>63.208370955098907</v>
      </c>
      <c r="V779" s="72">
        <f t="shared" si="317"/>
        <v>65.330075449025699</v>
      </c>
      <c r="W779" s="72">
        <f t="shared" si="317"/>
        <v>67.52484011379407</v>
      </c>
      <c r="X779" s="72">
        <f t="shared" si="317"/>
        <v>69.795250885892727</v>
      </c>
      <c r="Y779" s="72">
        <f t="shared" si="317"/>
        <v>72.143988118307931</v>
      </c>
      <c r="Z779" s="72">
        <f t="shared" si="317"/>
        <v>74.573830152653841</v>
      </c>
      <c r="AA779" s="72">
        <f t="shared" si="317"/>
        <v>77.087657031968192</v>
      </c>
      <c r="AB779" s="72">
        <f t="shared" si="317"/>
        <v>79.688454359956438</v>
      </c>
      <c r="AC779" s="72">
        <f t="shared" si="317"/>
        <v>82.379317312717077</v>
      </c>
      <c r="AD779" s="72">
        <f t="shared" si="317"/>
        <v>85.163454809240335</v>
      </c>
      <c r="AE779" s="72">
        <f t="shared" si="317"/>
        <v>88.044193847243562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1869</v>
      </c>
      <c r="E780" s="72" t="s">
        <v>1868</v>
      </c>
      <c r="F780" s="72"/>
      <c r="G780" s="70" t="s">
        <v>1491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1899</v>
      </c>
      <c r="E781" s="72" t="s">
        <v>1870</v>
      </c>
      <c r="F781" s="72"/>
      <c r="G781" s="70" t="s">
        <v>1491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308.12278080273347</v>
      </c>
      <c r="R781" s="72">
        <f t="shared" si="319"/>
        <v>636.8417154974029</v>
      </c>
      <c r="S781" s="72">
        <f t="shared" si="319"/>
        <v>987.22968333254357</v>
      </c>
      <c r="T781" s="72">
        <f t="shared" si="319"/>
        <v>1360.4109852569791</v>
      </c>
      <c r="U781" s="72">
        <f t="shared" si="319"/>
        <v>1757.5637282091595</v>
      </c>
      <c r="V781" s="72">
        <f t="shared" si="319"/>
        <v>2179.9223186447475</v>
      </c>
      <c r="W781" s="72">
        <f t="shared" si="319"/>
        <v>2628.7800702990671</v>
      </c>
      <c r="X781" s="72">
        <f t="shared" si="319"/>
        <v>3105.4919314104172</v>
      </c>
      <c r="Y781" s="72">
        <f t="shared" si="319"/>
        <v>3611.4773368702108</v>
      </c>
      <c r="Z781" s="72">
        <f t="shared" si="319"/>
        <v>4148.2231910169703</v>
      </c>
      <c r="AA781" s="72">
        <f t="shared" si="319"/>
        <v>4717.2869870538898</v>
      </c>
      <c r="AB781" s="72">
        <f t="shared" si="319"/>
        <v>5320.3000693444365</v>
      </c>
      <c r="AC781" s="72">
        <f t="shared" si="319"/>
        <v>5958.9710451280462</v>
      </c>
      <c r="AD781" s="72">
        <f t="shared" si="319"/>
        <v>6635.0893524987559</v>
      </c>
      <c r="AE781" s="72">
        <f t="shared" si="319"/>
        <v>7350.5289918043582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1918</v>
      </c>
      <c r="E782" s="72" t="s">
        <v>1870</v>
      </c>
      <c r="F782" s="72"/>
      <c r="G782" s="70" t="s">
        <v>1491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1498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1493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0.55721293959505358</v>
      </c>
      <c r="M784" s="72">
        <f t="shared" si="321"/>
        <v>0.56947162426614473</v>
      </c>
      <c r="N784" s="72">
        <f t="shared" si="321"/>
        <v>0.58199999999999996</v>
      </c>
      <c r="O784" s="72">
        <f t="shared" si="321"/>
        <v>0.594804</v>
      </c>
      <c r="P784" s="72">
        <f t="shared" si="321"/>
        <v>0.60788968799999998</v>
      </c>
      <c r="Q784" s="72">
        <f t="shared" si="321"/>
        <v>0.62126326113599994</v>
      </c>
      <c r="R784" s="72">
        <f t="shared" si="321"/>
        <v>0.63493105288099194</v>
      </c>
      <c r="S784" s="72">
        <f t="shared" si="321"/>
        <v>0.64889953604437378</v>
      </c>
      <c r="T784" s="72">
        <f t="shared" si="321"/>
        <v>0.66317532583734995</v>
      </c>
      <c r="U784" s="72">
        <f t="shared" si="321"/>
        <v>0.67776518300577171</v>
      </c>
      <c r="V784" s="72">
        <f t="shared" si="321"/>
        <v>0.69267601703189885</v>
      </c>
      <c r="W784" s="72">
        <f t="shared" si="321"/>
        <v>0.70791488940660041</v>
      </c>
      <c r="X784" s="72">
        <f t="shared" si="321"/>
        <v>0.72348901697354573</v>
      </c>
      <c r="Y784" s="72">
        <f t="shared" si="321"/>
        <v>0.73940577534696372</v>
      </c>
      <c r="Z784" s="72">
        <f t="shared" si="321"/>
        <v>0.75567270240459705</v>
      </c>
      <c r="AA784" s="72">
        <f t="shared" si="321"/>
        <v>0.77229750185749824</v>
      </c>
      <c r="AB784" s="72">
        <f t="shared" si="321"/>
        <v>0.78928804689836307</v>
      </c>
      <c r="AC784" s="72">
        <f t="shared" si="321"/>
        <v>0.80665238393012706</v>
      </c>
      <c r="AD784" s="72">
        <f t="shared" si="321"/>
        <v>0.82439873637658989</v>
      </c>
      <c r="AE784" s="72">
        <f t="shared" si="321"/>
        <v>0.84253550857687487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1494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0.25322587748271458</v>
      </c>
      <c r="M785" s="72">
        <f t="shared" si="322"/>
        <v>0.26436781609195403</v>
      </c>
      <c r="N785" s="72">
        <f t="shared" si="322"/>
        <v>0.27599999999999997</v>
      </c>
      <c r="O785" s="72">
        <f t="shared" si="322"/>
        <v>0.28814400000000001</v>
      </c>
      <c r="P785" s="72">
        <f t="shared" si="322"/>
        <v>0.30082233600000002</v>
      </c>
      <c r="Q785" s="72">
        <f t="shared" si="322"/>
        <v>0.31405851878400004</v>
      </c>
      <c r="R785" s="72">
        <f t="shared" si="322"/>
        <v>0.327877093610496</v>
      </c>
      <c r="S785" s="72">
        <f t="shared" si="322"/>
        <v>0.34230368572935777</v>
      </c>
      <c r="T785" s="72">
        <f t="shared" si="322"/>
        <v>0.35736504790144963</v>
      </c>
      <c r="U785" s="72">
        <f t="shared" si="322"/>
        <v>0.37308911000911343</v>
      </c>
      <c r="V785" s="72">
        <f t="shared" si="322"/>
        <v>0.38950503084951443</v>
      </c>
      <c r="W785" s="72">
        <f t="shared" si="322"/>
        <v>0.40664325220689312</v>
      </c>
      <c r="X785" s="72">
        <f t="shared" si="322"/>
        <v>0.42453555530399639</v>
      </c>
      <c r="Y785" s="72">
        <f t="shared" si="322"/>
        <v>0.44321511973737227</v>
      </c>
      <c r="Z785" s="72">
        <f t="shared" si="322"/>
        <v>0.46271658500581653</v>
      </c>
      <c r="AA785" s="72">
        <f t="shared" si="322"/>
        <v>0.48307611474607248</v>
      </c>
      <c r="AB785" s="72">
        <f t="shared" si="322"/>
        <v>0.50433146379489979</v>
      </c>
      <c r="AC785" s="72">
        <f t="shared" si="322"/>
        <v>0.52652204820187531</v>
      </c>
      <c r="AD785" s="72">
        <f t="shared" si="322"/>
        <v>0.54968901832275774</v>
      </c>
      <c r="AE785" s="72">
        <f t="shared" si="322"/>
        <v>0.57387533512895916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1495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0.63340895307832257</v>
      </c>
      <c r="M786" s="72">
        <f t="shared" si="323"/>
        <v>0.66824644549763035</v>
      </c>
      <c r="N786" s="72">
        <f t="shared" si="323"/>
        <v>0.70499999999999996</v>
      </c>
      <c r="O786" s="72">
        <f t="shared" si="323"/>
        <v>0.74377499999999996</v>
      </c>
      <c r="P786" s="72">
        <f t="shared" si="323"/>
        <v>0.78468262499999997</v>
      </c>
      <c r="Q786" s="72">
        <f t="shared" si="323"/>
        <v>0.82784016937499982</v>
      </c>
      <c r="R786" s="72">
        <f t="shared" si="323"/>
        <v>0.87337137869062498</v>
      </c>
      <c r="S786" s="72">
        <f t="shared" si="323"/>
        <v>0.92140680451860923</v>
      </c>
      <c r="T786" s="72">
        <f t="shared" si="323"/>
        <v>0.97208417876713271</v>
      </c>
      <c r="U786" s="72">
        <f t="shared" si="323"/>
        <v>1.025548808599325</v>
      </c>
      <c r="V786" s="72">
        <f t="shared" si="323"/>
        <v>1.0819539930722879</v>
      </c>
      <c r="W786" s="72">
        <f t="shared" si="323"/>
        <v>1.1414614626912638</v>
      </c>
      <c r="X786" s="72">
        <f t="shared" si="323"/>
        <v>1.2042418431392832</v>
      </c>
      <c r="Y786" s="72">
        <f t="shared" si="323"/>
        <v>1.2704751445119435</v>
      </c>
      <c r="Z786" s="72">
        <f t="shared" si="323"/>
        <v>1.3403512774601003</v>
      </c>
      <c r="AA786" s="72">
        <f t="shared" si="323"/>
        <v>1.4140705977204056</v>
      </c>
      <c r="AB786" s="72">
        <f t="shared" si="323"/>
        <v>1.4918444805950282</v>
      </c>
      <c r="AC786" s="72">
        <f t="shared" si="323"/>
        <v>1.5738959270277544</v>
      </c>
      <c r="AD786" s="72">
        <f t="shared" si="323"/>
        <v>1.660460203014281</v>
      </c>
      <c r="AE786" s="72">
        <f t="shared" si="323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1496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1497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24.646491529759945</v>
      </c>
      <c r="M788" s="72">
        <f t="shared" si="324"/>
        <v>25.459825750242022</v>
      </c>
      <c r="N788" s="72">
        <f t="shared" si="324"/>
        <v>26.3</v>
      </c>
      <c r="O788" s="72">
        <f t="shared" si="324"/>
        <v>27.167899999999999</v>
      </c>
      <c r="P788" s="72">
        <f t="shared" si="324"/>
        <v>28.064440699999995</v>
      </c>
      <c r="Q788" s="72">
        <f t="shared" si="324"/>
        <v>28.990567243099992</v>
      </c>
      <c r="R788" s="72">
        <f t="shared" si="324"/>
        <v>29.947255962122291</v>
      </c>
      <c r="S788" s="72">
        <f t="shared" si="324"/>
        <v>30.935515408872323</v>
      </c>
      <c r="T788" s="72">
        <f t="shared" si="324"/>
        <v>31.956387417365107</v>
      </c>
      <c r="U788" s="72">
        <f t="shared" si="324"/>
        <v>33.010948202138145</v>
      </c>
      <c r="V788" s="72">
        <f t="shared" si="324"/>
        <v>34.100309492808698</v>
      </c>
      <c r="W788" s="72">
        <f t="shared" si="324"/>
        <v>35.225619706071392</v>
      </c>
      <c r="X788" s="72">
        <f t="shared" si="324"/>
        <v>36.388065156371731</v>
      </c>
      <c r="Y788" s="72">
        <f t="shared" si="324"/>
        <v>37.588871306532006</v>
      </c>
      <c r="Z788" s="72">
        <f t="shared" si="324"/>
        <v>38.829304059647555</v>
      </c>
      <c r="AA788" s="72">
        <f t="shared" si="324"/>
        <v>40.11067109361592</v>
      </c>
      <c r="AB788" s="72">
        <f t="shared" si="324"/>
        <v>41.434323239705236</v>
      </c>
      <c r="AC788" s="72">
        <f t="shared" si="324"/>
        <v>42.801655906615501</v>
      </c>
      <c r="AD788" s="72">
        <f t="shared" si="324"/>
        <v>44.214110551533814</v>
      </c>
      <c r="AE788" s="72">
        <f t="shared" si="324"/>
        <v>45.673176199734421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1491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26.090339299916035</v>
      </c>
      <c r="M789" s="72">
        <f t="shared" si="325"/>
        <v>26.961911636097749</v>
      </c>
      <c r="N789" s="72">
        <f t="shared" si="325"/>
        <v>27.863</v>
      </c>
      <c r="O789" s="72">
        <f t="shared" si="325"/>
        <v>28.794623000000001</v>
      </c>
      <c r="P789" s="72">
        <f t="shared" si="325"/>
        <v>29.757835348999997</v>
      </c>
      <c r="Q789" s="72">
        <f t="shared" si="325"/>
        <v>30.753729192394992</v>
      </c>
      <c r="R789" s="72">
        <f t="shared" si="325"/>
        <v>31.783435487304406</v>
      </c>
      <c r="S789" s="72">
        <f t="shared" si="325"/>
        <v>32.848125435164661</v>
      </c>
      <c r="T789" s="72">
        <f t="shared" si="325"/>
        <v>33.949011969871037</v>
      </c>
      <c r="U789" s="72">
        <f t="shared" si="325"/>
        <v>35.087351303752357</v>
      </c>
      <c r="V789" s="72">
        <f t="shared" si="325"/>
        <v>36.264444533762401</v>
      </c>
      <c r="W789" s="72">
        <f t="shared" si="325"/>
        <v>37.481639310376153</v>
      </c>
      <c r="X789" s="72">
        <f t="shared" si="325"/>
        <v>38.740331571788559</v>
      </c>
      <c r="Y789" s="72">
        <f t="shared" si="325"/>
        <v>40.041967346128288</v>
      </c>
      <c r="Z789" s="72">
        <f t="shared" si="325"/>
        <v>41.388044624518066</v>
      </c>
      <c r="AA789" s="72">
        <f t="shared" si="325"/>
        <v>42.780115307939894</v>
      </c>
      <c r="AB789" s="72">
        <f t="shared" si="325"/>
        <v>44.219787230993525</v>
      </c>
      <c r="AC789" s="72">
        <f t="shared" si="325"/>
        <v>45.708726265775255</v>
      </c>
      <c r="AD789" s="72">
        <f t="shared" si="325"/>
        <v>47.248658509247441</v>
      </c>
      <c r="AE789" s="72">
        <f t="shared" si="325"/>
        <v>48.841372557620318</v>
      </c>
      <c r="AF789" s="70"/>
      <c r="AG789" s="70"/>
      <c r="AH789" s="70"/>
      <c r="AI789" s="70"/>
    </row>
    <row r="790" spans="1:35" x14ac:dyDescent="0.45">
      <c r="A790" s="70"/>
      <c r="B790" s="52" t="s">
        <v>1871</v>
      </c>
      <c r="C790" s="73" t="s">
        <v>1499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50.055252651914415</v>
      </c>
      <c r="R791" s="72">
        <f t="shared" si="327"/>
        <v>104.51536753719728</v>
      </c>
      <c r="S791" s="72">
        <f t="shared" si="327"/>
        <v>163.67106556325092</v>
      </c>
      <c r="T791" s="72">
        <f t="shared" si="327"/>
        <v>227.83012326404531</v>
      </c>
      <c r="U791" s="72">
        <f t="shared" si="327"/>
        <v>297.31831085957919</v>
      </c>
      <c r="V791" s="72">
        <f t="shared" si="327"/>
        <v>372.48037984488076</v>
      </c>
      <c r="W791" s="72">
        <f t="shared" si="327"/>
        <v>453.6811026510648</v>
      </c>
      <c r="X791" s="72">
        <f t="shared" si="327"/>
        <v>541.3063670488134</v>
      </c>
      <c r="Y791" s="72">
        <f t="shared" si="327"/>
        <v>635.76432809883136</v>
      </c>
      <c r="Z791" s="72">
        <f t="shared" si="327"/>
        <v>737.48662059464425</v>
      </c>
      <c r="AA791" s="72">
        <f t="shared" si="327"/>
        <v>846.92963509088941</v>
      </c>
      <c r="AB791" s="72">
        <f t="shared" si="327"/>
        <v>964.575860765333</v>
      </c>
      <c r="AC791" s="72">
        <f t="shared" si="327"/>
        <v>1090.9352985255916</v>
      </c>
      <c r="AD791" s="72">
        <f t="shared" si="327"/>
        <v>1226.5469479423114</v>
      </c>
      <c r="AE791" s="72">
        <f t="shared" si="327"/>
        <v>1371.9803717697569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9.5753711433600017</v>
      </c>
      <c r="R792" s="72">
        <f t="shared" si="328"/>
        <v>19.993374947335681</v>
      </c>
      <c r="S792" s="72">
        <f t="shared" si="328"/>
        <v>31.309625167527681</v>
      </c>
      <c r="T792" s="72">
        <f t="shared" si="328"/>
        <v>43.582998233198531</v>
      </c>
      <c r="U792" s="72">
        <f t="shared" si="328"/>
        <v>56.875812694324097</v>
      </c>
      <c r="V792" s="72">
        <f t="shared" si="328"/>
        <v>71.254018143449215</v>
      </c>
      <c r="W792" s="72">
        <f t="shared" si="328"/>
        <v>86.787394098721151</v>
      </c>
      <c r="X792" s="72">
        <f t="shared" si="328"/>
        <v>103.54975935893131</v>
      </c>
      <c r="Y792" s="72">
        <f t="shared" si="328"/>
        <v>121.61919236706481</v>
      </c>
      <c r="Z792" s="72">
        <f t="shared" si="328"/>
        <v>141.07826314579518</v>
      </c>
      <c r="AA792" s="72">
        <f t="shared" si="328"/>
        <v>162.01427739663117</v>
      </c>
      <c r="AB792" s="72">
        <f t="shared" si="328"/>
        <v>184.51953338409052</v>
      </c>
      <c r="AC792" s="72">
        <f t="shared" si="328"/>
        <v>208.69159225740637</v>
      </c>
      <c r="AD792" s="72">
        <f t="shared" si="328"/>
        <v>234.63356249494242</v>
      </c>
      <c r="AE792" s="72">
        <f t="shared" si="328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198.62121046068745</v>
      </c>
      <c r="R794" s="72">
        <f t="shared" si="330"/>
        <v>410.3514208117802</v>
      </c>
      <c r="S794" s="72">
        <f t="shared" si="330"/>
        <v>635.83952654785332</v>
      </c>
      <c r="T794" s="72">
        <f t="shared" si="330"/>
        <v>875.76297456524333</v>
      </c>
      <c r="U794" s="72">
        <f t="shared" si="330"/>
        <v>1130.8289409073702</v>
      </c>
      <c r="V794" s="72">
        <f t="shared" si="330"/>
        <v>1401.7755551487758</v>
      </c>
      <c r="W794" s="72">
        <f t="shared" si="330"/>
        <v>1689.3731732134663</v>
      </c>
      <c r="X794" s="72">
        <f t="shared" si="330"/>
        <v>1994.4257004908686</v>
      </c>
      <c r="Y794" s="72">
        <f t="shared" si="330"/>
        <v>2317.7719671829514</v>
      </c>
      <c r="Z794" s="72">
        <f t="shared" si="330"/>
        <v>2660.2871578888758</v>
      </c>
      <c r="AA794" s="72">
        <f t="shared" si="330"/>
        <v>3022.8842975091293</v>
      </c>
      <c r="AB794" s="72">
        <f t="shared" si="330"/>
        <v>3406.5157956293783</v>
      </c>
      <c r="AC794" s="72">
        <f t="shared" si="330"/>
        <v>3812.1750516255761</v>
      </c>
      <c r="AD794" s="72">
        <f t="shared" si="330"/>
        <v>4240.8981228160828</v>
      </c>
      <c r="AE794" s="72">
        <f t="shared" si="330"/>
        <v>4693.7654580739427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1441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44.093819705408549</v>
      </c>
      <c r="R795" s="72">
        <f t="shared" si="331"/>
        <v>90.127767477855087</v>
      </c>
      <c r="S795" s="72">
        <f t="shared" si="331"/>
        <v>138.16586754355183</v>
      </c>
      <c r="T795" s="72">
        <f t="shared" si="331"/>
        <v>188.27402217267993</v>
      </c>
      <c r="U795" s="72">
        <f t="shared" si="331"/>
        <v>240.52006332559864</v>
      </c>
      <c r="V795" s="72">
        <f t="shared" si="331"/>
        <v>294.97380566251422</v>
      </c>
      <c r="W795" s="72">
        <f t="shared" si="331"/>
        <v>351.70710095160445</v>
      </c>
      <c r="X795" s="72">
        <f t="shared" si="331"/>
        <v>410.79389391147396</v>
      </c>
      <c r="Y795" s="72">
        <f t="shared" si="331"/>
        <v>472.31027952471726</v>
      </c>
      <c r="Z795" s="72">
        <f t="shared" si="331"/>
        <v>536.33456186029002</v>
      </c>
      <c r="AA795" s="72">
        <f t="shared" si="331"/>
        <v>602.94731444333797</v>
      </c>
      <c r="AB795" s="72">
        <f t="shared" si="331"/>
        <v>672.23144221209964</v>
      </c>
      <c r="AC795" s="72">
        <f t="shared" si="331"/>
        <v>744.27224510249653</v>
      </c>
      <c r="AD795" s="72">
        <f t="shared" si="331"/>
        <v>819.15748330203985</v>
      </c>
      <c r="AE795" s="72">
        <f t="shared" si="331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0.68693120437499977</v>
      </c>
      <c r="R798" s="72">
        <f t="shared" si="334"/>
        <v>1.44942484123125</v>
      </c>
      <c r="S798" s="72">
        <f t="shared" si="334"/>
        <v>2.2937148112484524</v>
      </c>
      <c r="T798" s="72">
        <f t="shared" si="334"/>
        <v>3.2264921678228231</v>
      </c>
      <c r="U798" s="72">
        <f t="shared" si="334"/>
        <v>4.2549365463163475</v>
      </c>
      <c r="V798" s="72">
        <f t="shared" si="334"/>
        <v>5.3867496676364954</v>
      </c>
      <c r="W798" s="72">
        <f t="shared" si="334"/>
        <v>6.6301910492492544</v>
      </c>
      <c r="X798" s="72">
        <f t="shared" si="334"/>
        <v>7.9941160650948158</v>
      </c>
      <c r="Y798" s="72">
        <f t="shared" si="334"/>
        <v>9.4880165047594094</v>
      </c>
      <c r="Z798" s="72">
        <f t="shared" si="334"/>
        <v>11.122063791690195</v>
      </c>
      <c r="AA798" s="72">
        <f t="shared" si="334"/>
        <v>12.907155030256469</v>
      </c>
      <c r="AB798" s="72">
        <f t="shared" si="334"/>
        <v>14.854962062095174</v>
      </c>
      <c r="AC798" s="72">
        <f t="shared" si="334"/>
        <v>16.977983723469606</v>
      </c>
      <c r="AD798" s="72">
        <f t="shared" si="334"/>
        <v>19.289601507357389</v>
      </c>
      <c r="AE798" s="72">
        <f t="shared" si="334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1500</v>
      </c>
      <c r="E799" s="70" t="s">
        <v>1870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1872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308.12278080273347</v>
      </c>
      <c r="R799" s="72">
        <f t="shared" si="335"/>
        <v>636.8417154974029</v>
      </c>
      <c r="S799" s="72">
        <f t="shared" si="335"/>
        <v>987.22968333254357</v>
      </c>
      <c r="T799" s="72">
        <f t="shared" si="335"/>
        <v>1360.4109852569791</v>
      </c>
      <c r="U799" s="72">
        <f t="shared" si="335"/>
        <v>1757.5637282091595</v>
      </c>
      <c r="V799" s="72">
        <f t="shared" si="335"/>
        <v>2179.9223186447475</v>
      </c>
      <c r="W799" s="72">
        <f t="shared" si="335"/>
        <v>2628.7800702990671</v>
      </c>
      <c r="X799" s="72">
        <f t="shared" si="335"/>
        <v>3105.4919314104172</v>
      </c>
      <c r="Y799" s="72">
        <f t="shared" si="335"/>
        <v>3611.4773368702108</v>
      </c>
      <c r="Z799" s="72">
        <f t="shared" si="335"/>
        <v>4148.2231910169703</v>
      </c>
      <c r="AA799" s="72">
        <f t="shared" si="335"/>
        <v>4717.2869870538898</v>
      </c>
      <c r="AB799" s="72">
        <f t="shared" si="335"/>
        <v>5320.3000693444365</v>
      </c>
      <c r="AC799" s="72">
        <f t="shared" si="335"/>
        <v>5958.9710451280462</v>
      </c>
      <c r="AD799" s="72">
        <f t="shared" si="335"/>
        <v>6635.0893524987559</v>
      </c>
      <c r="AE799" s="72">
        <f t="shared" si="335"/>
        <v>7350.5289918043582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33.7304687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31.2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2091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2092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2093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2094</v>
      </c>
      <c r="F6" s="14" t="s">
        <v>2095</v>
      </c>
      <c r="G6" s="129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2096</v>
      </c>
      <c r="L6" s="130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2094</v>
      </c>
      <c r="F7" s="14" t="s">
        <v>2095</v>
      </c>
      <c r="G7" s="129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2097</v>
      </c>
      <c r="L7" s="130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2094</v>
      </c>
      <c r="F8" s="14" t="s">
        <v>2095</v>
      </c>
      <c r="G8" s="129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2098</v>
      </c>
      <c r="L8" s="130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2094</v>
      </c>
      <c r="F9" s="14" t="s">
        <v>2095</v>
      </c>
      <c r="G9" s="129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2099</v>
      </c>
      <c r="L9" s="130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2094</v>
      </c>
      <c r="F10" s="14" t="s">
        <v>2095</v>
      </c>
      <c r="G10" s="129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2100</v>
      </c>
      <c r="L10" s="130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2094</v>
      </c>
      <c r="F11" s="14" t="s">
        <v>2095</v>
      </c>
      <c r="G11" s="129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2101</v>
      </c>
      <c r="L11" s="130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2094</v>
      </c>
      <c r="F12" s="14" t="s">
        <v>2095</v>
      </c>
      <c r="G12" s="129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2102</v>
      </c>
      <c r="L12" s="130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2094</v>
      </c>
      <c r="F13" s="14" t="s">
        <v>2095</v>
      </c>
      <c r="G13" s="129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2103</v>
      </c>
      <c r="L13" s="130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2094</v>
      </c>
      <c r="F14" s="14" t="s">
        <v>2095</v>
      </c>
      <c r="G14" s="129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2104</v>
      </c>
      <c r="L14" s="130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2094</v>
      </c>
      <c r="F15" s="14" t="s">
        <v>2095</v>
      </c>
      <c r="H15" s="45" t="str">
        <f>Settings!$B$3&amp;".mit.eco2."&amp;$C$5&amp;".tot.e."&amp;$J$5</f>
        <v>egy.mit.eco2.irn.tot.e.1</v>
      </c>
      <c r="L15" s="131">
        <f t="shared" ref="L15:AE15" si="1">SUM(L6:L14)</f>
        <v>4.5303835184019645</v>
      </c>
      <c r="M15" s="131">
        <f t="shared" si="1"/>
        <v>3.8469033618625206</v>
      </c>
      <c r="N15" s="131">
        <f t="shared" si="1"/>
        <v>4.3290746208215198</v>
      </c>
      <c r="O15" s="131">
        <f t="shared" si="1"/>
        <v>4.5451606543512009</v>
      </c>
      <c r="P15" s="131">
        <f t="shared" si="1"/>
        <v>4.6606527233890995</v>
      </c>
      <c r="Q15" s="131">
        <f t="shared" si="1"/>
        <v>4.8330795942744347</v>
      </c>
      <c r="R15" s="131">
        <f t="shared" si="1"/>
        <v>5.0529306123252606</v>
      </c>
      <c r="S15" s="131">
        <f t="shared" si="1"/>
        <v>5.2667916999615381</v>
      </c>
      <c r="T15" s="131">
        <f t="shared" si="1"/>
        <v>5.4699790897750464</v>
      </c>
      <c r="U15" s="131">
        <f t="shared" si="1"/>
        <v>5.6771103604276671</v>
      </c>
      <c r="V15" s="131">
        <f t="shared" si="1"/>
        <v>5.8842858461533165</v>
      </c>
      <c r="W15" s="131">
        <f t="shared" si="1"/>
        <v>6.0960674143926461</v>
      </c>
      <c r="X15" s="131">
        <f t="shared" si="1"/>
        <v>6.3124466882788575</v>
      </c>
      <c r="Y15" s="131">
        <f t="shared" si="1"/>
        <v>6.5334118787127196</v>
      </c>
      <c r="Z15" s="131">
        <f t="shared" si="1"/>
        <v>6.7589477212745512</v>
      </c>
      <c r="AA15" s="131">
        <f t="shared" si="1"/>
        <v>6.9890354050403589</v>
      </c>
      <c r="AB15" s="131">
        <f t="shared" si="1"/>
        <v>7.2236524927720804</v>
      </c>
      <c r="AC15" s="131">
        <f t="shared" si="1"/>
        <v>7.4627728319721847</v>
      </c>
      <c r="AD15" s="131">
        <f t="shared" si="1"/>
        <v>7.7063664563130869</v>
      </c>
      <c r="AE15" s="131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2093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2094</v>
      </c>
      <c r="F18" s="14" t="s">
        <v>2095</v>
      </c>
      <c r="G18" s="129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2105</v>
      </c>
      <c r="L18" s="130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2094</v>
      </c>
      <c r="F19" s="14" t="s">
        <v>2095</v>
      </c>
      <c r="G19" s="129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2106</v>
      </c>
      <c r="L19" s="130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2094</v>
      </c>
      <c r="F20" s="14" t="s">
        <v>2095</v>
      </c>
      <c r="G20" s="129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2107</v>
      </c>
      <c r="L20" s="130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2094</v>
      </c>
      <c r="F21" s="14" t="s">
        <v>2095</v>
      </c>
      <c r="G21" s="129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2108</v>
      </c>
      <c r="L21" s="130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2094</v>
      </c>
      <c r="F22" s="14" t="s">
        <v>2095</v>
      </c>
      <c r="G22" s="129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2109</v>
      </c>
      <c r="L22" s="130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2094</v>
      </c>
      <c r="F23" s="14" t="s">
        <v>2095</v>
      </c>
      <c r="G23" s="129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2110</v>
      </c>
      <c r="L23" s="130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2094</v>
      </c>
      <c r="F24" s="14" t="s">
        <v>2095</v>
      </c>
      <c r="G24" s="129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2111</v>
      </c>
      <c r="L24" s="130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2094</v>
      </c>
      <c r="F25" s="14" t="s">
        <v>2095</v>
      </c>
      <c r="G25" s="129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2112</v>
      </c>
      <c r="L25" s="130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2094</v>
      </c>
      <c r="F26" s="14" t="s">
        <v>2095</v>
      </c>
      <c r="G26" s="129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2113</v>
      </c>
      <c r="L26" s="130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2094</v>
      </c>
      <c r="F27" s="14" t="s">
        <v>2095</v>
      </c>
      <c r="H27" s="45" t="str">
        <f>Settings!$B$3&amp;".mit.eco2."&amp;$C$17&amp;".tot.e."&amp;$J$17</f>
        <v>egy.mit.eco2.cem.tot.e.1</v>
      </c>
      <c r="L27" s="131">
        <f t="shared" ref="L27:AE27" si="3">SUM(L18:L26)</f>
        <v>9.4893574461323063</v>
      </c>
      <c r="M27" s="131">
        <f t="shared" si="3"/>
        <v>7.892397868173477</v>
      </c>
      <c r="N27" s="131">
        <f t="shared" si="3"/>
        <v>8.974049898041585</v>
      </c>
      <c r="O27" s="131">
        <f t="shared" si="3"/>
        <v>9.6117389440758174</v>
      </c>
      <c r="P27" s="131">
        <f t="shared" si="3"/>
        <v>9.6255920185944621</v>
      </c>
      <c r="Q27" s="131">
        <f t="shared" si="3"/>
        <v>9.8610476555574511</v>
      </c>
      <c r="R27" s="131">
        <f t="shared" si="3"/>
        <v>10.224041222352259</v>
      </c>
      <c r="S27" s="131">
        <f t="shared" si="3"/>
        <v>10.577278178288619</v>
      </c>
      <c r="T27" s="131">
        <f t="shared" si="3"/>
        <v>10.913917324515168</v>
      </c>
      <c r="U27" s="131">
        <f t="shared" si="3"/>
        <v>11.254980886600027</v>
      </c>
      <c r="V27" s="131">
        <f t="shared" si="3"/>
        <v>11.572436051134584</v>
      </c>
      <c r="W27" s="131">
        <f t="shared" si="3"/>
        <v>11.894967219383652</v>
      </c>
      <c r="X27" s="131">
        <f t="shared" si="3"/>
        <v>12.222536887315171</v>
      </c>
      <c r="Y27" s="131">
        <f t="shared" si="3"/>
        <v>12.55510423174249</v>
      </c>
      <c r="Z27" s="131">
        <f t="shared" si="3"/>
        <v>12.892625020155874</v>
      </c>
      <c r="AA27" s="131">
        <f t="shared" si="3"/>
        <v>13.235051509488891</v>
      </c>
      <c r="AB27" s="131">
        <f t="shared" si="3"/>
        <v>13.582332333397812</v>
      </c>
      <c r="AC27" s="131">
        <f t="shared" si="3"/>
        <v>13.934412377644653</v>
      </c>
      <c r="AD27" s="131">
        <f t="shared" si="3"/>
        <v>14.291232643187328</v>
      </c>
      <c r="AE27" s="131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2093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2094</v>
      </c>
      <c r="F30" s="14" t="s">
        <v>2095</v>
      </c>
      <c r="G30" s="129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2114</v>
      </c>
      <c r="L30" s="130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2094</v>
      </c>
      <c r="F31" s="14" t="s">
        <v>2095</v>
      </c>
      <c r="G31" s="129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2115</v>
      </c>
      <c r="L31" s="130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2094</v>
      </c>
      <c r="F32" s="14" t="s">
        <v>2095</v>
      </c>
      <c r="G32" s="129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2116</v>
      </c>
      <c r="L32" s="130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2094</v>
      </c>
      <c r="F33" s="14" t="s">
        <v>2095</v>
      </c>
      <c r="G33" s="129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2117</v>
      </c>
      <c r="L33" s="130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2094</v>
      </c>
      <c r="F34" s="14" t="s">
        <v>2095</v>
      </c>
      <c r="G34" s="129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2118</v>
      </c>
      <c r="L34" s="130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2094</v>
      </c>
      <c r="F35" s="14" t="s">
        <v>2095</v>
      </c>
      <c r="G35" s="129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2119</v>
      </c>
      <c r="L35" s="130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2094</v>
      </c>
      <c r="F36" s="14" t="s">
        <v>2095</v>
      </c>
      <c r="G36" s="129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2120</v>
      </c>
      <c r="L36" s="130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2094</v>
      </c>
      <c r="F37" s="14" t="s">
        <v>2095</v>
      </c>
      <c r="G37" s="129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2121</v>
      </c>
      <c r="L37" s="130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2094</v>
      </c>
      <c r="F38" s="14" t="s">
        <v>2095</v>
      </c>
      <c r="G38" s="129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2122</v>
      </c>
      <c r="L38" s="130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2094</v>
      </c>
      <c r="F39" s="14" t="s">
        <v>2095</v>
      </c>
      <c r="H39" s="45" t="str">
        <f>Settings!$B$3&amp;".mit.eco2."&amp;$C$29&amp;".tot.e."&amp;$J$29</f>
        <v>egy.mit.eco2.nfm.tot.e.1</v>
      </c>
      <c r="L39" s="131">
        <f t="shared" ref="L39:AE39" si="5">SUM(L30:L38)</f>
        <v>0</v>
      </c>
      <c r="M39" s="131">
        <f t="shared" si="5"/>
        <v>0</v>
      </c>
      <c r="N39" s="131">
        <f t="shared" si="5"/>
        <v>0</v>
      </c>
      <c r="O39" s="131">
        <f t="shared" si="5"/>
        <v>0</v>
      </c>
      <c r="P39" s="131">
        <f t="shared" si="5"/>
        <v>0</v>
      </c>
      <c r="Q39" s="131">
        <f t="shared" si="5"/>
        <v>0</v>
      </c>
      <c r="R39" s="131">
        <f t="shared" si="5"/>
        <v>0</v>
      </c>
      <c r="S39" s="131">
        <f t="shared" si="5"/>
        <v>0</v>
      </c>
      <c r="T39" s="131">
        <f t="shared" si="5"/>
        <v>0</v>
      </c>
      <c r="U39" s="131">
        <f t="shared" si="5"/>
        <v>0</v>
      </c>
      <c r="V39" s="131">
        <f t="shared" si="5"/>
        <v>0</v>
      </c>
      <c r="W39" s="131">
        <f t="shared" si="5"/>
        <v>0</v>
      </c>
      <c r="X39" s="131">
        <f t="shared" si="5"/>
        <v>0</v>
      </c>
      <c r="Y39" s="131">
        <f t="shared" si="5"/>
        <v>0</v>
      </c>
      <c r="Z39" s="131">
        <f t="shared" si="5"/>
        <v>0</v>
      </c>
      <c r="AA39" s="131">
        <f t="shared" si="5"/>
        <v>0</v>
      </c>
      <c r="AB39" s="131">
        <f t="shared" si="5"/>
        <v>0</v>
      </c>
      <c r="AC39" s="131">
        <f t="shared" si="5"/>
        <v>0</v>
      </c>
      <c r="AD39" s="131">
        <f t="shared" si="5"/>
        <v>0</v>
      </c>
      <c r="AE39" s="131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2093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2094</v>
      </c>
      <c r="F42" s="14" t="s">
        <v>2095</v>
      </c>
      <c r="G42" s="129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2123</v>
      </c>
      <c r="L42" s="130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2094</v>
      </c>
      <c r="F43" s="14" t="s">
        <v>2095</v>
      </c>
      <c r="G43" s="129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2124</v>
      </c>
      <c r="L43" s="130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2094</v>
      </c>
      <c r="F44" s="14" t="s">
        <v>2095</v>
      </c>
      <c r="G44" s="129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2125</v>
      </c>
      <c r="L44" s="130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2094</v>
      </c>
      <c r="F45" s="14" t="s">
        <v>2095</v>
      </c>
      <c r="G45" s="129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2126</v>
      </c>
      <c r="L45" s="130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2094</v>
      </c>
      <c r="F46" s="14" t="s">
        <v>2095</v>
      </c>
      <c r="G46" s="129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2127</v>
      </c>
      <c r="L46" s="130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2094</v>
      </c>
      <c r="F47" s="14" t="s">
        <v>2095</v>
      </c>
      <c r="G47" s="129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2128</v>
      </c>
      <c r="L47" s="130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2094</v>
      </c>
      <c r="F48" s="14" t="s">
        <v>2095</v>
      </c>
      <c r="G48" s="129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2129</v>
      </c>
      <c r="L48" s="130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2094</v>
      </c>
      <c r="F49" s="14" t="s">
        <v>2095</v>
      </c>
      <c r="G49" s="129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2130</v>
      </c>
      <c r="L49" s="130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2094</v>
      </c>
      <c r="F50" s="14" t="s">
        <v>2095</v>
      </c>
      <c r="G50" s="129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2131</v>
      </c>
      <c r="L50" s="130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2094</v>
      </c>
      <c r="F51" s="14" t="s">
        <v>2095</v>
      </c>
      <c r="H51" s="45" t="str">
        <f>Settings!$B$3&amp;".mit.eco2."&amp;$C$41&amp;".tot.e."&amp;$J$41</f>
        <v>egy.mit.eco2.mch.tot.e.1</v>
      </c>
      <c r="L51" s="131">
        <f t="shared" ref="L51:AE51" si="7">SUM(L42:L50)</f>
        <v>0</v>
      </c>
      <c r="M51" s="131">
        <f t="shared" si="7"/>
        <v>0</v>
      </c>
      <c r="N51" s="131">
        <f t="shared" si="7"/>
        <v>0</v>
      </c>
      <c r="O51" s="131">
        <f t="shared" si="7"/>
        <v>0</v>
      </c>
      <c r="P51" s="131">
        <f t="shared" si="7"/>
        <v>0</v>
      </c>
      <c r="Q51" s="131">
        <f t="shared" si="7"/>
        <v>0</v>
      </c>
      <c r="R51" s="131">
        <f t="shared" si="7"/>
        <v>0</v>
      </c>
      <c r="S51" s="131">
        <f t="shared" si="7"/>
        <v>0</v>
      </c>
      <c r="T51" s="131">
        <f t="shared" si="7"/>
        <v>0</v>
      </c>
      <c r="U51" s="131">
        <f t="shared" si="7"/>
        <v>0</v>
      </c>
      <c r="V51" s="131">
        <f t="shared" si="7"/>
        <v>0</v>
      </c>
      <c r="W51" s="131">
        <f t="shared" si="7"/>
        <v>0</v>
      </c>
      <c r="X51" s="131">
        <f t="shared" si="7"/>
        <v>0</v>
      </c>
      <c r="Y51" s="131">
        <f t="shared" si="7"/>
        <v>0</v>
      </c>
      <c r="Z51" s="131">
        <f t="shared" si="7"/>
        <v>0</v>
      </c>
      <c r="AA51" s="131">
        <f t="shared" si="7"/>
        <v>0</v>
      </c>
      <c r="AB51" s="131">
        <f t="shared" si="7"/>
        <v>0</v>
      </c>
      <c r="AC51" s="131">
        <f t="shared" si="7"/>
        <v>0</v>
      </c>
      <c r="AD51" s="131">
        <f t="shared" si="7"/>
        <v>0</v>
      </c>
      <c r="AE51" s="131">
        <f t="shared" si="7"/>
        <v>0</v>
      </c>
    </row>
    <row r="54" spans="1:35" customFormat="1" ht="18" customHeight="1" x14ac:dyDescent="0.45">
      <c r="A54" s="8"/>
      <c r="B54" s="9" t="s">
        <v>2132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2093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2094</v>
      </c>
      <c r="F57" s="14" t="s">
        <v>2095</v>
      </c>
      <c r="G57" s="129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2133</v>
      </c>
      <c r="L57" s="130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2094</v>
      </c>
      <c r="F58" s="14" t="s">
        <v>2095</v>
      </c>
      <c r="G58" s="129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2134</v>
      </c>
      <c r="L58" s="130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2094</v>
      </c>
      <c r="F59" s="14" t="s">
        <v>2095</v>
      </c>
      <c r="G59" s="129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2135</v>
      </c>
      <c r="L59" s="130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2094</v>
      </c>
      <c r="F60" s="14" t="s">
        <v>2095</v>
      </c>
      <c r="G60" s="129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2136</v>
      </c>
      <c r="L60" s="130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2094</v>
      </c>
      <c r="F61" s="14" t="s">
        <v>2095</v>
      </c>
      <c r="G61" s="129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2137</v>
      </c>
      <c r="L61" s="130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2094</v>
      </c>
      <c r="F62" s="14" t="s">
        <v>2095</v>
      </c>
      <c r="G62" s="129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2138</v>
      </c>
      <c r="L62" s="130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2094</v>
      </c>
      <c r="F63" s="14" t="s">
        <v>2095</v>
      </c>
      <c r="G63" s="129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2139</v>
      </c>
      <c r="L63" s="130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2094</v>
      </c>
      <c r="F64" s="14" t="s">
        <v>2095</v>
      </c>
      <c r="G64" s="129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2140</v>
      </c>
      <c r="L64" s="130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2094</v>
      </c>
      <c r="F65" s="14" t="s">
        <v>2095</v>
      </c>
      <c r="G65" s="129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2141</v>
      </c>
      <c r="L65" s="130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2094</v>
      </c>
      <c r="F66" s="14" t="s">
        <v>2095</v>
      </c>
      <c r="H66" s="45" t="str">
        <f>Settings!$B$3&amp;".mit.eco2."&amp;$C$56&amp;".tot.e."&amp;$J$56</f>
        <v>egy.mit.eco2.irn.tot.e.2</v>
      </c>
      <c r="L66" s="131">
        <f t="shared" ref="L66:AE66" si="9">SUM(L57:L65)</f>
        <v>4.5303835184019645</v>
      </c>
      <c r="M66" s="131">
        <f t="shared" si="9"/>
        <v>3.8469033618625206</v>
      </c>
      <c r="N66" s="131">
        <f t="shared" si="9"/>
        <v>4.3290746208215198</v>
      </c>
      <c r="O66" s="131">
        <f t="shared" si="9"/>
        <v>4.5451606543512009</v>
      </c>
      <c r="P66" s="131">
        <f t="shared" si="9"/>
        <v>4.6606527233890995</v>
      </c>
      <c r="Q66" s="131">
        <f t="shared" si="9"/>
        <v>4.4078296144020142</v>
      </c>
      <c r="R66" s="131">
        <f t="shared" si="9"/>
        <v>4.246993475594202</v>
      </c>
      <c r="S66" s="131">
        <f t="shared" si="9"/>
        <v>4.1117536252780678</v>
      </c>
      <c r="T66" s="131">
        <f t="shared" si="9"/>
        <v>3.9924395556502268</v>
      </c>
      <c r="U66" s="131">
        <f t="shared" si="9"/>
        <v>3.8941902155876629</v>
      </c>
      <c r="V66" s="131">
        <f t="shared" si="9"/>
        <v>3.8124028190221151</v>
      </c>
      <c r="W66" s="131">
        <f t="shared" si="9"/>
        <v>3.7471168511266315</v>
      </c>
      <c r="X66" s="131">
        <f t="shared" si="9"/>
        <v>3.6964075936068812</v>
      </c>
      <c r="Y66" s="131">
        <f t="shared" si="9"/>
        <v>3.6591659054499268</v>
      </c>
      <c r="Z66" s="131">
        <f t="shared" si="9"/>
        <v>3.6352380271397982</v>
      </c>
      <c r="AA66" s="131">
        <f t="shared" si="9"/>
        <v>3.623938569338653</v>
      </c>
      <c r="AB66" s="131">
        <f t="shared" si="9"/>
        <v>3.6245334840846737</v>
      </c>
      <c r="AC66" s="131">
        <f t="shared" si="9"/>
        <v>3.6357614325971319</v>
      </c>
      <c r="AD66" s="131">
        <f t="shared" si="9"/>
        <v>3.656572990259491</v>
      </c>
      <c r="AE66" s="131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2093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2094</v>
      </c>
      <c r="F69" s="14" t="s">
        <v>2095</v>
      </c>
      <c r="G69" s="129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2142</v>
      </c>
      <c r="L69" s="130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2094</v>
      </c>
      <c r="F70" s="14" t="s">
        <v>2095</v>
      </c>
      <c r="G70" s="129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2143</v>
      </c>
      <c r="L70" s="130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2094</v>
      </c>
      <c r="F71" s="14" t="s">
        <v>2095</v>
      </c>
      <c r="G71" s="129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2144</v>
      </c>
      <c r="L71" s="130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2094</v>
      </c>
      <c r="F72" s="14" t="s">
        <v>2095</v>
      </c>
      <c r="G72" s="129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2145</v>
      </c>
      <c r="L72" s="130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2094</v>
      </c>
      <c r="F73" s="14" t="s">
        <v>2095</v>
      </c>
      <c r="G73" s="129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2146</v>
      </c>
      <c r="L73" s="130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2094</v>
      </c>
      <c r="F74" s="14" t="s">
        <v>2095</v>
      </c>
      <c r="G74" s="129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2147</v>
      </c>
      <c r="L74" s="130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2094</v>
      </c>
      <c r="F75" s="14" t="s">
        <v>2095</v>
      </c>
      <c r="G75" s="129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2148</v>
      </c>
      <c r="L75" s="130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2094</v>
      </c>
      <c r="F76" s="14" t="s">
        <v>2095</v>
      </c>
      <c r="G76" s="129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2149</v>
      </c>
      <c r="L76" s="130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2094</v>
      </c>
      <c r="F77" s="14" t="s">
        <v>2095</v>
      </c>
      <c r="G77" s="129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2150</v>
      </c>
      <c r="L77" s="130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2094</v>
      </c>
      <c r="F78" s="14" t="s">
        <v>2095</v>
      </c>
      <c r="H78" s="45" t="str">
        <f>Settings!$B$3&amp;".mit.eco2."&amp;$C$68&amp;".tot.e."&amp;$J$68</f>
        <v>egy.mit.eco2.cem.tot.e.2</v>
      </c>
      <c r="L78" s="131">
        <f t="shared" ref="L78:AE78" si="11">SUM(L69:L77)</f>
        <v>9.4893574461323063</v>
      </c>
      <c r="M78" s="131">
        <f t="shared" si="11"/>
        <v>7.892397868173477</v>
      </c>
      <c r="N78" s="131">
        <f t="shared" si="11"/>
        <v>8.974049898041585</v>
      </c>
      <c r="O78" s="131">
        <f t="shared" si="11"/>
        <v>9.6117389440758174</v>
      </c>
      <c r="P78" s="131">
        <f t="shared" si="11"/>
        <v>9.6255920185944621</v>
      </c>
      <c r="Q78" s="131">
        <f t="shared" si="11"/>
        <v>9.0746501749675428</v>
      </c>
      <c r="R78" s="131">
        <f t="shared" si="11"/>
        <v>8.7362574382654046</v>
      </c>
      <c r="S78" s="131">
        <f t="shared" si="11"/>
        <v>8.4490397368747985</v>
      </c>
      <c r="T78" s="131">
        <f t="shared" si="11"/>
        <v>8.1955178569750267</v>
      </c>
      <c r="U78" s="131">
        <f t="shared" si="11"/>
        <v>7.9814424709644749</v>
      </c>
      <c r="V78" s="131">
        <f t="shared" si="11"/>
        <v>7.7902867807190201</v>
      </c>
      <c r="W78" s="131">
        <f t="shared" si="11"/>
        <v>7.6314031195294163</v>
      </c>
      <c r="X78" s="131">
        <f t="shared" si="11"/>
        <v>7.5006570964300785</v>
      </c>
      <c r="Y78" s="131">
        <f t="shared" si="11"/>
        <v>7.3954239718464407</v>
      </c>
      <c r="Z78" s="131">
        <f t="shared" si="11"/>
        <v>7.3147393259951752</v>
      </c>
      <c r="AA78" s="131">
        <f t="shared" si="11"/>
        <v>7.2568985784252265</v>
      </c>
      <c r="AB78" s="131">
        <f t="shared" si="11"/>
        <v>7.2202035238785385</v>
      </c>
      <c r="AC78" s="131">
        <f t="shared" si="11"/>
        <v>7.2022011866219096</v>
      </c>
      <c r="AD78" s="131">
        <f t="shared" si="11"/>
        <v>7.2008394296116975</v>
      </c>
      <c r="AE78" s="131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2093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2094</v>
      </c>
      <c r="F81" s="14" t="s">
        <v>2095</v>
      </c>
      <c r="G81" s="129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2151</v>
      </c>
      <c r="L81" s="130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2094</v>
      </c>
      <c r="F82" s="14" t="s">
        <v>2095</v>
      </c>
      <c r="G82" s="129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2152</v>
      </c>
      <c r="L82" s="130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2094</v>
      </c>
      <c r="F83" s="14" t="s">
        <v>2095</v>
      </c>
      <c r="G83" s="129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2153</v>
      </c>
      <c r="L83" s="130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2094</v>
      </c>
      <c r="F84" s="14" t="s">
        <v>2095</v>
      </c>
      <c r="G84" s="129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2154</v>
      </c>
      <c r="L84" s="130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2094</v>
      </c>
      <c r="F85" s="14" t="s">
        <v>2095</v>
      </c>
      <c r="G85" s="129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2155</v>
      </c>
      <c r="L85" s="130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2094</v>
      </c>
      <c r="F86" s="14" t="s">
        <v>2095</v>
      </c>
      <c r="G86" s="129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2156</v>
      </c>
      <c r="L86" s="130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2094</v>
      </c>
      <c r="F87" s="14" t="s">
        <v>2095</v>
      </c>
      <c r="G87" s="129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2157</v>
      </c>
      <c r="L87" s="130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2094</v>
      </c>
      <c r="F88" s="14" t="s">
        <v>2095</v>
      </c>
      <c r="G88" s="129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2158</v>
      </c>
      <c r="L88" s="130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2094</v>
      </c>
      <c r="F89" s="14" t="s">
        <v>2095</v>
      </c>
      <c r="G89" s="129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2159</v>
      </c>
      <c r="L89" s="130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2094</v>
      </c>
      <c r="F90" s="14" t="s">
        <v>2095</v>
      </c>
      <c r="H90" s="45" t="str">
        <f>Settings!$B$3&amp;".mit.eco2."&amp;$C$80&amp;".tot.e."&amp;$J$80</f>
        <v>egy.mit.eco2.nfm.tot.e.2</v>
      </c>
      <c r="L90" s="131">
        <f t="shared" ref="L90:AE90" si="13">SUM(L81:L89)</f>
        <v>0</v>
      </c>
      <c r="M90" s="131">
        <f t="shared" si="13"/>
        <v>0</v>
      </c>
      <c r="N90" s="131">
        <f t="shared" si="13"/>
        <v>0</v>
      </c>
      <c r="O90" s="131">
        <f t="shared" si="13"/>
        <v>0</v>
      </c>
      <c r="P90" s="131">
        <f t="shared" si="13"/>
        <v>0</v>
      </c>
      <c r="Q90" s="131">
        <f t="shared" si="13"/>
        <v>0</v>
      </c>
      <c r="R90" s="131">
        <f t="shared" si="13"/>
        <v>0</v>
      </c>
      <c r="S90" s="131">
        <f t="shared" si="13"/>
        <v>0</v>
      </c>
      <c r="T90" s="131">
        <f t="shared" si="13"/>
        <v>0</v>
      </c>
      <c r="U90" s="131">
        <f t="shared" si="13"/>
        <v>0</v>
      </c>
      <c r="V90" s="131">
        <f t="shared" si="13"/>
        <v>0</v>
      </c>
      <c r="W90" s="131">
        <f t="shared" si="13"/>
        <v>0</v>
      </c>
      <c r="X90" s="131">
        <f t="shared" si="13"/>
        <v>0</v>
      </c>
      <c r="Y90" s="131">
        <f t="shared" si="13"/>
        <v>0</v>
      </c>
      <c r="Z90" s="131">
        <f t="shared" si="13"/>
        <v>0</v>
      </c>
      <c r="AA90" s="131">
        <f t="shared" si="13"/>
        <v>0</v>
      </c>
      <c r="AB90" s="131">
        <f t="shared" si="13"/>
        <v>0</v>
      </c>
      <c r="AC90" s="131">
        <f t="shared" si="13"/>
        <v>0</v>
      </c>
      <c r="AD90" s="131">
        <f t="shared" si="13"/>
        <v>0</v>
      </c>
      <c r="AE90" s="131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2093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2094</v>
      </c>
      <c r="F93" s="14" t="s">
        <v>2095</v>
      </c>
      <c r="G93" s="129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2160</v>
      </c>
      <c r="L93" s="130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2094</v>
      </c>
      <c r="F94" s="14" t="s">
        <v>2095</v>
      </c>
      <c r="G94" s="129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2161</v>
      </c>
      <c r="L94" s="130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2094</v>
      </c>
      <c r="F95" s="14" t="s">
        <v>2095</v>
      </c>
      <c r="G95" s="129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2162</v>
      </c>
      <c r="L95" s="130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2094</v>
      </c>
      <c r="F96" s="14" t="s">
        <v>2095</v>
      </c>
      <c r="G96" s="129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2163</v>
      </c>
      <c r="L96" s="130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2094</v>
      </c>
      <c r="F97" s="14" t="s">
        <v>2095</v>
      </c>
      <c r="G97" s="129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2164</v>
      </c>
      <c r="L97" s="130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2094</v>
      </c>
      <c r="F98" s="14" t="s">
        <v>2095</v>
      </c>
      <c r="G98" s="129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2165</v>
      </c>
      <c r="L98" s="130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2094</v>
      </c>
      <c r="F99" s="14" t="s">
        <v>2095</v>
      </c>
      <c r="G99" s="129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2166</v>
      </c>
      <c r="L99" s="130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2094</v>
      </c>
      <c r="F100" s="14" t="s">
        <v>2095</v>
      </c>
      <c r="G100" s="129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2167</v>
      </c>
      <c r="L100" s="130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2094</v>
      </c>
      <c r="F101" s="14" t="s">
        <v>2095</v>
      </c>
      <c r="G101" s="129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2168</v>
      </c>
      <c r="L101" s="130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2094</v>
      </c>
      <c r="F102" s="14" t="s">
        <v>2095</v>
      </c>
      <c r="H102" s="45" t="str">
        <f>Settings!$B$3&amp;".mit.eco2."&amp;$C$92&amp;".tot.e."&amp;$J$92</f>
        <v>egy.mit.eco2.mch.tot.e.2</v>
      </c>
      <c r="L102" s="131">
        <f t="shared" ref="L102:AE102" si="15">SUM(L93:L101)</f>
        <v>0</v>
      </c>
      <c r="M102" s="131">
        <f t="shared" si="15"/>
        <v>0</v>
      </c>
      <c r="N102" s="131">
        <f t="shared" si="15"/>
        <v>0</v>
      </c>
      <c r="O102" s="131">
        <f t="shared" si="15"/>
        <v>0</v>
      </c>
      <c r="P102" s="131">
        <f t="shared" si="15"/>
        <v>0</v>
      </c>
      <c r="Q102" s="131">
        <f t="shared" si="15"/>
        <v>0</v>
      </c>
      <c r="R102" s="131">
        <f t="shared" si="15"/>
        <v>0</v>
      </c>
      <c r="S102" s="131">
        <f t="shared" si="15"/>
        <v>0</v>
      </c>
      <c r="T102" s="131">
        <f t="shared" si="15"/>
        <v>0</v>
      </c>
      <c r="U102" s="131">
        <f t="shared" si="15"/>
        <v>0</v>
      </c>
      <c r="V102" s="131">
        <f t="shared" si="15"/>
        <v>0</v>
      </c>
      <c r="W102" s="131">
        <f t="shared" si="15"/>
        <v>0</v>
      </c>
      <c r="X102" s="131">
        <f t="shared" si="15"/>
        <v>0</v>
      </c>
      <c r="Y102" s="131">
        <f t="shared" si="15"/>
        <v>0</v>
      </c>
      <c r="Z102" s="131">
        <f t="shared" si="15"/>
        <v>0</v>
      </c>
      <c r="AA102" s="131">
        <f t="shared" si="15"/>
        <v>0</v>
      </c>
      <c r="AB102" s="131">
        <f t="shared" si="15"/>
        <v>0</v>
      </c>
      <c r="AC102" s="131">
        <f t="shared" si="15"/>
        <v>0</v>
      </c>
      <c r="AD102" s="131">
        <f t="shared" si="15"/>
        <v>0</v>
      </c>
      <c r="AE102" s="131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40.5976562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55.597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2200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2201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2202</v>
      </c>
      <c r="D5" s="6" t="s">
        <v>1504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1798</v>
      </c>
      <c r="C6" s="14"/>
      <c r="D6" s="15" t="s">
        <v>2203</v>
      </c>
      <c r="E6" s="16" t="s">
        <v>79</v>
      </c>
      <c r="F6" s="14" t="s">
        <v>1798</v>
      </c>
      <c r="G6" s="129" t="s">
        <v>1856</v>
      </c>
      <c r="H6" s="17"/>
      <c r="I6" t="s">
        <v>2204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1802</v>
      </c>
      <c r="C7" s="14"/>
      <c r="D7" s="15" t="s">
        <v>2205</v>
      </c>
      <c r="E7" s="16" t="s">
        <v>1414</v>
      </c>
      <c r="F7" s="14" t="s">
        <v>1802</v>
      </c>
      <c r="G7" s="129" t="s">
        <v>1857</v>
      </c>
      <c r="H7" s="17"/>
      <c r="I7" t="s">
        <v>2206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2207</v>
      </c>
      <c r="D9" s="6" t="s">
        <v>1504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1451</v>
      </c>
      <c r="C10" s="14" t="s">
        <v>43</v>
      </c>
      <c r="D10" s="15" t="s">
        <v>2208</v>
      </c>
      <c r="E10" s="16" t="s">
        <v>2209</v>
      </c>
      <c r="F10" s="14" t="s">
        <v>2207</v>
      </c>
      <c r="G10" s="17"/>
      <c r="H10" s="129" t="str">
        <f>Settings!$B$3&amp;".mit.obrbm.stl.drg.1"</f>
        <v>egy.mit.obrbm.stl.drg.1</v>
      </c>
      <c r="I10" t="s">
        <v>2210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1454</v>
      </c>
      <c r="C11" s="14" t="s">
        <v>43</v>
      </c>
      <c r="D11" s="15" t="s">
        <v>2211</v>
      </c>
      <c r="E11" s="16" t="s">
        <v>2209</v>
      </c>
      <c r="F11" s="14" t="s">
        <v>2207</v>
      </c>
      <c r="G11" s="17"/>
      <c r="H11" s="129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1457</v>
      </c>
      <c r="C12" s="14" t="s">
        <v>43</v>
      </c>
      <c r="D12" s="15" t="s">
        <v>2212</v>
      </c>
      <c r="E12" s="16" t="s">
        <v>2209</v>
      </c>
      <c r="F12" s="14" t="s">
        <v>2207</v>
      </c>
      <c r="G12" s="17"/>
      <c r="H12" s="129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1460</v>
      </c>
      <c r="C13" s="14" t="s">
        <v>113</v>
      </c>
      <c r="D13" s="15" t="s">
        <v>2213</v>
      </c>
      <c r="E13" s="16" t="s">
        <v>2209</v>
      </c>
      <c r="F13" s="14" t="s">
        <v>2207</v>
      </c>
      <c r="G13" s="17"/>
      <c r="H13" s="129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1463</v>
      </c>
      <c r="C14" s="14" t="s">
        <v>117</v>
      </c>
      <c r="D14" s="15" t="s">
        <v>2214</v>
      </c>
      <c r="E14" s="16" t="s">
        <v>2209</v>
      </c>
      <c r="F14" s="14" t="s">
        <v>2207</v>
      </c>
      <c r="G14" s="17"/>
      <c r="H14" s="129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1466</v>
      </c>
      <c r="C15" s="14" t="s">
        <v>117</v>
      </c>
      <c r="D15" s="15" t="s">
        <v>2215</v>
      </c>
      <c r="E15" s="16" t="s">
        <v>2209</v>
      </c>
      <c r="F15" s="14" t="s">
        <v>2207</v>
      </c>
      <c r="G15" s="17"/>
      <c r="H15" s="129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1469</v>
      </c>
      <c r="C16" s="14" t="s">
        <v>117</v>
      </c>
      <c r="D16" s="15" t="s">
        <v>2216</v>
      </c>
      <c r="E16" s="16" t="s">
        <v>2209</v>
      </c>
      <c r="F16" s="14" t="s">
        <v>2207</v>
      </c>
      <c r="G16" s="17"/>
      <c r="H16" s="129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1472</v>
      </c>
      <c r="C17" s="14" t="s">
        <v>115</v>
      </c>
      <c r="D17" s="15" t="s">
        <v>2217</v>
      </c>
      <c r="E17" s="16" t="s">
        <v>2209</v>
      </c>
      <c r="F17" s="14" t="s">
        <v>2207</v>
      </c>
      <c r="G17" s="17"/>
      <c r="H17" s="129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2218</v>
      </c>
      <c r="D19" s="6" t="s">
        <v>1504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1451</v>
      </c>
      <c r="C20" s="14" t="s">
        <v>43</v>
      </c>
      <c r="D20" s="15" t="s">
        <v>2219</v>
      </c>
      <c r="E20" s="16" t="s">
        <v>2220</v>
      </c>
      <c r="F20" s="14" t="s">
        <v>2218</v>
      </c>
      <c r="G20" s="17"/>
      <c r="H20" s="129" t="str">
        <f>Settings!$B$3&amp;".mit.ccpt.stl.drg.1"</f>
        <v>egy.mit.ccpt.stl.drg.1</v>
      </c>
      <c r="I20" t="s">
        <v>2221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1454</v>
      </c>
      <c r="C21" s="14" t="s">
        <v>43</v>
      </c>
      <c r="D21" s="15" t="s">
        <v>2222</v>
      </c>
      <c r="E21" s="16" t="s">
        <v>2220</v>
      </c>
      <c r="F21" s="14" t="s">
        <v>2218</v>
      </c>
      <c r="G21" s="17"/>
      <c r="H21" s="129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1457</v>
      </c>
      <c r="C22" s="14" t="s">
        <v>43</v>
      </c>
      <c r="D22" s="15" t="s">
        <v>2223</v>
      </c>
      <c r="E22" s="16" t="s">
        <v>2220</v>
      </c>
      <c r="F22" s="14" t="s">
        <v>2218</v>
      </c>
      <c r="G22" s="17"/>
      <c r="H22" s="129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1460</v>
      </c>
      <c r="C23" s="14" t="s">
        <v>113</v>
      </c>
      <c r="D23" s="15" t="s">
        <v>2224</v>
      </c>
      <c r="E23" s="16" t="s">
        <v>2220</v>
      </c>
      <c r="F23" s="14" t="s">
        <v>2218</v>
      </c>
      <c r="G23" s="17"/>
      <c r="H23" s="129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1463</v>
      </c>
      <c r="C24" s="14" t="s">
        <v>117</v>
      </c>
      <c r="D24" s="15" t="s">
        <v>2225</v>
      </c>
      <c r="E24" s="16" t="s">
        <v>2220</v>
      </c>
      <c r="F24" s="14" t="s">
        <v>2218</v>
      </c>
      <c r="G24" s="17"/>
      <c r="H24" s="129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1466</v>
      </c>
      <c r="C25" s="14" t="s">
        <v>117</v>
      </c>
      <c r="D25" s="15" t="s">
        <v>2226</v>
      </c>
      <c r="E25" s="16" t="s">
        <v>2220</v>
      </c>
      <c r="F25" s="14" t="s">
        <v>2218</v>
      </c>
      <c r="G25" s="17"/>
      <c r="H25" s="129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1469</v>
      </c>
      <c r="C26" s="14" t="s">
        <v>117</v>
      </c>
      <c r="D26" s="15" t="s">
        <v>2227</v>
      </c>
      <c r="E26" s="16" t="s">
        <v>2220</v>
      </c>
      <c r="F26" s="14" t="s">
        <v>2218</v>
      </c>
      <c r="G26" s="17"/>
      <c r="H26" s="129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1472</v>
      </c>
      <c r="C27" s="14" t="s">
        <v>115</v>
      </c>
      <c r="D27" s="15" t="s">
        <v>2228</v>
      </c>
      <c r="E27" s="16" t="s">
        <v>2220</v>
      </c>
      <c r="F27" s="14" t="s">
        <v>2218</v>
      </c>
      <c r="G27" s="17"/>
      <c r="H27" s="129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2229</v>
      </c>
      <c r="D29" s="6" t="s">
        <v>1504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1451</v>
      </c>
      <c r="C30" s="14" t="s">
        <v>43</v>
      </c>
      <c r="D30" s="15" t="s">
        <v>2230</v>
      </c>
      <c r="E30" s="16" t="s">
        <v>2220</v>
      </c>
      <c r="F30" s="14" t="s">
        <v>2229</v>
      </c>
      <c r="G30" s="17"/>
      <c r="H30" s="129" t="str">
        <f>Settings!$B$3&amp;".mit.obrpu.stl.drg.1"</f>
        <v>egy.mit.obrpu.stl.drg.1</v>
      </c>
      <c r="I30" t="s">
        <v>2231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1454</v>
      </c>
      <c r="C31" s="14" t="s">
        <v>43</v>
      </c>
      <c r="D31" s="15" t="s">
        <v>2232</v>
      </c>
      <c r="E31" s="16" t="s">
        <v>2220</v>
      </c>
      <c r="F31" s="14" t="s">
        <v>2229</v>
      </c>
      <c r="G31" s="17"/>
      <c r="H31" s="129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1457</v>
      </c>
      <c r="C32" s="14" t="s">
        <v>43</v>
      </c>
      <c r="D32" s="15" t="s">
        <v>2233</v>
      </c>
      <c r="E32" s="16" t="s">
        <v>2220</v>
      </c>
      <c r="F32" s="14" t="s">
        <v>2229</v>
      </c>
      <c r="G32" s="17"/>
      <c r="H32" s="129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1460</v>
      </c>
      <c r="C33" s="14" t="s">
        <v>113</v>
      </c>
      <c r="D33" s="15" t="s">
        <v>2234</v>
      </c>
      <c r="E33" s="16" t="s">
        <v>2220</v>
      </c>
      <c r="F33" s="14" t="s">
        <v>2229</v>
      </c>
      <c r="G33" s="17"/>
      <c r="H33" s="129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1463</v>
      </c>
      <c r="C34" s="14" t="s">
        <v>117</v>
      </c>
      <c r="D34" s="15" t="s">
        <v>2235</v>
      </c>
      <c r="E34" s="16" t="s">
        <v>2220</v>
      </c>
      <c r="F34" s="14" t="s">
        <v>2229</v>
      </c>
      <c r="G34" s="17"/>
      <c r="H34" s="129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1466</v>
      </c>
      <c r="C35" s="14" t="s">
        <v>117</v>
      </c>
      <c r="D35" s="15" t="s">
        <v>2236</v>
      </c>
      <c r="E35" s="16" t="s">
        <v>2220</v>
      </c>
      <c r="F35" s="14" t="s">
        <v>2229</v>
      </c>
      <c r="G35" s="17"/>
      <c r="H35" s="129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1469</v>
      </c>
      <c r="C36" s="14" t="s">
        <v>117</v>
      </c>
      <c r="D36" s="15" t="s">
        <v>2237</v>
      </c>
      <c r="E36" s="16" t="s">
        <v>2220</v>
      </c>
      <c r="F36" s="14" t="s">
        <v>2229</v>
      </c>
      <c r="G36" s="17"/>
      <c r="H36" s="129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1472</v>
      </c>
      <c r="C37" s="14" t="s">
        <v>115</v>
      </c>
      <c r="D37" s="15" t="s">
        <v>2238</v>
      </c>
      <c r="E37" s="16" t="s">
        <v>2220</v>
      </c>
      <c r="F37" s="14" t="s">
        <v>2229</v>
      </c>
      <c r="G37" s="17"/>
      <c r="H37" s="129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2239</v>
      </c>
      <c r="D39" s="6" t="s">
        <v>1504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1451</v>
      </c>
      <c r="C40" s="14" t="s">
        <v>43</v>
      </c>
      <c r="D40" s="15" t="s">
        <v>2240</v>
      </c>
      <c r="E40" s="16" t="s">
        <v>2220</v>
      </c>
      <c r="F40" s="14" t="s">
        <v>2239</v>
      </c>
      <c r="G40" s="17"/>
      <c r="H40" s="129" t="str">
        <f>Settings!$B$3&amp;".mit.obrpt.stl.drg.1"</f>
        <v>egy.mit.obrpt.stl.drg.1</v>
      </c>
      <c r="I40" t="s">
        <v>2241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1454</v>
      </c>
      <c r="C41" s="14" t="s">
        <v>43</v>
      </c>
      <c r="D41" s="15" t="s">
        <v>2242</v>
      </c>
      <c r="E41" s="16" t="s">
        <v>2220</v>
      </c>
      <c r="F41" s="14" t="s">
        <v>2239</v>
      </c>
      <c r="G41" s="17"/>
      <c r="H41" s="129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1457</v>
      </c>
      <c r="C42" s="14" t="s">
        <v>43</v>
      </c>
      <c r="D42" s="15" t="s">
        <v>2243</v>
      </c>
      <c r="E42" s="16" t="s">
        <v>2220</v>
      </c>
      <c r="F42" s="14" t="s">
        <v>2239</v>
      </c>
      <c r="G42" s="17"/>
      <c r="H42" s="129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1460</v>
      </c>
      <c r="C43" s="14" t="s">
        <v>113</v>
      </c>
      <c r="D43" s="15" t="s">
        <v>2244</v>
      </c>
      <c r="E43" s="16" t="s">
        <v>2220</v>
      </c>
      <c r="F43" s="14" t="s">
        <v>2239</v>
      </c>
      <c r="G43" s="17"/>
      <c r="H43" s="129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1463</v>
      </c>
      <c r="C44" s="14" t="s">
        <v>117</v>
      </c>
      <c r="D44" s="15" t="s">
        <v>2245</v>
      </c>
      <c r="E44" s="16" t="s">
        <v>2220</v>
      </c>
      <c r="F44" s="14" t="s">
        <v>2239</v>
      </c>
      <c r="G44" s="17"/>
      <c r="H44" s="129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1466</v>
      </c>
      <c r="C45" s="14" t="s">
        <v>117</v>
      </c>
      <c r="D45" s="15" t="s">
        <v>2246</v>
      </c>
      <c r="E45" s="16" t="s">
        <v>2220</v>
      </c>
      <c r="F45" s="14" t="s">
        <v>2239</v>
      </c>
      <c r="G45" s="17"/>
      <c r="H45" s="129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1469</v>
      </c>
      <c r="C46" s="14" t="s">
        <v>117</v>
      </c>
      <c r="D46" s="15" t="s">
        <v>2247</v>
      </c>
      <c r="E46" s="16" t="s">
        <v>2220</v>
      </c>
      <c r="F46" s="14" t="s">
        <v>2239</v>
      </c>
      <c r="G46" s="17"/>
      <c r="H46" s="129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1472</v>
      </c>
      <c r="C47" s="14" t="s">
        <v>115</v>
      </c>
      <c r="D47" s="15" t="s">
        <v>2248</v>
      </c>
      <c r="E47" s="16" t="s">
        <v>2220</v>
      </c>
      <c r="F47" s="14" t="s">
        <v>2239</v>
      </c>
      <c r="G47" s="17"/>
      <c r="H47" s="129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2249</v>
      </c>
      <c r="D49" s="6" t="s">
        <v>1504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1451</v>
      </c>
      <c r="C50" s="14" t="s">
        <v>43</v>
      </c>
      <c r="D50" s="15" t="s">
        <v>2250</v>
      </c>
      <c r="E50" s="16" t="s">
        <v>2220</v>
      </c>
      <c r="F50" s="14" t="s">
        <v>2249</v>
      </c>
      <c r="G50" s="17"/>
      <c r="H50" s="129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1454</v>
      </c>
      <c r="C51" s="14" t="s">
        <v>43</v>
      </c>
      <c r="D51" s="15" t="s">
        <v>2251</v>
      </c>
      <c r="E51" s="16" t="s">
        <v>2220</v>
      </c>
      <c r="F51" s="14" t="s">
        <v>2249</v>
      </c>
      <c r="G51" s="17"/>
      <c r="H51" s="129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1457</v>
      </c>
      <c r="C52" s="14" t="s">
        <v>43</v>
      </c>
      <c r="D52" s="15" t="s">
        <v>2252</v>
      </c>
      <c r="E52" s="16" t="s">
        <v>2220</v>
      </c>
      <c r="F52" s="14" t="s">
        <v>2249</v>
      </c>
      <c r="G52" s="17"/>
      <c r="H52" s="129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1460</v>
      </c>
      <c r="C53" s="14" t="s">
        <v>113</v>
      </c>
      <c r="D53" s="15" t="s">
        <v>2253</v>
      </c>
      <c r="E53" s="16" t="s">
        <v>2220</v>
      </c>
      <c r="F53" s="14" t="s">
        <v>2249</v>
      </c>
      <c r="G53" s="17"/>
      <c r="H53" s="129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1463</v>
      </c>
      <c r="C54" s="14" t="s">
        <v>117</v>
      </c>
      <c r="D54" s="15" t="s">
        <v>2254</v>
      </c>
      <c r="E54" s="16" t="s">
        <v>2220</v>
      </c>
      <c r="F54" s="14" t="s">
        <v>2249</v>
      </c>
      <c r="G54" s="17"/>
      <c r="H54" s="129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1466</v>
      </c>
      <c r="C55" s="14" t="s">
        <v>117</v>
      </c>
      <c r="D55" s="15" t="s">
        <v>2255</v>
      </c>
      <c r="E55" s="16" t="s">
        <v>2220</v>
      </c>
      <c r="F55" s="14" t="s">
        <v>2249</v>
      </c>
      <c r="G55" s="17"/>
      <c r="H55" s="129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1469</v>
      </c>
      <c r="C56" s="14" t="s">
        <v>117</v>
      </c>
      <c r="D56" s="15" t="s">
        <v>2256</v>
      </c>
      <c r="E56" s="16" t="s">
        <v>2220</v>
      </c>
      <c r="F56" s="14" t="s">
        <v>2249</v>
      </c>
      <c r="G56" s="17"/>
      <c r="H56" s="129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1472</v>
      </c>
      <c r="C57" s="14" t="s">
        <v>115</v>
      </c>
      <c r="D57" s="15" t="s">
        <v>2257</v>
      </c>
      <c r="E57" s="16" t="s">
        <v>2220</v>
      </c>
      <c r="F57" s="14" t="s">
        <v>2249</v>
      </c>
      <c r="G57" s="17"/>
      <c r="H57" s="129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2258</v>
      </c>
      <c r="D59" s="6" t="s">
        <v>1504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1451</v>
      </c>
      <c r="C60" s="14" t="s">
        <v>43</v>
      </c>
      <c r="D60" s="15" t="s">
        <v>2259</v>
      </c>
      <c r="E60" s="16" t="s">
        <v>79</v>
      </c>
      <c r="F60" s="14" t="s">
        <v>2258</v>
      </c>
      <c r="G60" s="17"/>
      <c r="H60" s="129" t="str">
        <f>Settings!$B$3&amp;".mit.ppin.stl.drg.1"</f>
        <v>egy.mit.ppin.stl.drg.1</v>
      </c>
      <c r="I60" t="s">
        <v>2260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1454</v>
      </c>
      <c r="C61" s="14" t="s">
        <v>43</v>
      </c>
      <c r="D61" s="15" t="s">
        <v>2261</v>
      </c>
      <c r="E61" s="16" t="s">
        <v>79</v>
      </c>
      <c r="F61" s="14" t="s">
        <v>2258</v>
      </c>
      <c r="G61" s="17"/>
      <c r="H61" s="129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1457</v>
      </c>
      <c r="C62" s="14" t="s">
        <v>43</v>
      </c>
      <c r="D62" s="15" t="s">
        <v>2262</v>
      </c>
      <c r="E62" s="16" t="s">
        <v>79</v>
      </c>
      <c r="F62" s="14" t="s">
        <v>2258</v>
      </c>
      <c r="G62" s="17"/>
      <c r="H62" s="129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1460</v>
      </c>
      <c r="C63" s="14" t="s">
        <v>113</v>
      </c>
      <c r="D63" s="15" t="s">
        <v>2263</v>
      </c>
      <c r="E63" s="16" t="s">
        <v>79</v>
      </c>
      <c r="F63" s="14" t="s">
        <v>2258</v>
      </c>
      <c r="G63" s="17"/>
      <c r="H63" s="129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1463</v>
      </c>
      <c r="C64" s="14" t="s">
        <v>117</v>
      </c>
      <c r="D64" s="15" t="s">
        <v>2264</v>
      </c>
      <c r="E64" s="16" t="s">
        <v>79</v>
      </c>
      <c r="F64" s="14" t="s">
        <v>2258</v>
      </c>
      <c r="G64" s="17"/>
      <c r="H64" s="129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1466</v>
      </c>
      <c r="C65" s="14" t="s">
        <v>117</v>
      </c>
      <c r="D65" s="15" t="s">
        <v>2265</v>
      </c>
      <c r="E65" s="16" t="s">
        <v>79</v>
      </c>
      <c r="F65" s="14" t="s">
        <v>2258</v>
      </c>
      <c r="G65" s="17"/>
      <c r="H65" s="129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1469</v>
      </c>
      <c r="C66" s="14" t="s">
        <v>117</v>
      </c>
      <c r="D66" s="15" t="s">
        <v>2266</v>
      </c>
      <c r="E66" s="16" t="s">
        <v>79</v>
      </c>
      <c r="F66" s="14" t="s">
        <v>2258</v>
      </c>
      <c r="G66" s="17"/>
      <c r="H66" s="129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1472</v>
      </c>
      <c r="C67" s="14" t="s">
        <v>115</v>
      </c>
      <c r="D67" s="15" t="s">
        <v>2267</v>
      </c>
      <c r="E67" s="16" t="s">
        <v>79</v>
      </c>
      <c r="F67" s="14" t="s">
        <v>2258</v>
      </c>
      <c r="G67" s="17"/>
      <c r="H67" s="129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2268</v>
      </c>
      <c r="D69" s="6" t="s">
        <v>1504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1451</v>
      </c>
      <c r="C70" s="14" t="s">
        <v>43</v>
      </c>
      <c r="D70" s="15" t="s">
        <v>2269</v>
      </c>
      <c r="E70" s="16" t="s">
        <v>1870</v>
      </c>
      <c r="F70" s="14" t="s">
        <v>2268</v>
      </c>
      <c r="G70" s="17"/>
      <c r="H70" s="129" t="str">
        <f>Settings!$B$3&amp;".mit.obr.stl.drg.1"</f>
        <v>egy.mit.obr.stl.drg.1</v>
      </c>
      <c r="I70" t="s">
        <v>2270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1454</v>
      </c>
      <c r="C71" s="14" t="s">
        <v>43</v>
      </c>
      <c r="D71" s="15" t="s">
        <v>2271</v>
      </c>
      <c r="E71" s="16" t="s">
        <v>1870</v>
      </c>
      <c r="F71" s="14" t="s">
        <v>2268</v>
      </c>
      <c r="G71" s="17"/>
      <c r="H71" s="129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1457</v>
      </c>
      <c r="C72" s="14" t="s">
        <v>43</v>
      </c>
      <c r="D72" s="15" t="s">
        <v>2272</v>
      </c>
      <c r="E72" s="16" t="s">
        <v>1870</v>
      </c>
      <c r="F72" s="14" t="s">
        <v>2268</v>
      </c>
      <c r="G72" s="17"/>
      <c r="H72" s="129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1460</v>
      </c>
      <c r="C73" s="14" t="s">
        <v>113</v>
      </c>
      <c r="D73" s="15" t="s">
        <v>2273</v>
      </c>
      <c r="E73" s="16" t="s">
        <v>1870</v>
      </c>
      <c r="F73" s="14" t="s">
        <v>2268</v>
      </c>
      <c r="G73" s="17"/>
      <c r="H73" s="129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1463</v>
      </c>
      <c r="C74" s="14" t="s">
        <v>117</v>
      </c>
      <c r="D74" s="15" t="s">
        <v>2274</v>
      </c>
      <c r="E74" s="16" t="s">
        <v>1870</v>
      </c>
      <c r="F74" s="14" t="s">
        <v>2268</v>
      </c>
      <c r="G74" s="17"/>
      <c r="H74" s="129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1466</v>
      </c>
      <c r="C75" s="14" t="s">
        <v>117</v>
      </c>
      <c r="D75" s="15" t="s">
        <v>2275</v>
      </c>
      <c r="E75" s="16" t="s">
        <v>1870</v>
      </c>
      <c r="F75" s="14" t="s">
        <v>2268</v>
      </c>
      <c r="G75" s="17"/>
      <c r="H75" s="129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1469</v>
      </c>
      <c r="C76" s="14" t="s">
        <v>117</v>
      </c>
      <c r="D76" s="15" t="s">
        <v>2276</v>
      </c>
      <c r="E76" s="16" t="s">
        <v>1870</v>
      </c>
      <c r="F76" s="14" t="s">
        <v>2268</v>
      </c>
      <c r="G76" s="17"/>
      <c r="H76" s="129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1472</v>
      </c>
      <c r="C77" s="14" t="s">
        <v>115</v>
      </c>
      <c r="D77" s="15" t="s">
        <v>2277</v>
      </c>
      <c r="E77" s="16" t="s">
        <v>1870</v>
      </c>
      <c r="F77" s="14" t="s">
        <v>2268</v>
      </c>
      <c r="G77" s="17"/>
      <c r="H77" s="129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2278</v>
      </c>
      <c r="E78" s="16" t="s">
        <v>1870</v>
      </c>
      <c r="F78" s="14" t="s">
        <v>2268</v>
      </c>
      <c r="H78" s="129" t="str">
        <f>Settings!$B$3&amp;".mit.obr.cbam.tot.1"</f>
        <v>egy.mit.obr.cbam.tot.1</v>
      </c>
      <c r="L78" s="131">
        <f t="shared" ref="L78:AE78" si="24">SUM(L70:L77)</f>
        <v>0</v>
      </c>
      <c r="M78" s="131">
        <f t="shared" si="24"/>
        <v>0</v>
      </c>
      <c r="N78" s="131">
        <f t="shared" si="24"/>
        <v>0</v>
      </c>
      <c r="O78" s="131">
        <f t="shared" si="24"/>
        <v>0</v>
      </c>
      <c r="P78" s="131">
        <f t="shared" si="24"/>
        <v>0</v>
      </c>
      <c r="Q78" s="131">
        <f t="shared" si="24"/>
        <v>0</v>
      </c>
      <c r="R78" s="131">
        <f t="shared" si="24"/>
        <v>0</v>
      </c>
      <c r="S78" s="131">
        <f t="shared" si="24"/>
        <v>0</v>
      </c>
      <c r="T78" s="131">
        <f t="shared" si="24"/>
        <v>0</v>
      </c>
      <c r="U78" s="131">
        <f t="shared" si="24"/>
        <v>0</v>
      </c>
      <c r="V78" s="131">
        <f t="shared" si="24"/>
        <v>0</v>
      </c>
      <c r="W78" s="131">
        <f t="shared" si="24"/>
        <v>0</v>
      </c>
      <c r="X78" s="131">
        <f t="shared" si="24"/>
        <v>0</v>
      </c>
      <c r="Y78" s="131">
        <f t="shared" si="24"/>
        <v>0</v>
      </c>
      <c r="Z78" s="131">
        <f t="shared" si="24"/>
        <v>0</v>
      </c>
      <c r="AA78" s="131">
        <f t="shared" si="24"/>
        <v>0</v>
      </c>
      <c r="AB78" s="131">
        <f t="shared" si="24"/>
        <v>0</v>
      </c>
      <c r="AC78" s="131">
        <f t="shared" si="24"/>
        <v>0</v>
      </c>
      <c r="AD78" s="131">
        <f t="shared" si="24"/>
        <v>0</v>
      </c>
      <c r="AE78" s="131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1504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2279</v>
      </c>
      <c r="E81" s="16" t="s">
        <v>1870</v>
      </c>
      <c r="F81" s="14" t="s">
        <v>2268</v>
      </c>
      <c r="H81" s="129" t="str">
        <f>Settings!$B$3&amp;".mit.obr.ind.irn.1"</f>
        <v>egy.mit.obr.ind.irn.1</v>
      </c>
      <c r="I81" t="s">
        <v>2280</v>
      </c>
      <c r="L81" s="131">
        <f t="shared" ref="L81:AE81" si="25">L$70+L$71+L$72</f>
        <v>0</v>
      </c>
      <c r="M81" s="131">
        <f t="shared" si="25"/>
        <v>0</v>
      </c>
      <c r="N81" s="131">
        <f t="shared" si="25"/>
        <v>0</v>
      </c>
      <c r="O81" s="131">
        <f t="shared" si="25"/>
        <v>0</v>
      </c>
      <c r="P81" s="131">
        <f t="shared" si="25"/>
        <v>0</v>
      </c>
      <c r="Q81" s="131">
        <f t="shared" si="25"/>
        <v>0</v>
      </c>
      <c r="R81" s="131">
        <f t="shared" si="25"/>
        <v>0</v>
      </c>
      <c r="S81" s="131">
        <f t="shared" si="25"/>
        <v>0</v>
      </c>
      <c r="T81" s="131">
        <f t="shared" si="25"/>
        <v>0</v>
      </c>
      <c r="U81" s="131">
        <f t="shared" si="25"/>
        <v>0</v>
      </c>
      <c r="V81" s="131">
        <f t="shared" si="25"/>
        <v>0</v>
      </c>
      <c r="W81" s="131">
        <f t="shared" si="25"/>
        <v>0</v>
      </c>
      <c r="X81" s="131">
        <f t="shared" si="25"/>
        <v>0</v>
      </c>
      <c r="Y81" s="131">
        <f t="shared" si="25"/>
        <v>0</v>
      </c>
      <c r="Z81" s="131">
        <f t="shared" si="25"/>
        <v>0</v>
      </c>
      <c r="AA81" s="131">
        <f t="shared" si="25"/>
        <v>0</v>
      </c>
      <c r="AB81" s="131">
        <f t="shared" si="25"/>
        <v>0</v>
      </c>
      <c r="AC81" s="131">
        <f t="shared" si="25"/>
        <v>0</v>
      </c>
      <c r="AD81" s="131">
        <f t="shared" si="25"/>
        <v>0</v>
      </c>
      <c r="AE81" s="131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2281</v>
      </c>
      <c r="E82" s="16" t="s">
        <v>1870</v>
      </c>
      <c r="F82" s="14" t="s">
        <v>2282</v>
      </c>
      <c r="H82" s="129" t="str">
        <f>Settings!$B$3&amp;".mit.ccf.ind.irn.1"</f>
        <v>egy.mit.ccf.ind.irn.1</v>
      </c>
      <c r="L82" s="131">
        <f>L$20*Mitigation_Industry!L$276/1000+L$21*Mitigation_Industry!L$277/1000+L$22*Mitigation_Industry!L$278/1000</f>
        <v>0</v>
      </c>
      <c r="M82" s="131">
        <f>M$20*Mitigation_Industry!M$276/1000+M$21*Mitigation_Industry!M$277/1000+M$22*Mitigation_Industry!M$278/1000</f>
        <v>0</v>
      </c>
      <c r="N82" s="131">
        <f>N$20*Mitigation_Industry!N$276/1000+N$21*Mitigation_Industry!N$277/1000+N$22*Mitigation_Industry!N$278/1000</f>
        <v>0</v>
      </c>
      <c r="O82" s="131">
        <f>O$20*Mitigation_Industry!O$276/1000+O$21*Mitigation_Industry!O$277/1000+O$22*Mitigation_Industry!O$278/1000</f>
        <v>0</v>
      </c>
      <c r="P82" s="131">
        <f>P$20*Mitigation_Industry!P$276/1000+P$21*Mitigation_Industry!P$277/1000+P$22*Mitigation_Industry!P$278/1000</f>
        <v>0</v>
      </c>
      <c r="Q82" s="131">
        <f>Q$20*Mitigation_Industry!Q$276/1000+Q$21*Mitigation_Industry!Q$277/1000+Q$22*Mitigation_Industry!Q$278/1000</f>
        <v>0</v>
      </c>
      <c r="R82" s="131">
        <f>R$20*Mitigation_Industry!R$276/1000+R$21*Mitigation_Industry!R$277/1000+R$22*Mitigation_Industry!R$278/1000</f>
        <v>0</v>
      </c>
      <c r="S82" s="131">
        <f>S$20*Mitigation_Industry!S$276/1000+S$21*Mitigation_Industry!S$277/1000+S$22*Mitigation_Industry!S$278/1000</f>
        <v>0</v>
      </c>
      <c r="T82" s="131">
        <f>T$20*Mitigation_Industry!T$276/1000+T$21*Mitigation_Industry!T$277/1000+T$22*Mitigation_Industry!T$278/1000</f>
        <v>0</v>
      </c>
      <c r="U82" s="131">
        <f>U$20*Mitigation_Industry!U$276/1000+U$21*Mitigation_Industry!U$277/1000+U$22*Mitigation_Industry!U$278/1000</f>
        <v>0</v>
      </c>
      <c r="V82" s="131">
        <f>V$20*Mitigation_Industry!V$276/1000+V$21*Mitigation_Industry!V$277/1000+V$22*Mitigation_Industry!V$278/1000</f>
        <v>0</v>
      </c>
      <c r="W82" s="131">
        <f>W$20*Mitigation_Industry!W$276/1000+W$21*Mitigation_Industry!W$277/1000+W$22*Mitigation_Industry!W$278/1000</f>
        <v>0</v>
      </c>
      <c r="X82" s="131">
        <f>X$20*Mitigation_Industry!X$276/1000+X$21*Mitigation_Industry!X$277/1000+X$22*Mitigation_Industry!X$278/1000</f>
        <v>0</v>
      </c>
      <c r="Y82" s="131">
        <f>Y$20*Mitigation_Industry!Y$276/1000+Y$21*Mitigation_Industry!Y$277/1000+Y$22*Mitigation_Industry!Y$278/1000</f>
        <v>0</v>
      </c>
      <c r="Z82" s="131">
        <f>Z$20*Mitigation_Industry!Z$276/1000+Z$21*Mitigation_Industry!Z$277/1000+Z$22*Mitigation_Industry!Z$278/1000</f>
        <v>0</v>
      </c>
      <c r="AA82" s="131">
        <f>AA$20*Mitigation_Industry!AA$276/1000+AA$21*Mitigation_Industry!AA$277/1000+AA$22*Mitigation_Industry!AA$278/1000</f>
        <v>0</v>
      </c>
      <c r="AB82" s="131">
        <f>AB$20*Mitigation_Industry!AB$276/1000+AB$21*Mitigation_Industry!AB$277/1000+AB$22*Mitigation_Industry!AB$278/1000</f>
        <v>0</v>
      </c>
      <c r="AC82" s="131">
        <f>AC$20*Mitigation_Industry!AC$276/1000+AC$21*Mitigation_Industry!AC$277/1000+AC$22*Mitigation_Industry!AC$278/1000</f>
        <v>0</v>
      </c>
      <c r="AD82" s="131">
        <f>AD$20*Mitigation_Industry!AD$276/1000+AD$21*Mitigation_Industry!AD$277/1000+AD$22*Mitigation_Industry!AD$278/1000</f>
        <v>0</v>
      </c>
      <c r="AE82" s="131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2283</v>
      </c>
      <c r="E83" s="16" t="s">
        <v>79</v>
      </c>
      <c r="F83" s="14" t="s">
        <v>2284</v>
      </c>
      <c r="H83" s="129" t="str">
        <f>Settings!$B$3&amp;".mit.rsh.ind.irn.1"</f>
        <v>egy.mit.rsh.ind.irn.1</v>
      </c>
      <c r="I83" t="s">
        <v>2285</v>
      </c>
      <c r="L83" s="131">
        <f t="shared" ref="L83:AE83" si="26">IF(L$82&lt;=0,0,MIN(1,L$81/L$82))</f>
        <v>0</v>
      </c>
      <c r="M83" s="131">
        <f t="shared" si="26"/>
        <v>0</v>
      </c>
      <c r="N83" s="131">
        <f t="shared" si="26"/>
        <v>0</v>
      </c>
      <c r="O83" s="131">
        <f t="shared" si="26"/>
        <v>0</v>
      </c>
      <c r="P83" s="131">
        <f t="shared" si="26"/>
        <v>0</v>
      </c>
      <c r="Q83" s="131">
        <f t="shared" si="26"/>
        <v>0</v>
      </c>
      <c r="R83" s="131">
        <f t="shared" si="26"/>
        <v>0</v>
      </c>
      <c r="S83" s="131">
        <f t="shared" si="26"/>
        <v>0</v>
      </c>
      <c r="T83" s="131">
        <f t="shared" si="26"/>
        <v>0</v>
      </c>
      <c r="U83" s="131">
        <f t="shared" si="26"/>
        <v>0</v>
      </c>
      <c r="V83" s="131">
        <f t="shared" si="26"/>
        <v>0</v>
      </c>
      <c r="W83" s="131">
        <f t="shared" si="26"/>
        <v>0</v>
      </c>
      <c r="X83" s="131">
        <f t="shared" si="26"/>
        <v>0</v>
      </c>
      <c r="Y83" s="131">
        <f t="shared" si="26"/>
        <v>0</v>
      </c>
      <c r="Z83" s="131">
        <f t="shared" si="26"/>
        <v>0</v>
      </c>
      <c r="AA83" s="131">
        <f t="shared" si="26"/>
        <v>0</v>
      </c>
      <c r="AB83" s="131">
        <f t="shared" si="26"/>
        <v>0</v>
      </c>
      <c r="AC83" s="131">
        <f t="shared" si="26"/>
        <v>0</v>
      </c>
      <c r="AD83" s="131">
        <f t="shared" si="26"/>
        <v>0</v>
      </c>
      <c r="AE83" s="131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2286</v>
      </c>
      <c r="E84" s="16" t="s">
        <v>51</v>
      </c>
      <c r="F84" s="14" t="s">
        <v>2287</v>
      </c>
      <c r="G84" s="17"/>
      <c r="H84" s="129" t="str">
        <f>Settings!$B$3&amp;".mit.atpn.irn.coa.e.1"</f>
        <v>egy.mit.atpn.irn.coa.e.1</v>
      </c>
      <c r="I84" t="s">
        <v>2288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2289</v>
      </c>
      <c r="E85" s="16" t="s">
        <v>51</v>
      </c>
      <c r="F85" s="14" t="s">
        <v>2287</v>
      </c>
      <c r="G85" s="17"/>
      <c r="H85" s="129" t="str">
        <f>Settings!$B$3&amp;".mit.atpn.irn.nga.e.1"</f>
        <v>egy.mit.atpn.irn.nga.e.1</v>
      </c>
      <c r="I85" t="s">
        <v>2290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2291</v>
      </c>
      <c r="E86" s="16" t="s">
        <v>57</v>
      </c>
      <c r="F86" s="14" t="s">
        <v>2287</v>
      </c>
      <c r="G86" s="17"/>
      <c r="H86" s="129" t="str">
        <f>Settings!$B$3&amp;".mit.atpn.irn.gso.e.1"</f>
        <v>egy.mit.atpn.irn.gso.e.1</v>
      </c>
      <c r="I86" t="s">
        <v>2292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2293</v>
      </c>
      <c r="E87" s="16" t="s">
        <v>57</v>
      </c>
      <c r="F87" s="14" t="s">
        <v>2287</v>
      </c>
      <c r="G87" s="17"/>
      <c r="H87" s="129" t="str">
        <f>Settings!$B$3&amp;".mit.atpn.irn.die.e.1"</f>
        <v>egy.mit.atpn.irn.die.e.1</v>
      </c>
      <c r="I87" t="s">
        <v>2294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2295</v>
      </c>
      <c r="E88" s="16" t="s">
        <v>57</v>
      </c>
      <c r="F88" s="14" t="s">
        <v>2287</v>
      </c>
      <c r="G88" s="17"/>
      <c r="H88" s="129" t="str">
        <f>Settings!$B$3&amp;".mit.atpn.irn.lpg.e.1"</f>
        <v>egy.mit.atpn.irn.lpg.e.1</v>
      </c>
      <c r="I88" t="s">
        <v>2296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2297</v>
      </c>
      <c r="E89" s="16" t="s">
        <v>57</v>
      </c>
      <c r="F89" s="14" t="s">
        <v>2287</v>
      </c>
      <c r="G89" s="17"/>
      <c r="H89" s="129" t="str">
        <f>Settings!$B$3&amp;".mit.atpn.irn.ker.e.1"</f>
        <v>egy.mit.atpn.irn.ker.e.1</v>
      </c>
      <c r="I89" t="s">
        <v>2298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2299</v>
      </c>
      <c r="E90" s="16" t="s">
        <v>66</v>
      </c>
      <c r="F90" s="14" t="s">
        <v>2287</v>
      </c>
      <c r="G90" s="17"/>
      <c r="H90" s="129" t="str">
        <f>Settings!$B$3&amp;".mit.atpn.irn.oop.e.1"</f>
        <v>egy.mit.atpn.irn.oop.e.1</v>
      </c>
      <c r="I90" t="s">
        <v>2300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2301</v>
      </c>
      <c r="E91" s="16" t="s">
        <v>51</v>
      </c>
      <c r="F91" s="14" t="s">
        <v>2287</v>
      </c>
      <c r="G91" s="17"/>
      <c r="H91" s="129" t="str">
        <f>Settings!$B$3&amp;".mit.atpn.irn.bio.e.1"</f>
        <v>egy.mit.atpn.irn.bio.e.1</v>
      </c>
      <c r="I91" t="s">
        <v>2302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2303</v>
      </c>
      <c r="E92" s="16" t="s">
        <v>71</v>
      </c>
      <c r="F92" s="14" t="s">
        <v>2287</v>
      </c>
      <c r="G92" s="17"/>
      <c r="H92" s="129" t="str">
        <f>Settings!$B$3&amp;".mit.atpn.irn.ren.e.1"</f>
        <v>egy.mit.atpn.irn.ren.e.1</v>
      </c>
      <c r="I92" t="s">
        <v>2304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1504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2279</v>
      </c>
      <c r="E95" s="16" t="s">
        <v>1870</v>
      </c>
      <c r="F95" s="14" t="s">
        <v>2268</v>
      </c>
      <c r="H95" s="129" t="str">
        <f>Settings!$B$3&amp;".mit.obr.ind.cem.1"</f>
        <v>egy.mit.obr.ind.cem.1</v>
      </c>
      <c r="I95" t="s">
        <v>2305</v>
      </c>
      <c r="L95" s="131">
        <f t="shared" ref="L95:AE95" si="27">L$73</f>
        <v>0</v>
      </c>
      <c r="M95" s="131">
        <f t="shared" si="27"/>
        <v>0</v>
      </c>
      <c r="N95" s="131">
        <f t="shared" si="27"/>
        <v>0</v>
      </c>
      <c r="O95" s="131">
        <f t="shared" si="27"/>
        <v>0</v>
      </c>
      <c r="P95" s="131">
        <f t="shared" si="27"/>
        <v>0</v>
      </c>
      <c r="Q95" s="131">
        <f t="shared" si="27"/>
        <v>0</v>
      </c>
      <c r="R95" s="131">
        <f t="shared" si="27"/>
        <v>0</v>
      </c>
      <c r="S95" s="131">
        <f t="shared" si="27"/>
        <v>0</v>
      </c>
      <c r="T95" s="131">
        <f t="shared" si="27"/>
        <v>0</v>
      </c>
      <c r="U95" s="131">
        <f t="shared" si="27"/>
        <v>0</v>
      </c>
      <c r="V95" s="131">
        <f t="shared" si="27"/>
        <v>0</v>
      </c>
      <c r="W95" s="131">
        <f t="shared" si="27"/>
        <v>0</v>
      </c>
      <c r="X95" s="131">
        <f t="shared" si="27"/>
        <v>0</v>
      </c>
      <c r="Y95" s="131">
        <f t="shared" si="27"/>
        <v>0</v>
      </c>
      <c r="Z95" s="131">
        <f t="shared" si="27"/>
        <v>0</v>
      </c>
      <c r="AA95" s="131">
        <f t="shared" si="27"/>
        <v>0</v>
      </c>
      <c r="AB95" s="131">
        <f t="shared" si="27"/>
        <v>0</v>
      </c>
      <c r="AC95" s="131">
        <f t="shared" si="27"/>
        <v>0</v>
      </c>
      <c r="AD95" s="131">
        <f t="shared" si="27"/>
        <v>0</v>
      </c>
      <c r="AE95" s="131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2281</v>
      </c>
      <c r="E96" s="16" t="s">
        <v>1870</v>
      </c>
      <c r="F96" s="14" t="s">
        <v>2282</v>
      </c>
      <c r="H96" s="129" t="str">
        <f>Settings!$B$3&amp;".mit.ccf.ind.cem.1"</f>
        <v>egy.mit.ccf.ind.cem.1</v>
      </c>
      <c r="L96" s="131">
        <f>L$23*Mitigation_Industry!L$279/1000</f>
        <v>0</v>
      </c>
      <c r="M96" s="131">
        <f>M$23*Mitigation_Industry!M$279/1000</f>
        <v>0</v>
      </c>
      <c r="N96" s="131">
        <f>N$23*Mitigation_Industry!N$279/1000</f>
        <v>0</v>
      </c>
      <c r="O96" s="131">
        <f>O$23*Mitigation_Industry!O$279/1000</f>
        <v>0</v>
      </c>
      <c r="P96" s="131">
        <f>P$23*Mitigation_Industry!P$279/1000</f>
        <v>0</v>
      </c>
      <c r="Q96" s="131">
        <f>Q$23*Mitigation_Industry!Q$279/1000</f>
        <v>0</v>
      </c>
      <c r="R96" s="131">
        <f>R$23*Mitigation_Industry!R$279/1000</f>
        <v>0</v>
      </c>
      <c r="S96" s="131">
        <f>S$23*Mitigation_Industry!S$279/1000</f>
        <v>0</v>
      </c>
      <c r="T96" s="131">
        <f>T$23*Mitigation_Industry!T$279/1000</f>
        <v>0</v>
      </c>
      <c r="U96" s="131">
        <f>U$23*Mitigation_Industry!U$279/1000</f>
        <v>0</v>
      </c>
      <c r="V96" s="131">
        <f>V$23*Mitigation_Industry!V$279/1000</f>
        <v>0</v>
      </c>
      <c r="W96" s="131">
        <f>W$23*Mitigation_Industry!W$279/1000</f>
        <v>0</v>
      </c>
      <c r="X96" s="131">
        <f>X$23*Mitigation_Industry!X$279/1000</f>
        <v>0</v>
      </c>
      <c r="Y96" s="131">
        <f>Y$23*Mitigation_Industry!Y$279/1000</f>
        <v>0</v>
      </c>
      <c r="Z96" s="131">
        <f>Z$23*Mitigation_Industry!Z$279/1000</f>
        <v>0</v>
      </c>
      <c r="AA96" s="131">
        <f>AA$23*Mitigation_Industry!AA$279/1000</f>
        <v>0</v>
      </c>
      <c r="AB96" s="131">
        <f>AB$23*Mitigation_Industry!AB$279/1000</f>
        <v>0</v>
      </c>
      <c r="AC96" s="131">
        <f>AC$23*Mitigation_Industry!AC$279/1000</f>
        <v>0</v>
      </c>
      <c r="AD96" s="131">
        <f>AD$23*Mitigation_Industry!AD$279/1000</f>
        <v>0</v>
      </c>
      <c r="AE96" s="131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2283</v>
      </c>
      <c r="E97" s="16" t="s">
        <v>79</v>
      </c>
      <c r="F97" s="14" t="s">
        <v>2284</v>
      </c>
      <c r="H97" s="129" t="str">
        <f>Settings!$B$3&amp;".mit.rsh.ind.cem.1"</f>
        <v>egy.mit.rsh.ind.cem.1</v>
      </c>
      <c r="I97" t="s">
        <v>2285</v>
      </c>
      <c r="L97" s="131">
        <f t="shared" ref="L97:AE97" si="28">IF(L$96&lt;=0,0,MIN(1,L$95/L$96))</f>
        <v>0</v>
      </c>
      <c r="M97" s="131">
        <f t="shared" si="28"/>
        <v>0</v>
      </c>
      <c r="N97" s="131">
        <f t="shared" si="28"/>
        <v>0</v>
      </c>
      <c r="O97" s="131">
        <f t="shared" si="28"/>
        <v>0</v>
      </c>
      <c r="P97" s="131">
        <f t="shared" si="28"/>
        <v>0</v>
      </c>
      <c r="Q97" s="131">
        <f t="shared" si="28"/>
        <v>0</v>
      </c>
      <c r="R97" s="131">
        <f t="shared" si="28"/>
        <v>0</v>
      </c>
      <c r="S97" s="131">
        <f t="shared" si="28"/>
        <v>0</v>
      </c>
      <c r="T97" s="131">
        <f t="shared" si="28"/>
        <v>0</v>
      </c>
      <c r="U97" s="131">
        <f t="shared" si="28"/>
        <v>0</v>
      </c>
      <c r="V97" s="131">
        <f t="shared" si="28"/>
        <v>0</v>
      </c>
      <c r="W97" s="131">
        <f t="shared" si="28"/>
        <v>0</v>
      </c>
      <c r="X97" s="131">
        <f t="shared" si="28"/>
        <v>0</v>
      </c>
      <c r="Y97" s="131">
        <f t="shared" si="28"/>
        <v>0</v>
      </c>
      <c r="Z97" s="131">
        <f t="shared" si="28"/>
        <v>0</v>
      </c>
      <c r="AA97" s="131">
        <f t="shared" si="28"/>
        <v>0</v>
      </c>
      <c r="AB97" s="131">
        <f t="shared" si="28"/>
        <v>0</v>
      </c>
      <c r="AC97" s="131">
        <f t="shared" si="28"/>
        <v>0</v>
      </c>
      <c r="AD97" s="131">
        <f t="shared" si="28"/>
        <v>0</v>
      </c>
      <c r="AE97" s="131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2286</v>
      </c>
      <c r="E98" s="16" t="s">
        <v>51</v>
      </c>
      <c r="F98" s="14" t="s">
        <v>2287</v>
      </c>
      <c r="G98" s="17"/>
      <c r="H98" s="129" t="str">
        <f>Settings!$B$3&amp;".mit.atpn.cem.coa.e.1"</f>
        <v>egy.mit.atpn.cem.coa.e.1</v>
      </c>
      <c r="I98" t="s">
        <v>2306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2289</v>
      </c>
      <c r="E99" s="16" t="s">
        <v>51</v>
      </c>
      <c r="F99" s="14" t="s">
        <v>2287</v>
      </c>
      <c r="G99" s="17"/>
      <c r="H99" s="129" t="str">
        <f>Settings!$B$3&amp;".mit.atpn.cem.nga.e.1"</f>
        <v>egy.mit.atpn.cem.nga.e.1</v>
      </c>
      <c r="I99" t="s">
        <v>2307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2291</v>
      </c>
      <c r="E100" s="16" t="s">
        <v>57</v>
      </c>
      <c r="F100" s="14" t="s">
        <v>2287</v>
      </c>
      <c r="G100" s="17"/>
      <c r="H100" s="129" t="str">
        <f>Settings!$B$3&amp;".mit.atpn.cem.gso.e.1"</f>
        <v>egy.mit.atpn.cem.gso.e.1</v>
      </c>
      <c r="I100" t="s">
        <v>2308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2293</v>
      </c>
      <c r="E101" s="16" t="s">
        <v>57</v>
      </c>
      <c r="F101" s="14" t="s">
        <v>2287</v>
      </c>
      <c r="G101" s="17"/>
      <c r="H101" s="129" t="str">
        <f>Settings!$B$3&amp;".mit.atpn.cem.die.e.1"</f>
        <v>egy.mit.atpn.cem.die.e.1</v>
      </c>
      <c r="I101" t="s">
        <v>2309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2295</v>
      </c>
      <c r="E102" s="16" t="s">
        <v>57</v>
      </c>
      <c r="F102" s="14" t="s">
        <v>2287</v>
      </c>
      <c r="G102" s="17"/>
      <c r="H102" s="129" t="str">
        <f>Settings!$B$3&amp;".mit.atpn.cem.lpg.e.1"</f>
        <v>egy.mit.atpn.cem.lpg.e.1</v>
      </c>
      <c r="I102" t="s">
        <v>2310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2297</v>
      </c>
      <c r="E103" s="16" t="s">
        <v>57</v>
      </c>
      <c r="F103" s="14" t="s">
        <v>2287</v>
      </c>
      <c r="G103" s="17"/>
      <c r="H103" s="129" t="str">
        <f>Settings!$B$3&amp;".mit.atpn.cem.ker.e.1"</f>
        <v>egy.mit.atpn.cem.ker.e.1</v>
      </c>
      <c r="I103" t="s">
        <v>2311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2299</v>
      </c>
      <c r="E104" s="16" t="s">
        <v>66</v>
      </c>
      <c r="F104" s="14" t="s">
        <v>2287</v>
      </c>
      <c r="G104" s="17"/>
      <c r="H104" s="129" t="str">
        <f>Settings!$B$3&amp;".mit.atpn.cem.oop.e.1"</f>
        <v>egy.mit.atpn.cem.oop.e.1</v>
      </c>
      <c r="I104" t="s">
        <v>2312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2301</v>
      </c>
      <c r="E105" s="16" t="s">
        <v>51</v>
      </c>
      <c r="F105" s="14" t="s">
        <v>2287</v>
      </c>
      <c r="G105" s="17"/>
      <c r="H105" s="129" t="str">
        <f>Settings!$B$3&amp;".mit.atpn.cem.bio.e.1"</f>
        <v>egy.mit.atpn.cem.bio.e.1</v>
      </c>
      <c r="I105" t="s">
        <v>2313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2303</v>
      </c>
      <c r="E106" s="16" t="s">
        <v>71</v>
      </c>
      <c r="F106" s="14" t="s">
        <v>2287</v>
      </c>
      <c r="G106" s="17"/>
      <c r="H106" s="129" t="str">
        <f>Settings!$B$3&amp;".mit.atpn.cem.ren.e.1"</f>
        <v>egy.mit.atpn.cem.ren.e.1</v>
      </c>
      <c r="I106" t="s">
        <v>2314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1504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2279</v>
      </c>
      <c r="E109" s="16" t="s">
        <v>1870</v>
      </c>
      <c r="F109" s="14" t="s">
        <v>2268</v>
      </c>
      <c r="H109" s="129" t="str">
        <f>Settings!$B$3&amp;".mit.obr.ind.nfm.1"</f>
        <v>egy.mit.obr.ind.nfm.1</v>
      </c>
      <c r="I109" t="s">
        <v>2315</v>
      </c>
      <c r="L109" s="131">
        <f t="shared" ref="L109:AE109" si="29">L$77</f>
        <v>0</v>
      </c>
      <c r="M109" s="131">
        <f t="shared" si="29"/>
        <v>0</v>
      </c>
      <c r="N109" s="131">
        <f t="shared" si="29"/>
        <v>0</v>
      </c>
      <c r="O109" s="131">
        <f t="shared" si="29"/>
        <v>0</v>
      </c>
      <c r="P109" s="131">
        <f t="shared" si="29"/>
        <v>0</v>
      </c>
      <c r="Q109" s="131">
        <f t="shared" si="29"/>
        <v>0</v>
      </c>
      <c r="R109" s="131">
        <f t="shared" si="29"/>
        <v>0</v>
      </c>
      <c r="S109" s="131">
        <f t="shared" si="29"/>
        <v>0</v>
      </c>
      <c r="T109" s="131">
        <f t="shared" si="29"/>
        <v>0</v>
      </c>
      <c r="U109" s="131">
        <f t="shared" si="29"/>
        <v>0</v>
      </c>
      <c r="V109" s="131">
        <f t="shared" si="29"/>
        <v>0</v>
      </c>
      <c r="W109" s="131">
        <f t="shared" si="29"/>
        <v>0</v>
      </c>
      <c r="X109" s="131">
        <f t="shared" si="29"/>
        <v>0</v>
      </c>
      <c r="Y109" s="131">
        <f t="shared" si="29"/>
        <v>0</v>
      </c>
      <c r="Z109" s="131">
        <f t="shared" si="29"/>
        <v>0</v>
      </c>
      <c r="AA109" s="131">
        <f t="shared" si="29"/>
        <v>0</v>
      </c>
      <c r="AB109" s="131">
        <f t="shared" si="29"/>
        <v>0</v>
      </c>
      <c r="AC109" s="131">
        <f t="shared" si="29"/>
        <v>0</v>
      </c>
      <c r="AD109" s="131">
        <f t="shared" si="29"/>
        <v>0</v>
      </c>
      <c r="AE109" s="131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2281</v>
      </c>
      <c r="E110" s="16" t="s">
        <v>1870</v>
      </c>
      <c r="F110" s="14" t="s">
        <v>2282</v>
      </c>
      <c r="H110" s="129" t="str">
        <f>Settings!$B$3&amp;".mit.ccf.ind.nfm.1"</f>
        <v>egy.mit.ccf.ind.nfm.1</v>
      </c>
      <c r="L110" s="131">
        <f>L$27*Mitigation_Industry!L$283/1000</f>
        <v>0</v>
      </c>
      <c r="M110" s="131">
        <f>M$27*Mitigation_Industry!M$283/1000</f>
        <v>0</v>
      </c>
      <c r="N110" s="131">
        <f>N$27*Mitigation_Industry!N$283/1000</f>
        <v>0</v>
      </c>
      <c r="O110" s="131">
        <f>O$27*Mitigation_Industry!O$283/1000</f>
        <v>0</v>
      </c>
      <c r="P110" s="131">
        <f>P$27*Mitigation_Industry!P$283/1000</f>
        <v>0</v>
      </c>
      <c r="Q110" s="131">
        <f>Q$27*Mitigation_Industry!Q$283/1000</f>
        <v>0</v>
      </c>
      <c r="R110" s="131">
        <f>R$27*Mitigation_Industry!R$283/1000</f>
        <v>0</v>
      </c>
      <c r="S110" s="131">
        <f>S$27*Mitigation_Industry!S$283/1000</f>
        <v>0</v>
      </c>
      <c r="T110" s="131">
        <f>T$27*Mitigation_Industry!T$283/1000</f>
        <v>0</v>
      </c>
      <c r="U110" s="131">
        <f>U$27*Mitigation_Industry!U$283/1000</f>
        <v>0</v>
      </c>
      <c r="V110" s="131">
        <f>V$27*Mitigation_Industry!V$283/1000</f>
        <v>0</v>
      </c>
      <c r="W110" s="131">
        <f>W$27*Mitigation_Industry!W$283/1000</f>
        <v>0</v>
      </c>
      <c r="X110" s="131">
        <f>X$27*Mitigation_Industry!X$283/1000</f>
        <v>0</v>
      </c>
      <c r="Y110" s="131">
        <f>Y$27*Mitigation_Industry!Y$283/1000</f>
        <v>0</v>
      </c>
      <c r="Z110" s="131">
        <f>Z$27*Mitigation_Industry!Z$283/1000</f>
        <v>0</v>
      </c>
      <c r="AA110" s="131">
        <f>AA$27*Mitigation_Industry!AA$283/1000</f>
        <v>0</v>
      </c>
      <c r="AB110" s="131">
        <f>AB$27*Mitigation_Industry!AB$283/1000</f>
        <v>0</v>
      </c>
      <c r="AC110" s="131">
        <f>AC$27*Mitigation_Industry!AC$283/1000</f>
        <v>0</v>
      </c>
      <c r="AD110" s="131">
        <f>AD$27*Mitigation_Industry!AD$283/1000</f>
        <v>0</v>
      </c>
      <c r="AE110" s="131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2283</v>
      </c>
      <c r="E111" s="16" t="s">
        <v>79</v>
      </c>
      <c r="F111" s="14" t="s">
        <v>2284</v>
      </c>
      <c r="H111" s="129" t="str">
        <f>Settings!$B$3&amp;".mit.rsh.ind.nfm.1"</f>
        <v>egy.mit.rsh.ind.nfm.1</v>
      </c>
      <c r="I111" t="s">
        <v>2285</v>
      </c>
      <c r="L111" s="131">
        <f t="shared" ref="L111:AE111" si="30">IF(L$110&lt;=0,0,MIN(1,L$109/L$110))</f>
        <v>0</v>
      </c>
      <c r="M111" s="131">
        <f t="shared" si="30"/>
        <v>0</v>
      </c>
      <c r="N111" s="131">
        <f t="shared" si="30"/>
        <v>0</v>
      </c>
      <c r="O111" s="131">
        <f t="shared" si="30"/>
        <v>0</v>
      </c>
      <c r="P111" s="131">
        <f t="shared" si="30"/>
        <v>0</v>
      </c>
      <c r="Q111" s="131">
        <f t="shared" si="30"/>
        <v>0</v>
      </c>
      <c r="R111" s="131">
        <f t="shared" si="30"/>
        <v>0</v>
      </c>
      <c r="S111" s="131">
        <f t="shared" si="30"/>
        <v>0</v>
      </c>
      <c r="T111" s="131">
        <f t="shared" si="30"/>
        <v>0</v>
      </c>
      <c r="U111" s="131">
        <f t="shared" si="30"/>
        <v>0</v>
      </c>
      <c r="V111" s="131">
        <f t="shared" si="30"/>
        <v>0</v>
      </c>
      <c r="W111" s="131">
        <f t="shared" si="30"/>
        <v>0</v>
      </c>
      <c r="X111" s="131">
        <f t="shared" si="30"/>
        <v>0</v>
      </c>
      <c r="Y111" s="131">
        <f t="shared" si="30"/>
        <v>0</v>
      </c>
      <c r="Z111" s="131">
        <f t="shared" si="30"/>
        <v>0</v>
      </c>
      <c r="AA111" s="131">
        <f t="shared" si="30"/>
        <v>0</v>
      </c>
      <c r="AB111" s="131">
        <f t="shared" si="30"/>
        <v>0</v>
      </c>
      <c r="AC111" s="131">
        <f t="shared" si="30"/>
        <v>0</v>
      </c>
      <c r="AD111" s="131">
        <f t="shared" si="30"/>
        <v>0</v>
      </c>
      <c r="AE111" s="131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2286</v>
      </c>
      <c r="E112" s="16" t="s">
        <v>51</v>
      </c>
      <c r="F112" s="14" t="s">
        <v>2287</v>
      </c>
      <c r="G112" s="17"/>
      <c r="H112" s="129" t="str">
        <f>Settings!$B$3&amp;".mit.atpn.nfm.coa.e.1"</f>
        <v>egy.mit.atpn.nfm.coa.e.1</v>
      </c>
      <c r="I112" t="s">
        <v>2316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2289</v>
      </c>
      <c r="E113" s="16" t="s">
        <v>51</v>
      </c>
      <c r="F113" s="14" t="s">
        <v>2287</v>
      </c>
      <c r="G113" s="17"/>
      <c r="H113" s="129" t="str">
        <f>Settings!$B$3&amp;".mit.atpn.nfm.nga.e.1"</f>
        <v>egy.mit.atpn.nfm.nga.e.1</v>
      </c>
      <c r="I113" t="s">
        <v>2317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2291</v>
      </c>
      <c r="E114" s="16" t="s">
        <v>57</v>
      </c>
      <c r="F114" s="14" t="s">
        <v>2287</v>
      </c>
      <c r="G114" s="17"/>
      <c r="H114" s="129" t="str">
        <f>Settings!$B$3&amp;".mit.atpn.nfm.gso.e.1"</f>
        <v>egy.mit.atpn.nfm.gso.e.1</v>
      </c>
      <c r="I114" t="s">
        <v>2318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2293</v>
      </c>
      <c r="E115" s="16" t="s">
        <v>57</v>
      </c>
      <c r="F115" s="14" t="s">
        <v>2287</v>
      </c>
      <c r="G115" s="17"/>
      <c r="H115" s="129" t="str">
        <f>Settings!$B$3&amp;".mit.atpn.nfm.die.e.1"</f>
        <v>egy.mit.atpn.nfm.die.e.1</v>
      </c>
      <c r="I115" t="s">
        <v>2319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2295</v>
      </c>
      <c r="E116" s="16" t="s">
        <v>57</v>
      </c>
      <c r="F116" s="14" t="s">
        <v>2287</v>
      </c>
      <c r="G116" s="17"/>
      <c r="H116" s="129" t="str">
        <f>Settings!$B$3&amp;".mit.atpn.nfm.lpg.e.1"</f>
        <v>egy.mit.atpn.nfm.lpg.e.1</v>
      </c>
      <c r="I116" t="s">
        <v>2320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2297</v>
      </c>
      <c r="E117" s="16" t="s">
        <v>57</v>
      </c>
      <c r="F117" s="14" t="s">
        <v>2287</v>
      </c>
      <c r="G117" s="17"/>
      <c r="H117" s="129" t="str">
        <f>Settings!$B$3&amp;".mit.atpn.nfm.ker.e.1"</f>
        <v>egy.mit.atpn.nfm.ker.e.1</v>
      </c>
      <c r="I117" t="s">
        <v>2321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2299</v>
      </c>
      <c r="E118" s="16" t="s">
        <v>66</v>
      </c>
      <c r="F118" s="14" t="s">
        <v>2287</v>
      </c>
      <c r="G118" s="17"/>
      <c r="H118" s="129" t="str">
        <f>Settings!$B$3&amp;".mit.atpn.nfm.oop.e.1"</f>
        <v>egy.mit.atpn.nfm.oop.e.1</v>
      </c>
      <c r="I118" t="s">
        <v>2322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2301</v>
      </c>
      <c r="E119" s="16" t="s">
        <v>51</v>
      </c>
      <c r="F119" s="14" t="s">
        <v>2287</v>
      </c>
      <c r="G119" s="17"/>
      <c r="H119" s="129" t="str">
        <f>Settings!$B$3&amp;".mit.atpn.nfm.bio.e.1"</f>
        <v>egy.mit.atpn.nfm.bio.e.1</v>
      </c>
      <c r="I119" t="s">
        <v>2323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2303</v>
      </c>
      <c r="E120" s="16" t="s">
        <v>71</v>
      </c>
      <c r="F120" s="14" t="s">
        <v>2287</v>
      </c>
      <c r="G120" s="17"/>
      <c r="H120" s="129" t="str">
        <f>Settings!$B$3&amp;".mit.atpn.nfm.ren.e.1"</f>
        <v>egy.mit.atpn.nfm.ren.e.1</v>
      </c>
      <c r="I120" t="s">
        <v>2324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1504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2279</v>
      </c>
      <c r="E123" s="16" t="s">
        <v>1870</v>
      </c>
      <c r="F123" s="14" t="s">
        <v>2268</v>
      </c>
      <c r="H123" s="129" t="str">
        <f>Settings!$B$3&amp;".mit.obr.ind.mch.1"</f>
        <v>egy.mit.obr.ind.mch.1</v>
      </c>
      <c r="I123" t="s">
        <v>2325</v>
      </c>
      <c r="L123" s="131">
        <f t="shared" ref="L123:AE123" si="31">L$74+L$75+L$76</f>
        <v>0</v>
      </c>
      <c r="M123" s="131">
        <f t="shared" si="31"/>
        <v>0</v>
      </c>
      <c r="N123" s="131">
        <f t="shared" si="31"/>
        <v>0</v>
      </c>
      <c r="O123" s="131">
        <f t="shared" si="31"/>
        <v>0</v>
      </c>
      <c r="P123" s="131">
        <f t="shared" si="31"/>
        <v>0</v>
      </c>
      <c r="Q123" s="131">
        <f t="shared" si="31"/>
        <v>0</v>
      </c>
      <c r="R123" s="131">
        <f t="shared" si="31"/>
        <v>0</v>
      </c>
      <c r="S123" s="131">
        <f t="shared" si="31"/>
        <v>0</v>
      </c>
      <c r="T123" s="131">
        <f t="shared" si="31"/>
        <v>0</v>
      </c>
      <c r="U123" s="131">
        <f t="shared" si="31"/>
        <v>0</v>
      </c>
      <c r="V123" s="131">
        <f t="shared" si="31"/>
        <v>0</v>
      </c>
      <c r="W123" s="131">
        <f t="shared" si="31"/>
        <v>0</v>
      </c>
      <c r="X123" s="131">
        <f t="shared" si="31"/>
        <v>0</v>
      </c>
      <c r="Y123" s="131">
        <f t="shared" si="31"/>
        <v>0</v>
      </c>
      <c r="Z123" s="131">
        <f t="shared" si="31"/>
        <v>0</v>
      </c>
      <c r="AA123" s="131">
        <f t="shared" si="31"/>
        <v>0</v>
      </c>
      <c r="AB123" s="131">
        <f t="shared" si="31"/>
        <v>0</v>
      </c>
      <c r="AC123" s="131">
        <f t="shared" si="31"/>
        <v>0</v>
      </c>
      <c r="AD123" s="131">
        <f t="shared" si="31"/>
        <v>0</v>
      </c>
      <c r="AE123" s="131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2281</v>
      </c>
      <c r="E124" s="16" t="s">
        <v>1870</v>
      </c>
      <c r="F124" s="14" t="s">
        <v>2282</v>
      </c>
      <c r="H124" s="129" t="str">
        <f>Settings!$B$3&amp;".mit.ccf.ind.mch.1"</f>
        <v>egy.mit.ccf.ind.mch.1</v>
      </c>
      <c r="L124" s="131">
        <f>L$24*Mitigation_Industry!L$280/1000+L$25*Mitigation_Industry!L$281/1000+L$26*Mitigation_Industry!L$282/1000</f>
        <v>0</v>
      </c>
      <c r="M124" s="131">
        <f>M$24*Mitigation_Industry!M$280/1000+M$25*Mitigation_Industry!M$281/1000+M$26*Mitigation_Industry!M$282/1000</f>
        <v>0</v>
      </c>
      <c r="N124" s="131">
        <f>N$24*Mitigation_Industry!N$280/1000+N$25*Mitigation_Industry!N$281/1000+N$26*Mitigation_Industry!N$282/1000</f>
        <v>0</v>
      </c>
      <c r="O124" s="131">
        <f>O$24*Mitigation_Industry!O$280/1000+O$25*Mitigation_Industry!O$281/1000+O$26*Mitigation_Industry!O$282/1000</f>
        <v>0</v>
      </c>
      <c r="P124" s="131">
        <f>P$24*Mitigation_Industry!P$280/1000+P$25*Mitigation_Industry!P$281/1000+P$26*Mitigation_Industry!P$282/1000</f>
        <v>0</v>
      </c>
      <c r="Q124" s="131">
        <f>Q$24*Mitigation_Industry!Q$280/1000+Q$25*Mitigation_Industry!Q$281/1000+Q$26*Mitigation_Industry!Q$282/1000</f>
        <v>0</v>
      </c>
      <c r="R124" s="131">
        <f>R$24*Mitigation_Industry!R$280/1000+R$25*Mitigation_Industry!R$281/1000+R$26*Mitigation_Industry!R$282/1000</f>
        <v>0</v>
      </c>
      <c r="S124" s="131">
        <f>S$24*Mitigation_Industry!S$280/1000+S$25*Mitigation_Industry!S$281/1000+S$26*Mitigation_Industry!S$282/1000</f>
        <v>0</v>
      </c>
      <c r="T124" s="131">
        <f>T$24*Mitigation_Industry!T$280/1000+T$25*Mitigation_Industry!T$281/1000+T$26*Mitigation_Industry!T$282/1000</f>
        <v>0</v>
      </c>
      <c r="U124" s="131">
        <f>U$24*Mitigation_Industry!U$280/1000+U$25*Mitigation_Industry!U$281/1000+U$26*Mitigation_Industry!U$282/1000</f>
        <v>0</v>
      </c>
      <c r="V124" s="131">
        <f>V$24*Mitigation_Industry!V$280/1000+V$25*Mitigation_Industry!V$281/1000+V$26*Mitigation_Industry!V$282/1000</f>
        <v>0</v>
      </c>
      <c r="W124" s="131">
        <f>W$24*Mitigation_Industry!W$280/1000+W$25*Mitigation_Industry!W$281/1000+W$26*Mitigation_Industry!W$282/1000</f>
        <v>0</v>
      </c>
      <c r="X124" s="131">
        <f>X$24*Mitigation_Industry!X$280/1000+X$25*Mitigation_Industry!X$281/1000+X$26*Mitigation_Industry!X$282/1000</f>
        <v>0</v>
      </c>
      <c r="Y124" s="131">
        <f>Y$24*Mitigation_Industry!Y$280/1000+Y$25*Mitigation_Industry!Y$281/1000+Y$26*Mitigation_Industry!Y$282/1000</f>
        <v>0</v>
      </c>
      <c r="Z124" s="131">
        <f>Z$24*Mitigation_Industry!Z$280/1000+Z$25*Mitigation_Industry!Z$281/1000+Z$26*Mitigation_Industry!Z$282/1000</f>
        <v>0</v>
      </c>
      <c r="AA124" s="131">
        <f>AA$24*Mitigation_Industry!AA$280/1000+AA$25*Mitigation_Industry!AA$281/1000+AA$26*Mitigation_Industry!AA$282/1000</f>
        <v>0</v>
      </c>
      <c r="AB124" s="131">
        <f>AB$24*Mitigation_Industry!AB$280/1000+AB$25*Mitigation_Industry!AB$281/1000+AB$26*Mitigation_Industry!AB$282/1000</f>
        <v>0</v>
      </c>
      <c r="AC124" s="131">
        <f>AC$24*Mitigation_Industry!AC$280/1000+AC$25*Mitigation_Industry!AC$281/1000+AC$26*Mitigation_Industry!AC$282/1000</f>
        <v>0</v>
      </c>
      <c r="AD124" s="131">
        <f>AD$24*Mitigation_Industry!AD$280/1000+AD$25*Mitigation_Industry!AD$281/1000+AD$26*Mitigation_Industry!AD$282/1000</f>
        <v>0</v>
      </c>
      <c r="AE124" s="131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2283</v>
      </c>
      <c r="E125" s="16" t="s">
        <v>79</v>
      </c>
      <c r="F125" s="14" t="s">
        <v>2284</v>
      </c>
      <c r="H125" s="129" t="str">
        <f>Settings!$B$3&amp;".mit.rsh.ind.mch.1"</f>
        <v>egy.mit.rsh.ind.mch.1</v>
      </c>
      <c r="I125" t="s">
        <v>2285</v>
      </c>
      <c r="L125" s="131">
        <f t="shared" ref="L125:AE125" si="32">IF(L$124&lt;=0,0,MIN(1,L$123/L$124))</f>
        <v>0</v>
      </c>
      <c r="M125" s="131">
        <f t="shared" si="32"/>
        <v>0</v>
      </c>
      <c r="N125" s="131">
        <f t="shared" si="32"/>
        <v>0</v>
      </c>
      <c r="O125" s="131">
        <f t="shared" si="32"/>
        <v>0</v>
      </c>
      <c r="P125" s="131">
        <f t="shared" si="32"/>
        <v>0</v>
      </c>
      <c r="Q125" s="131">
        <f t="shared" si="32"/>
        <v>0</v>
      </c>
      <c r="R125" s="131">
        <f t="shared" si="32"/>
        <v>0</v>
      </c>
      <c r="S125" s="131">
        <f t="shared" si="32"/>
        <v>0</v>
      </c>
      <c r="T125" s="131">
        <f t="shared" si="32"/>
        <v>0</v>
      </c>
      <c r="U125" s="131">
        <f t="shared" si="32"/>
        <v>0</v>
      </c>
      <c r="V125" s="131">
        <f t="shared" si="32"/>
        <v>0</v>
      </c>
      <c r="W125" s="131">
        <f t="shared" si="32"/>
        <v>0</v>
      </c>
      <c r="X125" s="131">
        <f t="shared" si="32"/>
        <v>0</v>
      </c>
      <c r="Y125" s="131">
        <f t="shared" si="32"/>
        <v>0</v>
      </c>
      <c r="Z125" s="131">
        <f t="shared" si="32"/>
        <v>0</v>
      </c>
      <c r="AA125" s="131">
        <f t="shared" si="32"/>
        <v>0</v>
      </c>
      <c r="AB125" s="131">
        <f t="shared" si="32"/>
        <v>0</v>
      </c>
      <c r="AC125" s="131">
        <f t="shared" si="32"/>
        <v>0</v>
      </c>
      <c r="AD125" s="131">
        <f t="shared" si="32"/>
        <v>0</v>
      </c>
      <c r="AE125" s="131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2286</v>
      </c>
      <c r="E126" s="16" t="s">
        <v>51</v>
      </c>
      <c r="F126" s="14" t="s">
        <v>2287</v>
      </c>
      <c r="G126" s="17"/>
      <c r="H126" s="129" t="str">
        <f>Settings!$B$3&amp;".mit.atpn.mch.coa.e.1"</f>
        <v>egy.mit.atpn.mch.coa.e.1</v>
      </c>
      <c r="I126" t="s">
        <v>2326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2289</v>
      </c>
      <c r="E127" s="16" t="s">
        <v>51</v>
      </c>
      <c r="F127" s="14" t="s">
        <v>2287</v>
      </c>
      <c r="G127" s="17"/>
      <c r="H127" s="129" t="str">
        <f>Settings!$B$3&amp;".mit.atpn.mch.nga.e.1"</f>
        <v>egy.mit.atpn.mch.nga.e.1</v>
      </c>
      <c r="I127" t="s">
        <v>2327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2291</v>
      </c>
      <c r="E128" s="16" t="s">
        <v>57</v>
      </c>
      <c r="F128" s="14" t="s">
        <v>2287</v>
      </c>
      <c r="G128" s="17"/>
      <c r="H128" s="129" t="str">
        <f>Settings!$B$3&amp;".mit.atpn.mch.gso.e.1"</f>
        <v>egy.mit.atpn.mch.gso.e.1</v>
      </c>
      <c r="I128" t="s">
        <v>2328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2293</v>
      </c>
      <c r="E129" s="16" t="s">
        <v>57</v>
      </c>
      <c r="F129" s="14" t="s">
        <v>2287</v>
      </c>
      <c r="G129" s="17"/>
      <c r="H129" s="129" t="str">
        <f>Settings!$B$3&amp;".mit.atpn.mch.die.e.1"</f>
        <v>egy.mit.atpn.mch.die.e.1</v>
      </c>
      <c r="I129" t="s">
        <v>2329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2295</v>
      </c>
      <c r="E130" s="16" t="s">
        <v>57</v>
      </c>
      <c r="F130" s="14" t="s">
        <v>2287</v>
      </c>
      <c r="G130" s="17"/>
      <c r="H130" s="129" t="str">
        <f>Settings!$B$3&amp;".mit.atpn.mch.lpg.e.1"</f>
        <v>egy.mit.atpn.mch.lpg.e.1</v>
      </c>
      <c r="I130" t="s">
        <v>2330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2297</v>
      </c>
      <c r="E131" s="16" t="s">
        <v>57</v>
      </c>
      <c r="F131" s="14" t="s">
        <v>2287</v>
      </c>
      <c r="G131" s="17"/>
      <c r="H131" s="129" t="str">
        <f>Settings!$B$3&amp;".mit.atpn.mch.ker.e.1"</f>
        <v>egy.mit.atpn.mch.ker.e.1</v>
      </c>
      <c r="I131" t="s">
        <v>2331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2299</v>
      </c>
      <c r="E132" s="16" t="s">
        <v>66</v>
      </c>
      <c r="F132" s="14" t="s">
        <v>2287</v>
      </c>
      <c r="G132" s="17"/>
      <c r="H132" s="129" t="str">
        <f>Settings!$B$3&amp;".mit.atpn.mch.oop.e.1"</f>
        <v>egy.mit.atpn.mch.oop.e.1</v>
      </c>
      <c r="I132" t="s">
        <v>2332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2301</v>
      </c>
      <c r="E133" s="16" t="s">
        <v>51</v>
      </c>
      <c r="F133" s="14" t="s">
        <v>2287</v>
      </c>
      <c r="G133" s="17"/>
      <c r="H133" s="129" t="str">
        <f>Settings!$B$3&amp;".mit.atpn.mch.bio.e.1"</f>
        <v>egy.mit.atpn.mch.bio.e.1</v>
      </c>
      <c r="I133" t="s">
        <v>2333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2303</v>
      </c>
      <c r="E134" s="16" t="s">
        <v>71</v>
      </c>
      <c r="F134" s="14" t="s">
        <v>2287</v>
      </c>
      <c r="G134" s="17"/>
      <c r="H134" s="129" t="str">
        <f>Settings!$B$3&amp;".mit.atpn.mch.ren.e.1"</f>
        <v>egy.mit.atpn.mch.ren.e.1</v>
      </c>
      <c r="I134" t="s">
        <v>2334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2335</v>
      </c>
      <c r="D136" s="6" t="s">
        <v>1504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2336</v>
      </c>
      <c r="E137" s="16" t="s">
        <v>1870</v>
      </c>
      <c r="F137" s="14" t="s">
        <v>2337</v>
      </c>
      <c r="H137" s="17"/>
      <c r="I137" t="s">
        <v>2338</v>
      </c>
      <c r="L137" s="131">
        <f>Mitigation_Industry!L$400</f>
        <v>0</v>
      </c>
      <c r="M137" s="131">
        <f>Mitigation_Industry!M$400</f>
        <v>0</v>
      </c>
      <c r="N137" s="131">
        <f>Mitigation_Industry!N$400</f>
        <v>0</v>
      </c>
      <c r="O137" s="131">
        <f>Mitigation_Industry!O$400</f>
        <v>0</v>
      </c>
      <c r="P137" s="131">
        <f>Mitigation_Industry!P$400</f>
        <v>0</v>
      </c>
      <c r="Q137" s="131">
        <f>Mitigation_Industry!Q$400</f>
        <v>0</v>
      </c>
      <c r="R137" s="131">
        <f>Mitigation_Industry!R$400</f>
        <v>0</v>
      </c>
      <c r="S137" s="131">
        <f>Mitigation_Industry!S$400</f>
        <v>0</v>
      </c>
      <c r="T137" s="131">
        <f>Mitigation_Industry!T$400</f>
        <v>0</v>
      </c>
      <c r="U137" s="131">
        <f>Mitigation_Industry!U$400</f>
        <v>0</v>
      </c>
      <c r="V137" s="131">
        <f>Mitigation_Industry!V$400</f>
        <v>0</v>
      </c>
      <c r="W137" s="131">
        <f>Mitigation_Industry!W$400</f>
        <v>0</v>
      </c>
      <c r="X137" s="131">
        <f>Mitigation_Industry!X$400</f>
        <v>0</v>
      </c>
      <c r="Y137" s="131">
        <f>Mitigation_Industry!Y$400</f>
        <v>0</v>
      </c>
      <c r="Z137" s="131">
        <f>Mitigation_Industry!Z$400</f>
        <v>0</v>
      </c>
      <c r="AA137" s="131">
        <f>Mitigation_Industry!AA$400</f>
        <v>0</v>
      </c>
      <c r="AB137" s="131">
        <f>Mitigation_Industry!AB$400</f>
        <v>0</v>
      </c>
      <c r="AC137" s="131">
        <f>Mitigation_Industry!AC$400</f>
        <v>0</v>
      </c>
      <c r="AD137" s="131">
        <f>Mitigation_Industry!AD$400</f>
        <v>0</v>
      </c>
      <c r="AE137" s="131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2339</v>
      </c>
      <c r="E138" s="16" t="s">
        <v>1870</v>
      </c>
      <c r="F138" s="14" t="s">
        <v>2268</v>
      </c>
      <c r="H138" s="17"/>
      <c r="L138" s="131">
        <f t="shared" ref="L138:AE138" si="33">L$78</f>
        <v>0</v>
      </c>
      <c r="M138" s="131">
        <f t="shared" si="33"/>
        <v>0</v>
      </c>
      <c r="N138" s="131">
        <f t="shared" si="33"/>
        <v>0</v>
      </c>
      <c r="O138" s="131">
        <f t="shared" si="33"/>
        <v>0</v>
      </c>
      <c r="P138" s="131">
        <f t="shared" si="33"/>
        <v>0</v>
      </c>
      <c r="Q138" s="131">
        <f t="shared" si="33"/>
        <v>0</v>
      </c>
      <c r="R138" s="131">
        <f t="shared" si="33"/>
        <v>0</v>
      </c>
      <c r="S138" s="131">
        <f t="shared" si="33"/>
        <v>0</v>
      </c>
      <c r="T138" s="131">
        <f t="shared" si="33"/>
        <v>0</v>
      </c>
      <c r="U138" s="131">
        <f t="shared" si="33"/>
        <v>0</v>
      </c>
      <c r="V138" s="131">
        <f t="shared" si="33"/>
        <v>0</v>
      </c>
      <c r="W138" s="131">
        <f t="shared" si="33"/>
        <v>0</v>
      </c>
      <c r="X138" s="131">
        <f t="shared" si="33"/>
        <v>0</v>
      </c>
      <c r="Y138" s="131">
        <f t="shared" si="33"/>
        <v>0</v>
      </c>
      <c r="Z138" s="131">
        <f t="shared" si="33"/>
        <v>0</v>
      </c>
      <c r="AA138" s="131">
        <f t="shared" si="33"/>
        <v>0</v>
      </c>
      <c r="AB138" s="131">
        <f t="shared" si="33"/>
        <v>0</v>
      </c>
      <c r="AC138" s="131">
        <f t="shared" si="33"/>
        <v>0</v>
      </c>
      <c r="AD138" s="131">
        <f t="shared" si="33"/>
        <v>0</v>
      </c>
      <c r="AE138" s="131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2340</v>
      </c>
      <c r="E139" s="16" t="s">
        <v>1870</v>
      </c>
      <c r="F139" s="14" t="s">
        <v>2341</v>
      </c>
      <c r="H139" s="129" t="str">
        <f>Settings!$B$3&amp;".mit.revnet.cbam.tot.1"</f>
        <v>egy.mit.revnet.cbam.tot.1</v>
      </c>
      <c r="L139" s="131">
        <f t="shared" ref="L139:AE139" si="34">L137-L138</f>
        <v>0</v>
      </c>
      <c r="M139" s="131">
        <f t="shared" si="34"/>
        <v>0</v>
      </c>
      <c r="N139" s="131">
        <f t="shared" si="34"/>
        <v>0</v>
      </c>
      <c r="O139" s="131">
        <f t="shared" si="34"/>
        <v>0</v>
      </c>
      <c r="P139" s="131">
        <f t="shared" si="34"/>
        <v>0</v>
      </c>
      <c r="Q139" s="131">
        <f t="shared" si="34"/>
        <v>0</v>
      </c>
      <c r="R139" s="131">
        <f t="shared" si="34"/>
        <v>0</v>
      </c>
      <c r="S139" s="131">
        <f t="shared" si="34"/>
        <v>0</v>
      </c>
      <c r="T139" s="131">
        <f t="shared" si="34"/>
        <v>0</v>
      </c>
      <c r="U139" s="131">
        <f t="shared" si="34"/>
        <v>0</v>
      </c>
      <c r="V139" s="131">
        <f t="shared" si="34"/>
        <v>0</v>
      </c>
      <c r="W139" s="131">
        <f t="shared" si="34"/>
        <v>0</v>
      </c>
      <c r="X139" s="131">
        <f t="shared" si="34"/>
        <v>0</v>
      </c>
      <c r="Y139" s="131">
        <f t="shared" si="34"/>
        <v>0</v>
      </c>
      <c r="Z139" s="131">
        <f t="shared" si="34"/>
        <v>0</v>
      </c>
      <c r="AA139" s="131">
        <f t="shared" si="34"/>
        <v>0</v>
      </c>
      <c r="AB139" s="131">
        <f t="shared" si="34"/>
        <v>0</v>
      </c>
      <c r="AC139" s="131">
        <f t="shared" si="34"/>
        <v>0</v>
      </c>
      <c r="AD139" s="131">
        <f t="shared" si="34"/>
        <v>0</v>
      </c>
      <c r="AE139" s="131">
        <f t="shared" si="34"/>
        <v>0</v>
      </c>
    </row>
    <row r="142" spans="1:35" customFormat="1" ht="18" customHeight="1" x14ac:dyDescent="0.45">
      <c r="A142" s="8"/>
      <c r="B142" s="9" t="s">
        <v>2342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2202</v>
      </c>
      <c r="D144" s="6" t="s">
        <v>1504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1798</v>
      </c>
      <c r="C145" s="14"/>
      <c r="D145" s="15" t="s">
        <v>2203</v>
      </c>
      <c r="E145" s="16" t="s">
        <v>79</v>
      </c>
      <c r="F145" s="14" t="s">
        <v>1798</v>
      </c>
      <c r="G145" s="129" t="s">
        <v>1801</v>
      </c>
      <c r="H145" s="17"/>
      <c r="I145" t="s">
        <v>2204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1802</v>
      </c>
      <c r="C146" s="14"/>
      <c r="D146" s="15" t="s">
        <v>2205</v>
      </c>
      <c r="E146" s="16" t="s">
        <v>1414</v>
      </c>
      <c r="F146" s="14" t="s">
        <v>1802</v>
      </c>
      <c r="G146" s="129" t="s">
        <v>1804</v>
      </c>
      <c r="H146" s="17"/>
      <c r="I146" t="s">
        <v>2343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2207</v>
      </c>
      <c r="D148" s="6" t="s">
        <v>1504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1451</v>
      </c>
      <c r="C149" s="14" t="s">
        <v>43</v>
      </c>
      <c r="D149" s="15" t="s">
        <v>2208</v>
      </c>
      <c r="E149" s="16" t="s">
        <v>2209</v>
      </c>
      <c r="F149" s="14" t="s">
        <v>2207</v>
      </c>
      <c r="G149" s="17"/>
      <c r="H149" s="129" t="str">
        <f>Settings!$B$3&amp;".mit.obrbm.stl.drg.2"</f>
        <v>egy.mit.obrbm.stl.drg.2</v>
      </c>
      <c r="I149" t="s">
        <v>2210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1454</v>
      </c>
      <c r="C150" s="14" t="s">
        <v>43</v>
      </c>
      <c r="D150" s="15" t="s">
        <v>2211</v>
      </c>
      <c r="E150" s="16" t="s">
        <v>2209</v>
      </c>
      <c r="F150" s="14" t="s">
        <v>2207</v>
      </c>
      <c r="G150" s="17"/>
      <c r="H150" s="129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1457</v>
      </c>
      <c r="C151" s="14" t="s">
        <v>43</v>
      </c>
      <c r="D151" s="15" t="s">
        <v>2212</v>
      </c>
      <c r="E151" s="16" t="s">
        <v>2209</v>
      </c>
      <c r="F151" s="14" t="s">
        <v>2207</v>
      </c>
      <c r="G151" s="17"/>
      <c r="H151" s="129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1460</v>
      </c>
      <c r="C152" s="14" t="s">
        <v>113</v>
      </c>
      <c r="D152" s="15" t="s">
        <v>2213</v>
      </c>
      <c r="E152" s="16" t="s">
        <v>2209</v>
      </c>
      <c r="F152" s="14" t="s">
        <v>2207</v>
      </c>
      <c r="G152" s="17"/>
      <c r="H152" s="129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1463</v>
      </c>
      <c r="C153" s="14" t="s">
        <v>117</v>
      </c>
      <c r="D153" s="15" t="s">
        <v>2214</v>
      </c>
      <c r="E153" s="16" t="s">
        <v>2209</v>
      </c>
      <c r="F153" s="14" t="s">
        <v>2207</v>
      </c>
      <c r="G153" s="17"/>
      <c r="H153" s="129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1466</v>
      </c>
      <c r="C154" s="14" t="s">
        <v>117</v>
      </c>
      <c r="D154" s="15" t="s">
        <v>2215</v>
      </c>
      <c r="E154" s="16" t="s">
        <v>2209</v>
      </c>
      <c r="F154" s="14" t="s">
        <v>2207</v>
      </c>
      <c r="G154" s="17"/>
      <c r="H154" s="129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1469</v>
      </c>
      <c r="C155" s="14" t="s">
        <v>117</v>
      </c>
      <c r="D155" s="15" t="s">
        <v>2216</v>
      </c>
      <c r="E155" s="16" t="s">
        <v>2209</v>
      </c>
      <c r="F155" s="14" t="s">
        <v>2207</v>
      </c>
      <c r="G155" s="17"/>
      <c r="H155" s="129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1472</v>
      </c>
      <c r="C156" s="14" t="s">
        <v>115</v>
      </c>
      <c r="D156" s="15" t="s">
        <v>2217</v>
      </c>
      <c r="E156" s="16" t="s">
        <v>2209</v>
      </c>
      <c r="F156" s="14" t="s">
        <v>2207</v>
      </c>
      <c r="G156" s="17"/>
      <c r="H156" s="129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2218</v>
      </c>
      <c r="D158" s="6" t="s">
        <v>1504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1451</v>
      </c>
      <c r="C159" s="14" t="s">
        <v>43</v>
      </c>
      <c r="D159" s="15" t="s">
        <v>2219</v>
      </c>
      <c r="E159" s="16" t="s">
        <v>2220</v>
      </c>
      <c r="F159" s="14" t="s">
        <v>2218</v>
      </c>
      <c r="G159" s="17"/>
      <c r="H159" s="129" t="str">
        <f>Settings!$B$3&amp;".mit.ccpt.stl.drg.2"</f>
        <v>egy.mit.ccpt.stl.drg.2</v>
      </c>
      <c r="I159" t="s">
        <v>2221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8.625375</v>
      </c>
      <c r="R159" s="19">
        <f>Mitigation_Industry!R$698+Mitigation_Industry!R$709</f>
        <v>17.25075</v>
      </c>
      <c r="S159" s="19">
        <f>Mitigation_Industry!S$698+Mitigation_Industry!S$709</f>
        <v>25.876125000000002</v>
      </c>
      <c r="T159" s="19">
        <f>Mitigation_Industry!T$698+Mitigation_Industry!T$709</f>
        <v>34.5015</v>
      </c>
      <c r="U159" s="19">
        <f>Mitigation_Industry!U$698+Mitigation_Industry!U$709</f>
        <v>43.126875000000005</v>
      </c>
      <c r="V159" s="19">
        <f>Mitigation_Industry!V$698+Mitigation_Industry!V$709</f>
        <v>51.752250000000004</v>
      </c>
      <c r="W159" s="19">
        <f>Mitigation_Industry!W$698+Mitigation_Industry!W$709</f>
        <v>60.377625000000002</v>
      </c>
      <c r="X159" s="19">
        <f>Mitigation_Industry!X$698+Mitigation_Industry!X$709</f>
        <v>69.003</v>
      </c>
      <c r="Y159" s="19">
        <f>Mitigation_Industry!Y$698+Mitigation_Industry!Y$709</f>
        <v>77.628375000000005</v>
      </c>
      <c r="Z159" s="19">
        <f>Mitigation_Industry!Z$698+Mitigation_Industry!Z$709</f>
        <v>86.253750000000011</v>
      </c>
      <c r="AA159" s="19">
        <f>Mitigation_Industry!AA$698+Mitigation_Industry!AA$709</f>
        <v>94.879125000000002</v>
      </c>
      <c r="AB159" s="19">
        <f>Mitigation_Industry!AB$698+Mitigation_Industry!AB$709</f>
        <v>103.50450000000001</v>
      </c>
      <c r="AC159" s="19">
        <f>Mitigation_Industry!AC$698+Mitigation_Industry!AC$709</f>
        <v>112.129875</v>
      </c>
      <c r="AD159" s="19">
        <f>Mitigation_Industry!AD$698+Mitigation_Industry!AD$709</f>
        <v>120.75525</v>
      </c>
      <c r="AE159" s="19">
        <f>Mitigation_Industry!AE$698+Mitigation_Industry!AE$709</f>
        <v>129.38062500000001</v>
      </c>
    </row>
    <row r="160" spans="1:35" customFormat="1" ht="14.25" x14ac:dyDescent="0.45">
      <c r="B160" s="14" t="s">
        <v>1454</v>
      </c>
      <c r="C160" s="14" t="s">
        <v>43</v>
      </c>
      <c r="D160" s="15" t="s">
        <v>2222</v>
      </c>
      <c r="E160" s="16" t="s">
        <v>2220</v>
      </c>
      <c r="F160" s="14" t="s">
        <v>2218</v>
      </c>
      <c r="G160" s="17"/>
      <c r="H160" s="129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1.7531250000000003</v>
      </c>
      <c r="R160" s="19">
        <f>Mitigation_Industry!R$699+Mitigation_Industry!R$710</f>
        <v>3.5062500000000005</v>
      </c>
      <c r="S160" s="19">
        <f>Mitigation_Industry!S$699+Mitigation_Industry!S$710</f>
        <v>5.2593750000000004</v>
      </c>
      <c r="T160" s="19">
        <f>Mitigation_Industry!T$699+Mitigation_Industry!T$710</f>
        <v>7.0125000000000011</v>
      </c>
      <c r="U160" s="19">
        <f>Mitigation_Industry!U$699+Mitigation_Industry!U$710</f>
        <v>8.765625</v>
      </c>
      <c r="V160" s="19">
        <f>Mitigation_Industry!V$699+Mitigation_Industry!V$710</f>
        <v>10.518750000000001</v>
      </c>
      <c r="W160" s="19">
        <f>Mitigation_Industry!W$699+Mitigation_Industry!W$710</f>
        <v>12.271875000000001</v>
      </c>
      <c r="X160" s="19">
        <f>Mitigation_Industry!X$699+Mitigation_Industry!X$710</f>
        <v>14.025000000000002</v>
      </c>
      <c r="Y160" s="19">
        <f>Mitigation_Industry!Y$699+Mitigation_Industry!Y$710</f>
        <v>15.778125000000001</v>
      </c>
      <c r="Z160" s="19">
        <f>Mitigation_Industry!Z$699+Mitigation_Industry!Z$710</f>
        <v>17.53125</v>
      </c>
      <c r="AA160" s="19">
        <f>Mitigation_Industry!AA$699+Mitigation_Industry!AA$710</f>
        <v>19.284375000000001</v>
      </c>
      <c r="AB160" s="19">
        <f>Mitigation_Industry!AB$699+Mitigation_Industry!AB$710</f>
        <v>21.037500000000001</v>
      </c>
      <c r="AC160" s="19">
        <f>Mitigation_Industry!AC$699+Mitigation_Industry!AC$710</f>
        <v>22.790625000000002</v>
      </c>
      <c r="AD160" s="19">
        <f>Mitigation_Industry!AD$699+Mitigation_Industry!AD$710</f>
        <v>24.543750000000003</v>
      </c>
      <c r="AE160" s="19">
        <f>Mitigation_Industry!AE$699+Mitigation_Industry!AE$710</f>
        <v>26.296875000000004</v>
      </c>
    </row>
    <row r="161" spans="1:35" customFormat="1" ht="14.25" x14ac:dyDescent="0.45">
      <c r="B161" s="14" t="s">
        <v>1457</v>
      </c>
      <c r="C161" s="14" t="s">
        <v>43</v>
      </c>
      <c r="D161" s="15" t="s">
        <v>2223</v>
      </c>
      <c r="E161" s="16" t="s">
        <v>2220</v>
      </c>
      <c r="F161" s="14" t="s">
        <v>2218</v>
      </c>
      <c r="G161" s="17"/>
      <c r="H161" s="129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24.025000000000002</v>
      </c>
      <c r="R161" s="19">
        <f>Mitigation_Industry!R$700+Mitigation_Industry!R$711</f>
        <v>48.050000000000004</v>
      </c>
      <c r="S161" s="19">
        <f>Mitigation_Industry!S$700+Mitigation_Industry!S$711</f>
        <v>72.075000000000003</v>
      </c>
      <c r="T161" s="19">
        <f>Mitigation_Industry!T$700+Mitigation_Industry!T$711</f>
        <v>96.100000000000009</v>
      </c>
      <c r="U161" s="19">
        <f>Mitigation_Industry!U$700+Mitigation_Industry!U$711</f>
        <v>120.12500000000001</v>
      </c>
      <c r="V161" s="19">
        <f>Mitigation_Industry!V$700+Mitigation_Industry!V$711</f>
        <v>144.15</v>
      </c>
      <c r="W161" s="19">
        <f>Mitigation_Industry!W$700+Mitigation_Industry!W$711</f>
        <v>168.17500000000001</v>
      </c>
      <c r="X161" s="19">
        <f>Mitigation_Industry!X$700+Mitigation_Industry!X$711</f>
        <v>192.20000000000002</v>
      </c>
      <c r="Y161" s="19">
        <f>Mitigation_Industry!Y$700+Mitigation_Industry!Y$711</f>
        <v>216.22500000000002</v>
      </c>
      <c r="Z161" s="19">
        <f>Mitigation_Industry!Z$700+Mitigation_Industry!Z$711</f>
        <v>240.25000000000003</v>
      </c>
      <c r="AA161" s="19">
        <f>Mitigation_Industry!AA$700+Mitigation_Industry!AA$711</f>
        <v>264.27500000000003</v>
      </c>
      <c r="AB161" s="19">
        <f>Mitigation_Industry!AB$700+Mitigation_Industry!AB$711</f>
        <v>288.3</v>
      </c>
      <c r="AC161" s="19">
        <f>Mitigation_Industry!AC$700+Mitigation_Industry!AC$711</f>
        <v>312.32500000000005</v>
      </c>
      <c r="AD161" s="19">
        <f>Mitigation_Industry!AD$700+Mitigation_Industry!AD$711</f>
        <v>336.35</v>
      </c>
      <c r="AE161" s="19">
        <f>Mitigation_Industry!AE$700+Mitigation_Industry!AE$711</f>
        <v>360.37500000000006</v>
      </c>
    </row>
    <row r="162" spans="1:35" customFormat="1" ht="14.25" x14ac:dyDescent="0.45">
      <c r="B162" s="14" t="s">
        <v>1460</v>
      </c>
      <c r="C162" s="14" t="s">
        <v>113</v>
      </c>
      <c r="D162" s="15" t="s">
        <v>2224</v>
      </c>
      <c r="E162" s="16" t="s">
        <v>2220</v>
      </c>
      <c r="F162" s="14" t="s">
        <v>2218</v>
      </c>
      <c r="G162" s="17"/>
      <c r="H162" s="129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3.6037499999999998</v>
      </c>
      <c r="R162" s="19">
        <f>Mitigation_Industry!R$701+Mitigation_Industry!R$712</f>
        <v>7.2074999999999996</v>
      </c>
      <c r="S162" s="19">
        <f>Mitigation_Industry!S$701+Mitigation_Industry!S$712</f>
        <v>10.811249999999999</v>
      </c>
      <c r="T162" s="19">
        <f>Mitigation_Industry!T$701+Mitigation_Industry!T$712</f>
        <v>14.414999999999999</v>
      </c>
      <c r="U162" s="19">
        <f>Mitigation_Industry!U$701+Mitigation_Industry!U$712</f>
        <v>18.018750000000001</v>
      </c>
      <c r="V162" s="19">
        <f>Mitigation_Industry!V$701+Mitigation_Industry!V$712</f>
        <v>21.622499999999999</v>
      </c>
      <c r="W162" s="19">
        <f>Mitigation_Industry!W$701+Mitigation_Industry!W$712</f>
        <v>25.22625</v>
      </c>
      <c r="X162" s="19">
        <f>Mitigation_Industry!X$701+Mitigation_Industry!X$712</f>
        <v>28.83</v>
      </c>
      <c r="Y162" s="19">
        <f>Mitigation_Industry!Y$701+Mitigation_Industry!Y$712</f>
        <v>32.433750000000003</v>
      </c>
      <c r="Z162" s="19">
        <f>Mitigation_Industry!Z$701+Mitigation_Industry!Z$712</f>
        <v>36.037500000000001</v>
      </c>
      <c r="AA162" s="19">
        <f>Mitigation_Industry!AA$701+Mitigation_Industry!AA$712</f>
        <v>39.641249999999999</v>
      </c>
      <c r="AB162" s="19">
        <f>Mitigation_Industry!AB$701+Mitigation_Industry!AB$712</f>
        <v>43.244999999999997</v>
      </c>
      <c r="AC162" s="19">
        <f>Mitigation_Industry!AC$701+Mitigation_Industry!AC$712</f>
        <v>46.848750000000003</v>
      </c>
      <c r="AD162" s="19">
        <f>Mitigation_Industry!AD$701+Mitigation_Industry!AD$712</f>
        <v>50.452500000000001</v>
      </c>
      <c r="AE162" s="19">
        <f>Mitigation_Industry!AE$701+Mitigation_Industry!AE$712</f>
        <v>54.056249999999999</v>
      </c>
    </row>
    <row r="163" spans="1:35" customFormat="1" ht="14.25" x14ac:dyDescent="0.45">
      <c r="B163" s="14" t="s">
        <v>1463</v>
      </c>
      <c r="C163" s="14" t="s">
        <v>117</v>
      </c>
      <c r="D163" s="15" t="s">
        <v>2225</v>
      </c>
      <c r="E163" s="16" t="s">
        <v>2220</v>
      </c>
      <c r="F163" s="14" t="s">
        <v>2218</v>
      </c>
      <c r="G163" s="17"/>
      <c r="H163" s="129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23.141249999999999</v>
      </c>
      <c r="R163" s="19">
        <f>Mitigation_Industry!R$702+Mitigation_Industry!R$713</f>
        <v>46.282499999999999</v>
      </c>
      <c r="S163" s="19">
        <f>Mitigation_Industry!S$702+Mitigation_Industry!S$713</f>
        <v>69.423749999999998</v>
      </c>
      <c r="T163" s="19">
        <f>Mitigation_Industry!T$702+Mitigation_Industry!T$713</f>
        <v>92.564999999999998</v>
      </c>
      <c r="U163" s="19">
        <f>Mitigation_Industry!U$702+Mitigation_Industry!U$713</f>
        <v>115.70625</v>
      </c>
      <c r="V163" s="19">
        <f>Mitigation_Industry!V$702+Mitigation_Industry!V$713</f>
        <v>138.8475</v>
      </c>
      <c r="W163" s="19">
        <f>Mitigation_Industry!W$702+Mitigation_Industry!W$713</f>
        <v>161.98874999999998</v>
      </c>
      <c r="X163" s="19">
        <f>Mitigation_Industry!X$702+Mitigation_Industry!X$713</f>
        <v>185.13</v>
      </c>
      <c r="Y163" s="19">
        <f>Mitigation_Industry!Y$702+Mitigation_Industry!Y$713</f>
        <v>208.27124999999998</v>
      </c>
      <c r="Z163" s="19">
        <f>Mitigation_Industry!Z$702+Mitigation_Industry!Z$713</f>
        <v>231.41249999999999</v>
      </c>
      <c r="AA163" s="19">
        <f>Mitigation_Industry!AA$702+Mitigation_Industry!AA$713</f>
        <v>254.55374999999998</v>
      </c>
      <c r="AB163" s="19">
        <f>Mitigation_Industry!AB$702+Mitigation_Industry!AB$713</f>
        <v>277.69499999999999</v>
      </c>
      <c r="AC163" s="19">
        <f>Mitigation_Industry!AC$702+Mitigation_Industry!AC$713</f>
        <v>300.83625000000001</v>
      </c>
      <c r="AD163" s="19">
        <f>Mitigation_Industry!AD$702+Mitigation_Industry!AD$713</f>
        <v>323.97749999999996</v>
      </c>
      <c r="AE163" s="19">
        <f>Mitigation_Industry!AE$702+Mitigation_Industry!AE$713</f>
        <v>347.11874999999998</v>
      </c>
    </row>
    <row r="164" spans="1:35" customFormat="1" ht="14.25" x14ac:dyDescent="0.45">
      <c r="B164" s="14" t="s">
        <v>1466</v>
      </c>
      <c r="C164" s="14" t="s">
        <v>117</v>
      </c>
      <c r="D164" s="15" t="s">
        <v>2226</v>
      </c>
      <c r="E164" s="16" t="s">
        <v>2220</v>
      </c>
      <c r="F164" s="14" t="s">
        <v>2218</v>
      </c>
      <c r="G164" s="17"/>
      <c r="H164" s="129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1469</v>
      </c>
      <c r="C165" s="14" t="s">
        <v>117</v>
      </c>
      <c r="D165" s="15" t="s">
        <v>2227</v>
      </c>
      <c r="E165" s="16" t="s">
        <v>2220</v>
      </c>
      <c r="F165" s="14" t="s">
        <v>2218</v>
      </c>
      <c r="G165" s="17"/>
      <c r="H165" s="129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1472</v>
      </c>
      <c r="C166" s="14" t="s">
        <v>115</v>
      </c>
      <c r="D166" s="15" t="s">
        <v>2228</v>
      </c>
      <c r="E166" s="16" t="s">
        <v>2220</v>
      </c>
      <c r="F166" s="14" t="s">
        <v>2218</v>
      </c>
      <c r="G166" s="17"/>
      <c r="H166" s="129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1.95</v>
      </c>
      <c r="R166" s="19">
        <f>Mitigation_Industry!R$705+Mitigation_Industry!R$716</f>
        <v>3.9</v>
      </c>
      <c r="S166" s="19">
        <f>Mitigation_Industry!S$705+Mitigation_Industry!S$716</f>
        <v>5.85</v>
      </c>
      <c r="T166" s="19">
        <f>Mitigation_Industry!T$705+Mitigation_Industry!T$716</f>
        <v>7.8</v>
      </c>
      <c r="U166" s="19">
        <f>Mitigation_Industry!U$705+Mitigation_Industry!U$716</f>
        <v>9.75</v>
      </c>
      <c r="V166" s="19">
        <f>Mitigation_Industry!V$705+Mitigation_Industry!V$716</f>
        <v>11.7</v>
      </c>
      <c r="W166" s="19">
        <f>Mitigation_Industry!W$705+Mitigation_Industry!W$716</f>
        <v>13.65</v>
      </c>
      <c r="X166" s="19">
        <f>Mitigation_Industry!X$705+Mitigation_Industry!X$716</f>
        <v>15.6</v>
      </c>
      <c r="Y166" s="19">
        <f>Mitigation_Industry!Y$705+Mitigation_Industry!Y$716</f>
        <v>17.55</v>
      </c>
      <c r="Z166" s="19">
        <f>Mitigation_Industry!Z$705+Mitigation_Industry!Z$716</f>
        <v>19.5</v>
      </c>
      <c r="AA166" s="19">
        <f>Mitigation_Industry!AA$705+Mitigation_Industry!AA$716</f>
        <v>21.45</v>
      </c>
      <c r="AB166" s="19">
        <f>Mitigation_Industry!AB$705+Mitigation_Industry!AB$716</f>
        <v>23.4</v>
      </c>
      <c r="AC166" s="19">
        <f>Mitigation_Industry!AC$705+Mitigation_Industry!AC$716</f>
        <v>25.35</v>
      </c>
      <c r="AD166" s="19">
        <f>Mitigation_Industry!AD$705+Mitigation_Industry!AD$716</f>
        <v>27.3</v>
      </c>
      <c r="AE166" s="19">
        <f>Mitigation_Industry!AE$705+Mitigation_Industry!AE$716</f>
        <v>29.25</v>
      </c>
    </row>
    <row r="168" spans="1:35" customFormat="1" ht="14.25" x14ac:dyDescent="0.45">
      <c r="A168" s="11"/>
      <c r="B168" s="6"/>
      <c r="C168" s="7" t="s">
        <v>2229</v>
      </c>
      <c r="D168" s="6" t="s">
        <v>1504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1451</v>
      </c>
      <c r="C169" s="14" t="s">
        <v>43</v>
      </c>
      <c r="D169" s="15" t="s">
        <v>2230</v>
      </c>
      <c r="E169" s="16" t="s">
        <v>2220</v>
      </c>
      <c r="F169" s="14" t="s">
        <v>2229</v>
      </c>
      <c r="G169" s="17"/>
      <c r="H169" s="129" t="str">
        <f>Settings!$B$3&amp;".mit.obrpu.stl.drg.2"</f>
        <v>egy.mit.obrpu.stl.drg.2</v>
      </c>
      <c r="I169" t="s">
        <v>2231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1454</v>
      </c>
      <c r="C170" s="14" t="s">
        <v>43</v>
      </c>
      <c r="D170" s="15" t="s">
        <v>2232</v>
      </c>
      <c r="E170" s="16" t="s">
        <v>2220</v>
      </c>
      <c r="F170" s="14" t="s">
        <v>2229</v>
      </c>
      <c r="G170" s="17"/>
      <c r="H170" s="129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1457</v>
      </c>
      <c r="C171" s="14" t="s">
        <v>43</v>
      </c>
      <c r="D171" s="15" t="s">
        <v>2233</v>
      </c>
      <c r="E171" s="16" t="s">
        <v>2220</v>
      </c>
      <c r="F171" s="14" t="s">
        <v>2229</v>
      </c>
      <c r="G171" s="17"/>
      <c r="H171" s="129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1460</v>
      </c>
      <c r="C172" s="14" t="s">
        <v>113</v>
      </c>
      <c r="D172" s="15" t="s">
        <v>2234</v>
      </c>
      <c r="E172" s="16" t="s">
        <v>2220</v>
      </c>
      <c r="F172" s="14" t="s">
        <v>2229</v>
      </c>
      <c r="G172" s="17"/>
      <c r="H172" s="129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1463</v>
      </c>
      <c r="C173" s="14" t="s">
        <v>117</v>
      </c>
      <c r="D173" s="15" t="s">
        <v>2235</v>
      </c>
      <c r="E173" s="16" t="s">
        <v>2220</v>
      </c>
      <c r="F173" s="14" t="s">
        <v>2229</v>
      </c>
      <c r="G173" s="17"/>
      <c r="H173" s="129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1466</v>
      </c>
      <c r="C174" s="14" t="s">
        <v>117</v>
      </c>
      <c r="D174" s="15" t="s">
        <v>2236</v>
      </c>
      <c r="E174" s="16" t="s">
        <v>2220</v>
      </c>
      <c r="F174" s="14" t="s">
        <v>2229</v>
      </c>
      <c r="G174" s="17"/>
      <c r="H174" s="129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1469</v>
      </c>
      <c r="C175" s="14" t="s">
        <v>117</v>
      </c>
      <c r="D175" s="15" t="s">
        <v>2237</v>
      </c>
      <c r="E175" s="16" t="s">
        <v>2220</v>
      </c>
      <c r="F175" s="14" t="s">
        <v>2229</v>
      </c>
      <c r="G175" s="17"/>
      <c r="H175" s="129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1472</v>
      </c>
      <c r="C176" s="14" t="s">
        <v>115</v>
      </c>
      <c r="D176" s="15" t="s">
        <v>2238</v>
      </c>
      <c r="E176" s="16" t="s">
        <v>2220</v>
      </c>
      <c r="F176" s="14" t="s">
        <v>2229</v>
      </c>
      <c r="G176" s="17"/>
      <c r="H176" s="129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2239</v>
      </c>
      <c r="D178" s="6" t="s">
        <v>1504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1451</v>
      </c>
      <c r="C179" s="14" t="s">
        <v>43</v>
      </c>
      <c r="D179" s="15" t="s">
        <v>2240</v>
      </c>
      <c r="E179" s="16" t="s">
        <v>2220</v>
      </c>
      <c r="F179" s="14" t="s">
        <v>2239</v>
      </c>
      <c r="G179" s="17"/>
      <c r="H179" s="129" t="str">
        <f>Settings!$B$3&amp;".mit.obrpt.stl.drg.2"</f>
        <v>egy.mit.obrpt.stl.drg.2</v>
      </c>
      <c r="I179" t="s">
        <v>2241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1454</v>
      </c>
      <c r="C180" s="14" t="s">
        <v>43</v>
      </c>
      <c r="D180" s="15" t="s">
        <v>2242</v>
      </c>
      <c r="E180" s="16" t="s">
        <v>2220</v>
      </c>
      <c r="F180" s="14" t="s">
        <v>2239</v>
      </c>
      <c r="G180" s="17"/>
      <c r="H180" s="129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1457</v>
      </c>
      <c r="C181" s="14" t="s">
        <v>43</v>
      </c>
      <c r="D181" s="15" t="s">
        <v>2243</v>
      </c>
      <c r="E181" s="16" t="s">
        <v>2220</v>
      </c>
      <c r="F181" s="14" t="s">
        <v>2239</v>
      </c>
      <c r="G181" s="17"/>
      <c r="H181" s="129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1460</v>
      </c>
      <c r="C182" s="14" t="s">
        <v>113</v>
      </c>
      <c r="D182" s="15" t="s">
        <v>2244</v>
      </c>
      <c r="E182" s="16" t="s">
        <v>2220</v>
      </c>
      <c r="F182" s="14" t="s">
        <v>2239</v>
      </c>
      <c r="G182" s="17"/>
      <c r="H182" s="129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1463</v>
      </c>
      <c r="C183" s="14" t="s">
        <v>117</v>
      </c>
      <c r="D183" s="15" t="s">
        <v>2245</v>
      </c>
      <c r="E183" s="16" t="s">
        <v>2220</v>
      </c>
      <c r="F183" s="14" t="s">
        <v>2239</v>
      </c>
      <c r="G183" s="17"/>
      <c r="H183" s="129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1466</v>
      </c>
      <c r="C184" s="14" t="s">
        <v>117</v>
      </c>
      <c r="D184" s="15" t="s">
        <v>2246</v>
      </c>
      <c r="E184" s="16" t="s">
        <v>2220</v>
      </c>
      <c r="F184" s="14" t="s">
        <v>2239</v>
      </c>
      <c r="G184" s="17"/>
      <c r="H184" s="129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1469</v>
      </c>
      <c r="C185" s="14" t="s">
        <v>117</v>
      </c>
      <c r="D185" s="15" t="s">
        <v>2247</v>
      </c>
      <c r="E185" s="16" t="s">
        <v>2220</v>
      </c>
      <c r="F185" s="14" t="s">
        <v>2239</v>
      </c>
      <c r="G185" s="17"/>
      <c r="H185" s="129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1472</v>
      </c>
      <c r="C186" s="14" t="s">
        <v>115</v>
      </c>
      <c r="D186" s="15" t="s">
        <v>2248</v>
      </c>
      <c r="E186" s="16" t="s">
        <v>2220</v>
      </c>
      <c r="F186" s="14" t="s">
        <v>2239</v>
      </c>
      <c r="G186" s="17"/>
      <c r="H186" s="129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2249</v>
      </c>
      <c r="D188" s="6" t="s">
        <v>1504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1451</v>
      </c>
      <c r="C189" s="14" t="s">
        <v>43</v>
      </c>
      <c r="D189" s="15" t="s">
        <v>2250</v>
      </c>
      <c r="E189" s="16" t="s">
        <v>2220</v>
      </c>
      <c r="F189" s="14" t="s">
        <v>2249</v>
      </c>
      <c r="G189" s="17"/>
      <c r="H189" s="129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8.625375</v>
      </c>
      <c r="R189" s="19">
        <f t="shared" si="51"/>
        <v>17.25075</v>
      </c>
      <c r="S189" s="19">
        <f t="shared" si="51"/>
        <v>25.876125000000002</v>
      </c>
      <c r="T189" s="19">
        <f t="shared" si="51"/>
        <v>34.5015</v>
      </c>
      <c r="U189" s="19">
        <f t="shared" si="51"/>
        <v>43.126875000000005</v>
      </c>
      <c r="V189" s="19">
        <f t="shared" si="51"/>
        <v>51.752250000000004</v>
      </c>
      <c r="W189" s="19">
        <f t="shared" si="51"/>
        <v>60.377625000000002</v>
      </c>
      <c r="X189" s="19">
        <f t="shared" si="51"/>
        <v>69.003</v>
      </c>
      <c r="Y189" s="19">
        <f t="shared" si="51"/>
        <v>77.628375000000005</v>
      </c>
      <c r="Z189" s="19">
        <f t="shared" si="51"/>
        <v>86.253750000000011</v>
      </c>
      <c r="AA189" s="19">
        <f t="shared" si="51"/>
        <v>94.879125000000002</v>
      </c>
      <c r="AB189" s="19">
        <f t="shared" si="51"/>
        <v>103.50450000000001</v>
      </c>
      <c r="AC189" s="19">
        <f t="shared" si="51"/>
        <v>112.129875</v>
      </c>
      <c r="AD189" s="19">
        <f t="shared" si="51"/>
        <v>120.75525</v>
      </c>
      <c r="AE189" s="19">
        <f t="shared" si="51"/>
        <v>129.38062500000001</v>
      </c>
    </row>
    <row r="190" spans="1:35" customFormat="1" ht="14.25" x14ac:dyDescent="0.45">
      <c r="B190" s="14" t="s">
        <v>1454</v>
      </c>
      <c r="C190" s="14" t="s">
        <v>43</v>
      </c>
      <c r="D190" s="15" t="s">
        <v>2251</v>
      </c>
      <c r="E190" s="16" t="s">
        <v>2220</v>
      </c>
      <c r="F190" s="14" t="s">
        <v>2249</v>
      </c>
      <c r="G190" s="17"/>
      <c r="H190" s="129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1.7531250000000003</v>
      </c>
      <c r="R190" s="19">
        <f t="shared" si="52"/>
        <v>3.5062500000000005</v>
      </c>
      <c r="S190" s="19">
        <f t="shared" si="52"/>
        <v>5.2593750000000004</v>
      </c>
      <c r="T190" s="19">
        <f t="shared" si="52"/>
        <v>7.0125000000000011</v>
      </c>
      <c r="U190" s="19">
        <f t="shared" si="52"/>
        <v>8.765625</v>
      </c>
      <c r="V190" s="19">
        <f t="shared" si="52"/>
        <v>10.518750000000001</v>
      </c>
      <c r="W190" s="19">
        <f t="shared" si="52"/>
        <v>12.271875000000001</v>
      </c>
      <c r="X190" s="19">
        <f t="shared" si="52"/>
        <v>14.025000000000002</v>
      </c>
      <c r="Y190" s="19">
        <f t="shared" si="52"/>
        <v>15.778125000000001</v>
      </c>
      <c r="Z190" s="19">
        <f t="shared" si="52"/>
        <v>17.53125</v>
      </c>
      <c r="AA190" s="19">
        <f t="shared" si="52"/>
        <v>19.284375000000001</v>
      </c>
      <c r="AB190" s="19">
        <f t="shared" si="52"/>
        <v>21.037500000000001</v>
      </c>
      <c r="AC190" s="19">
        <f t="shared" si="52"/>
        <v>22.790625000000002</v>
      </c>
      <c r="AD190" s="19">
        <f t="shared" si="52"/>
        <v>24.543750000000003</v>
      </c>
      <c r="AE190" s="19">
        <f t="shared" si="52"/>
        <v>26.296875000000004</v>
      </c>
    </row>
    <row r="191" spans="1:35" customFormat="1" ht="14.25" x14ac:dyDescent="0.45">
      <c r="B191" s="14" t="s">
        <v>1457</v>
      </c>
      <c r="C191" s="14" t="s">
        <v>43</v>
      </c>
      <c r="D191" s="15" t="s">
        <v>2252</v>
      </c>
      <c r="E191" s="16" t="s">
        <v>2220</v>
      </c>
      <c r="F191" s="14" t="s">
        <v>2249</v>
      </c>
      <c r="G191" s="17"/>
      <c r="H191" s="129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24.025000000000002</v>
      </c>
      <c r="R191" s="19">
        <f t="shared" si="53"/>
        <v>48.050000000000004</v>
      </c>
      <c r="S191" s="19">
        <f t="shared" si="53"/>
        <v>72.075000000000003</v>
      </c>
      <c r="T191" s="19">
        <f t="shared" si="53"/>
        <v>96.100000000000009</v>
      </c>
      <c r="U191" s="19">
        <f t="shared" si="53"/>
        <v>120.12500000000001</v>
      </c>
      <c r="V191" s="19">
        <f t="shared" si="53"/>
        <v>144.15</v>
      </c>
      <c r="W191" s="19">
        <f t="shared" si="53"/>
        <v>168.17500000000001</v>
      </c>
      <c r="X191" s="19">
        <f t="shared" si="53"/>
        <v>192.20000000000002</v>
      </c>
      <c r="Y191" s="19">
        <f t="shared" si="53"/>
        <v>216.22500000000002</v>
      </c>
      <c r="Z191" s="19">
        <f t="shared" si="53"/>
        <v>240.25000000000003</v>
      </c>
      <c r="AA191" s="19">
        <f t="shared" si="53"/>
        <v>264.27500000000003</v>
      </c>
      <c r="AB191" s="19">
        <f t="shared" si="53"/>
        <v>288.3</v>
      </c>
      <c r="AC191" s="19">
        <f t="shared" si="53"/>
        <v>312.32500000000005</v>
      </c>
      <c r="AD191" s="19">
        <f t="shared" si="53"/>
        <v>336.35</v>
      </c>
      <c r="AE191" s="19">
        <f t="shared" si="53"/>
        <v>360.37500000000006</v>
      </c>
    </row>
    <row r="192" spans="1:35" customFormat="1" ht="14.25" x14ac:dyDescent="0.45">
      <c r="B192" s="14" t="s">
        <v>1460</v>
      </c>
      <c r="C192" s="14" t="s">
        <v>113</v>
      </c>
      <c r="D192" s="15" t="s">
        <v>2253</v>
      </c>
      <c r="E192" s="16" t="s">
        <v>2220</v>
      </c>
      <c r="F192" s="14" t="s">
        <v>2249</v>
      </c>
      <c r="G192" s="17"/>
      <c r="H192" s="129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3.6037499999999998</v>
      </c>
      <c r="R192" s="19">
        <f t="shared" si="54"/>
        <v>7.2074999999999996</v>
      </c>
      <c r="S192" s="19">
        <f t="shared" si="54"/>
        <v>10.811249999999999</v>
      </c>
      <c r="T192" s="19">
        <f t="shared" si="54"/>
        <v>14.414999999999999</v>
      </c>
      <c r="U192" s="19">
        <f t="shared" si="54"/>
        <v>18.018750000000001</v>
      </c>
      <c r="V192" s="19">
        <f t="shared" si="54"/>
        <v>21.622499999999999</v>
      </c>
      <c r="W192" s="19">
        <f t="shared" si="54"/>
        <v>25.22625</v>
      </c>
      <c r="X192" s="19">
        <f t="shared" si="54"/>
        <v>28.83</v>
      </c>
      <c r="Y192" s="19">
        <f t="shared" si="54"/>
        <v>32.433750000000003</v>
      </c>
      <c r="Z192" s="19">
        <f t="shared" si="54"/>
        <v>36.037500000000001</v>
      </c>
      <c r="AA192" s="19">
        <f t="shared" si="54"/>
        <v>39.641249999999999</v>
      </c>
      <c r="AB192" s="19">
        <f t="shared" si="54"/>
        <v>43.244999999999997</v>
      </c>
      <c r="AC192" s="19">
        <f t="shared" si="54"/>
        <v>46.848750000000003</v>
      </c>
      <c r="AD192" s="19">
        <f t="shared" si="54"/>
        <v>50.452500000000001</v>
      </c>
      <c r="AE192" s="19">
        <f t="shared" si="54"/>
        <v>54.056249999999999</v>
      </c>
    </row>
    <row r="193" spans="1:35" customFormat="1" ht="14.25" x14ac:dyDescent="0.45">
      <c r="B193" s="14" t="s">
        <v>1463</v>
      </c>
      <c r="C193" s="14" t="s">
        <v>117</v>
      </c>
      <c r="D193" s="15" t="s">
        <v>2254</v>
      </c>
      <c r="E193" s="16" t="s">
        <v>2220</v>
      </c>
      <c r="F193" s="14" t="s">
        <v>2249</v>
      </c>
      <c r="G193" s="17"/>
      <c r="H193" s="129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23.141249999999999</v>
      </c>
      <c r="R193" s="19">
        <f t="shared" si="55"/>
        <v>46.282499999999999</v>
      </c>
      <c r="S193" s="19">
        <f t="shared" si="55"/>
        <v>69.423749999999998</v>
      </c>
      <c r="T193" s="19">
        <f t="shared" si="55"/>
        <v>92.564999999999998</v>
      </c>
      <c r="U193" s="19">
        <f t="shared" si="55"/>
        <v>115.70625</v>
      </c>
      <c r="V193" s="19">
        <f t="shared" si="55"/>
        <v>138.8475</v>
      </c>
      <c r="W193" s="19">
        <f t="shared" si="55"/>
        <v>161.98874999999998</v>
      </c>
      <c r="X193" s="19">
        <f t="shared" si="55"/>
        <v>185.13</v>
      </c>
      <c r="Y193" s="19">
        <f t="shared" si="55"/>
        <v>208.27124999999998</v>
      </c>
      <c r="Z193" s="19">
        <f t="shared" si="55"/>
        <v>231.41249999999999</v>
      </c>
      <c r="AA193" s="19">
        <f t="shared" si="55"/>
        <v>254.55374999999998</v>
      </c>
      <c r="AB193" s="19">
        <f t="shared" si="55"/>
        <v>277.69499999999999</v>
      </c>
      <c r="AC193" s="19">
        <f t="shared" si="55"/>
        <v>300.83625000000001</v>
      </c>
      <c r="AD193" s="19">
        <f t="shared" si="55"/>
        <v>323.97749999999996</v>
      </c>
      <c r="AE193" s="19">
        <f t="shared" si="55"/>
        <v>347.11874999999998</v>
      </c>
    </row>
    <row r="194" spans="1:35" customFormat="1" ht="14.25" x14ac:dyDescent="0.45">
      <c r="B194" s="14" t="s">
        <v>1466</v>
      </c>
      <c r="C194" s="14" t="s">
        <v>117</v>
      </c>
      <c r="D194" s="15" t="s">
        <v>2255</v>
      </c>
      <c r="E194" s="16" t="s">
        <v>2220</v>
      </c>
      <c r="F194" s="14" t="s">
        <v>2249</v>
      </c>
      <c r="G194" s="17"/>
      <c r="H194" s="129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1469</v>
      </c>
      <c r="C195" s="14" t="s">
        <v>117</v>
      </c>
      <c r="D195" s="15" t="s">
        <v>2256</v>
      </c>
      <c r="E195" s="16" t="s">
        <v>2220</v>
      </c>
      <c r="F195" s="14" t="s">
        <v>2249</v>
      </c>
      <c r="G195" s="17"/>
      <c r="H195" s="129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1472</v>
      </c>
      <c r="C196" s="14" t="s">
        <v>115</v>
      </c>
      <c r="D196" s="15" t="s">
        <v>2257</v>
      </c>
      <c r="E196" s="16" t="s">
        <v>2220</v>
      </c>
      <c r="F196" s="14" t="s">
        <v>2249</v>
      </c>
      <c r="G196" s="17"/>
      <c r="H196" s="129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1.95</v>
      </c>
      <c r="R196" s="19">
        <f t="shared" si="58"/>
        <v>3.9</v>
      </c>
      <c r="S196" s="19">
        <f t="shared" si="58"/>
        <v>5.85</v>
      </c>
      <c r="T196" s="19">
        <f t="shared" si="58"/>
        <v>7.8</v>
      </c>
      <c r="U196" s="19">
        <f t="shared" si="58"/>
        <v>9.75</v>
      </c>
      <c r="V196" s="19">
        <f t="shared" si="58"/>
        <v>11.7</v>
      </c>
      <c r="W196" s="19">
        <f t="shared" si="58"/>
        <v>13.65</v>
      </c>
      <c r="X196" s="19">
        <f t="shared" si="58"/>
        <v>15.6</v>
      </c>
      <c r="Y196" s="19">
        <f t="shared" si="58"/>
        <v>17.55</v>
      </c>
      <c r="Z196" s="19">
        <f t="shared" si="58"/>
        <v>19.5</v>
      </c>
      <c r="AA196" s="19">
        <f t="shared" si="58"/>
        <v>21.45</v>
      </c>
      <c r="AB196" s="19">
        <f t="shared" si="58"/>
        <v>23.4</v>
      </c>
      <c r="AC196" s="19">
        <f t="shared" si="58"/>
        <v>25.35</v>
      </c>
      <c r="AD196" s="19">
        <f t="shared" si="58"/>
        <v>27.3</v>
      </c>
      <c r="AE196" s="19">
        <f t="shared" si="58"/>
        <v>29.25</v>
      </c>
    </row>
    <row r="198" spans="1:35" customFormat="1" ht="14.25" x14ac:dyDescent="0.45">
      <c r="A198" s="11"/>
      <c r="B198" s="6"/>
      <c r="C198" s="7" t="s">
        <v>2258</v>
      </c>
      <c r="D198" s="6" t="s">
        <v>1504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1451</v>
      </c>
      <c r="C199" s="14" t="s">
        <v>43</v>
      </c>
      <c r="D199" s="15" t="s">
        <v>2259</v>
      </c>
      <c r="E199" s="16" t="s">
        <v>79</v>
      </c>
      <c r="F199" s="14" t="s">
        <v>2258</v>
      </c>
      <c r="G199" s="17"/>
      <c r="H199" s="129" t="str">
        <f>Settings!$B$3&amp;".mit.ppin.stl.drg.2"</f>
        <v>egy.mit.ppin.stl.drg.2</v>
      </c>
      <c r="I199" t="s">
        <v>2260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1.15005E-2</v>
      </c>
      <c r="R199" s="19">
        <f>IF(Mitigation_Industry!R$687&lt;=0,0,R$189/Mitigation_Industry!R$687)</f>
        <v>2.3001000000000001E-2</v>
      </c>
      <c r="S199" s="19">
        <f>IF(Mitigation_Industry!S$687&lt;=0,0,S$189/Mitigation_Industry!S$687)</f>
        <v>3.4501500000000004E-2</v>
      </c>
      <c r="T199" s="19">
        <f>IF(Mitigation_Industry!T$687&lt;=0,0,T$189/Mitigation_Industry!T$687)</f>
        <v>4.6002000000000001E-2</v>
      </c>
      <c r="U199" s="19">
        <f>IF(Mitigation_Industry!U$687&lt;=0,0,U$189/Mitigation_Industry!U$687)</f>
        <v>5.7502500000000005E-2</v>
      </c>
      <c r="V199" s="19">
        <f>IF(Mitigation_Industry!V$687&lt;=0,0,V$189/Mitigation_Industry!V$687)</f>
        <v>6.9003000000000009E-2</v>
      </c>
      <c r="W199" s="19">
        <f>IF(Mitigation_Industry!W$687&lt;=0,0,W$189/Mitigation_Industry!W$687)</f>
        <v>8.0503500000000006E-2</v>
      </c>
      <c r="X199" s="19">
        <f>IF(Mitigation_Industry!X$687&lt;=0,0,X$189/Mitigation_Industry!X$687)</f>
        <v>9.2004000000000002E-2</v>
      </c>
      <c r="Y199" s="19">
        <f>IF(Mitigation_Industry!Y$687&lt;=0,0,Y$189/Mitigation_Industry!Y$687)</f>
        <v>0.10350450000000001</v>
      </c>
      <c r="Z199" s="19">
        <f>IF(Mitigation_Industry!Z$687&lt;=0,0,Z$189/Mitigation_Industry!Z$687)</f>
        <v>0.11500500000000001</v>
      </c>
      <c r="AA199" s="19">
        <f>IF(Mitigation_Industry!AA$687&lt;=0,0,AA$189/Mitigation_Industry!AA$687)</f>
        <v>0.12650549999999999</v>
      </c>
      <c r="AB199" s="19">
        <f>IF(Mitigation_Industry!AB$687&lt;=0,0,AB$189/Mitigation_Industry!AB$687)</f>
        <v>0.13800600000000002</v>
      </c>
      <c r="AC199" s="19">
        <f>IF(Mitigation_Industry!AC$687&lt;=0,0,AC$189/Mitigation_Industry!AC$687)</f>
        <v>0.14950649999999999</v>
      </c>
      <c r="AD199" s="19">
        <f>IF(Mitigation_Industry!AD$687&lt;=0,0,AD$189/Mitigation_Industry!AD$687)</f>
        <v>0.16100700000000001</v>
      </c>
      <c r="AE199" s="19">
        <f>IF(Mitigation_Industry!AE$687&lt;=0,0,AE$189/Mitigation_Industry!AE$687)</f>
        <v>0.17250750000000001</v>
      </c>
    </row>
    <row r="200" spans="1:35" customFormat="1" ht="14.25" x14ac:dyDescent="0.45">
      <c r="B200" s="14" t="s">
        <v>1454</v>
      </c>
      <c r="C200" s="14" t="s">
        <v>43</v>
      </c>
      <c r="D200" s="15" t="s">
        <v>2261</v>
      </c>
      <c r="E200" s="16" t="s">
        <v>79</v>
      </c>
      <c r="F200" s="14" t="s">
        <v>2258</v>
      </c>
      <c r="G200" s="17"/>
      <c r="H200" s="129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2.5781250000000006E-3</v>
      </c>
      <c r="R200" s="19">
        <f>IF(Mitigation_Industry!R$688&lt;=0,0,R$190/Mitigation_Industry!R$688)</f>
        <v>5.1562500000000011E-3</v>
      </c>
      <c r="S200" s="19">
        <f>IF(Mitigation_Industry!S$688&lt;=0,0,S$190/Mitigation_Industry!S$688)</f>
        <v>7.7343750000000008E-3</v>
      </c>
      <c r="T200" s="19">
        <f>IF(Mitigation_Industry!T$688&lt;=0,0,T$190/Mitigation_Industry!T$688)</f>
        <v>1.0312500000000002E-2</v>
      </c>
      <c r="U200" s="19">
        <f>IF(Mitigation_Industry!U$688&lt;=0,0,U$190/Mitigation_Industry!U$688)</f>
        <v>1.2890624999999999E-2</v>
      </c>
      <c r="V200" s="19">
        <f>IF(Mitigation_Industry!V$688&lt;=0,0,V$190/Mitigation_Industry!V$688)</f>
        <v>1.5468750000000002E-2</v>
      </c>
      <c r="W200" s="19">
        <f>IF(Mitigation_Industry!W$688&lt;=0,0,W$190/Mitigation_Industry!W$688)</f>
        <v>1.8046875E-2</v>
      </c>
      <c r="X200" s="19">
        <f>IF(Mitigation_Industry!X$688&lt;=0,0,X$190/Mitigation_Industry!X$688)</f>
        <v>2.0625000000000004E-2</v>
      </c>
      <c r="Y200" s="19">
        <f>IF(Mitigation_Industry!Y$688&lt;=0,0,Y$190/Mitigation_Industry!Y$688)</f>
        <v>2.3203125000000002E-2</v>
      </c>
      <c r="Z200" s="19">
        <f>IF(Mitigation_Industry!Z$688&lt;=0,0,Z$190/Mitigation_Industry!Z$688)</f>
        <v>2.5781249999999999E-2</v>
      </c>
      <c r="AA200" s="19">
        <f>IF(Mitigation_Industry!AA$688&lt;=0,0,AA$190/Mitigation_Industry!AA$688)</f>
        <v>2.8359375000000003E-2</v>
      </c>
      <c r="AB200" s="19">
        <f>IF(Mitigation_Industry!AB$688&lt;=0,0,AB$190/Mitigation_Industry!AB$688)</f>
        <v>3.0937500000000003E-2</v>
      </c>
      <c r="AC200" s="19">
        <f>IF(Mitigation_Industry!AC$688&lt;=0,0,AC$190/Mitigation_Industry!AC$688)</f>
        <v>3.3515625E-2</v>
      </c>
      <c r="AD200" s="19">
        <f>IF(Mitigation_Industry!AD$688&lt;=0,0,AD$190/Mitigation_Industry!AD$688)</f>
        <v>3.6093750000000001E-2</v>
      </c>
      <c r="AE200" s="19">
        <f>IF(Mitigation_Industry!AE$688&lt;=0,0,AE$190/Mitigation_Industry!AE$688)</f>
        <v>3.8671875000000008E-2</v>
      </c>
    </row>
    <row r="201" spans="1:35" customFormat="1" ht="14.25" x14ac:dyDescent="0.45">
      <c r="B201" s="14" t="s">
        <v>1457</v>
      </c>
      <c r="C201" s="14" t="s">
        <v>43</v>
      </c>
      <c r="D201" s="15" t="s">
        <v>2262</v>
      </c>
      <c r="E201" s="16" t="s">
        <v>79</v>
      </c>
      <c r="F201" s="14" t="s">
        <v>2258</v>
      </c>
      <c r="G201" s="17"/>
      <c r="H201" s="129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3.8750000000000007E-2</v>
      </c>
      <c r="R201" s="19">
        <f>IF(Mitigation_Industry!R$689&lt;=0,0,R$191/Mitigation_Industry!R$689)</f>
        <v>7.7500000000000013E-2</v>
      </c>
      <c r="S201" s="19">
        <f>IF(Mitigation_Industry!S$689&lt;=0,0,S$191/Mitigation_Industry!S$689)</f>
        <v>0.11625000000000001</v>
      </c>
      <c r="T201" s="19">
        <f>IF(Mitigation_Industry!T$689&lt;=0,0,T$191/Mitigation_Industry!T$689)</f>
        <v>0.15500000000000003</v>
      </c>
      <c r="U201" s="19">
        <f>IF(Mitigation_Industry!U$689&lt;=0,0,U$191/Mitigation_Industry!U$689)</f>
        <v>0.19375000000000003</v>
      </c>
      <c r="V201" s="19">
        <f>IF(Mitigation_Industry!V$689&lt;=0,0,V$191/Mitigation_Industry!V$689)</f>
        <v>0.23250000000000001</v>
      </c>
      <c r="W201" s="19">
        <f>IF(Mitigation_Industry!W$689&lt;=0,0,W$191/Mitigation_Industry!W$689)</f>
        <v>0.27124999999999999</v>
      </c>
      <c r="X201" s="19">
        <f>IF(Mitigation_Industry!X$689&lt;=0,0,X$191/Mitigation_Industry!X$689)</f>
        <v>0.31000000000000005</v>
      </c>
      <c r="Y201" s="19">
        <f>IF(Mitigation_Industry!Y$689&lt;=0,0,Y$191/Mitigation_Industry!Y$689)</f>
        <v>0.34875000000000006</v>
      </c>
      <c r="Z201" s="19">
        <f>IF(Mitigation_Industry!Z$689&lt;=0,0,Z$191/Mitigation_Industry!Z$689)</f>
        <v>0.38750000000000007</v>
      </c>
      <c r="AA201" s="19">
        <f>IF(Mitigation_Industry!AA$689&lt;=0,0,AA$191/Mitigation_Industry!AA$689)</f>
        <v>0.42625000000000007</v>
      </c>
      <c r="AB201" s="19">
        <f>IF(Mitigation_Industry!AB$689&lt;=0,0,AB$191/Mitigation_Industry!AB$689)</f>
        <v>0.46500000000000002</v>
      </c>
      <c r="AC201" s="19">
        <f>IF(Mitigation_Industry!AC$689&lt;=0,0,AC$191/Mitigation_Industry!AC$689)</f>
        <v>0.50375000000000003</v>
      </c>
      <c r="AD201" s="19">
        <f>IF(Mitigation_Industry!AD$689&lt;=0,0,AD$191/Mitigation_Industry!AD$689)</f>
        <v>0.54249999999999998</v>
      </c>
      <c r="AE201" s="19">
        <f>IF(Mitigation_Industry!AE$689&lt;=0,0,AE$191/Mitigation_Industry!AE$689)</f>
        <v>0.58125000000000004</v>
      </c>
    </row>
    <row r="202" spans="1:35" customFormat="1" ht="14.25" x14ac:dyDescent="0.45">
      <c r="B202" s="14" t="s">
        <v>1460</v>
      </c>
      <c r="C202" s="14" t="s">
        <v>113</v>
      </c>
      <c r="D202" s="15" t="s">
        <v>2263</v>
      </c>
      <c r="E202" s="16" t="s">
        <v>79</v>
      </c>
      <c r="F202" s="14" t="s">
        <v>2258</v>
      </c>
      <c r="G202" s="17"/>
      <c r="H202" s="129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3.2761363636363637E-2</v>
      </c>
      <c r="R202" s="19">
        <f>IF(Mitigation_Industry!R$690&lt;=0,0,R$192/Mitigation_Industry!R$690)</f>
        <v>6.5522727272727274E-2</v>
      </c>
      <c r="S202" s="19">
        <f>IF(Mitigation_Industry!S$690&lt;=0,0,S$192/Mitigation_Industry!S$690)</f>
        <v>9.8284090909090904E-2</v>
      </c>
      <c r="T202" s="19">
        <f>IF(Mitigation_Industry!T$690&lt;=0,0,T$192/Mitigation_Industry!T$690)</f>
        <v>0.13104545454545455</v>
      </c>
      <c r="U202" s="19">
        <f>IF(Mitigation_Industry!U$690&lt;=0,0,U$192/Mitigation_Industry!U$690)</f>
        <v>0.16380681818181819</v>
      </c>
      <c r="V202" s="19">
        <f>IF(Mitigation_Industry!V$690&lt;=0,0,V$192/Mitigation_Industry!V$690)</f>
        <v>0.19656818181818181</v>
      </c>
      <c r="W202" s="19">
        <f>IF(Mitigation_Industry!W$690&lt;=0,0,W$192/Mitigation_Industry!W$690)</f>
        <v>0.22932954545454545</v>
      </c>
      <c r="X202" s="19">
        <f>IF(Mitigation_Industry!X$690&lt;=0,0,X$192/Mitigation_Industry!X$690)</f>
        <v>0.2620909090909091</v>
      </c>
      <c r="Y202" s="19">
        <f>IF(Mitigation_Industry!Y$690&lt;=0,0,Y$192/Mitigation_Industry!Y$690)</f>
        <v>0.29485227272727277</v>
      </c>
      <c r="Z202" s="19">
        <f>IF(Mitigation_Industry!Z$690&lt;=0,0,Z$192/Mitigation_Industry!Z$690)</f>
        <v>0.32761363636363638</v>
      </c>
      <c r="AA202" s="19">
        <f>IF(Mitigation_Industry!AA$690&lt;=0,0,AA$192/Mitigation_Industry!AA$690)</f>
        <v>0.360375</v>
      </c>
      <c r="AB202" s="19">
        <f>IF(Mitigation_Industry!AB$690&lt;=0,0,AB$192/Mitigation_Industry!AB$690)</f>
        <v>0.39313636363636362</v>
      </c>
      <c r="AC202" s="19">
        <f>IF(Mitigation_Industry!AC$690&lt;=0,0,AC$192/Mitigation_Industry!AC$690)</f>
        <v>0.42589772727272729</v>
      </c>
      <c r="AD202" s="19">
        <f>IF(Mitigation_Industry!AD$690&lt;=0,0,AD$192/Mitigation_Industry!AD$690)</f>
        <v>0.45865909090909091</v>
      </c>
      <c r="AE202" s="19">
        <f>IF(Mitigation_Industry!AE$690&lt;=0,0,AE$192/Mitigation_Industry!AE$690)</f>
        <v>0.49142045454545452</v>
      </c>
    </row>
    <row r="203" spans="1:35" customFormat="1" ht="14.25" x14ac:dyDescent="0.45">
      <c r="B203" s="14" t="s">
        <v>1463</v>
      </c>
      <c r="C203" s="14" t="s">
        <v>117</v>
      </c>
      <c r="D203" s="15" t="s">
        <v>2264</v>
      </c>
      <c r="E203" s="16" t="s">
        <v>79</v>
      </c>
      <c r="F203" s="14" t="s">
        <v>2258</v>
      </c>
      <c r="G203" s="17"/>
      <c r="H203" s="129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5.1424999999999998E-2</v>
      </c>
      <c r="R203" s="19">
        <f>IF(Mitigation_Industry!R$691&lt;=0,0,R$193/Mitigation_Industry!R$691)</f>
        <v>0.10285</v>
      </c>
      <c r="S203" s="19">
        <f>IF(Mitigation_Industry!S$691&lt;=0,0,S$193/Mitigation_Industry!S$691)</f>
        <v>0.154275</v>
      </c>
      <c r="T203" s="19">
        <f>IF(Mitigation_Industry!T$691&lt;=0,0,T$193/Mitigation_Industry!T$691)</f>
        <v>0.20569999999999999</v>
      </c>
      <c r="U203" s="19">
        <f>IF(Mitigation_Industry!U$691&lt;=0,0,U$193/Mitigation_Industry!U$691)</f>
        <v>0.25712499999999999</v>
      </c>
      <c r="V203" s="19">
        <f>IF(Mitigation_Industry!V$691&lt;=0,0,V$193/Mitigation_Industry!V$691)</f>
        <v>0.30854999999999999</v>
      </c>
      <c r="W203" s="19">
        <f>IF(Mitigation_Industry!W$691&lt;=0,0,W$193/Mitigation_Industry!W$691)</f>
        <v>0.35997499999999993</v>
      </c>
      <c r="X203" s="19">
        <f>IF(Mitigation_Industry!X$691&lt;=0,0,X$193/Mitigation_Industry!X$691)</f>
        <v>0.41139999999999999</v>
      </c>
      <c r="Y203" s="19">
        <f>IF(Mitigation_Industry!Y$691&lt;=0,0,Y$193/Mitigation_Industry!Y$691)</f>
        <v>0.46282499999999993</v>
      </c>
      <c r="Z203" s="19">
        <f>IF(Mitigation_Industry!Z$691&lt;=0,0,Z$193/Mitigation_Industry!Z$691)</f>
        <v>0.51424999999999998</v>
      </c>
      <c r="AA203" s="19">
        <f>IF(Mitigation_Industry!AA$691&lt;=0,0,AA$193/Mitigation_Industry!AA$691)</f>
        <v>0.56567499999999993</v>
      </c>
      <c r="AB203" s="19">
        <f>IF(Mitigation_Industry!AB$691&lt;=0,0,AB$193/Mitigation_Industry!AB$691)</f>
        <v>0.61709999999999998</v>
      </c>
      <c r="AC203" s="19">
        <f>IF(Mitigation_Industry!AC$691&lt;=0,0,AC$193/Mitigation_Industry!AC$691)</f>
        <v>0.66852500000000004</v>
      </c>
      <c r="AD203" s="19">
        <f>IF(Mitigation_Industry!AD$691&lt;=0,0,AD$193/Mitigation_Industry!AD$691)</f>
        <v>0.71994999999999987</v>
      </c>
      <c r="AE203" s="19">
        <f>IF(Mitigation_Industry!AE$691&lt;=0,0,AE$193/Mitigation_Industry!AE$691)</f>
        <v>0.77137499999999992</v>
      </c>
    </row>
    <row r="204" spans="1:35" customFormat="1" ht="14.25" x14ac:dyDescent="0.45">
      <c r="B204" s="14" t="s">
        <v>1466</v>
      </c>
      <c r="C204" s="14" t="s">
        <v>117</v>
      </c>
      <c r="D204" s="15" t="s">
        <v>2265</v>
      </c>
      <c r="E204" s="16" t="s">
        <v>79</v>
      </c>
      <c r="F204" s="14" t="s">
        <v>2258</v>
      </c>
      <c r="G204" s="17"/>
      <c r="H204" s="129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1469</v>
      </c>
      <c r="C205" s="14" t="s">
        <v>117</v>
      </c>
      <c r="D205" s="15" t="s">
        <v>2266</v>
      </c>
      <c r="E205" s="16" t="s">
        <v>79</v>
      </c>
      <c r="F205" s="14" t="s">
        <v>2258</v>
      </c>
      <c r="G205" s="17"/>
      <c r="H205" s="129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1472</v>
      </c>
      <c r="C206" s="14" t="s">
        <v>115</v>
      </c>
      <c r="D206" s="15" t="s">
        <v>2267</v>
      </c>
      <c r="E206" s="16" t="s">
        <v>79</v>
      </c>
      <c r="F206" s="14" t="s">
        <v>2258</v>
      </c>
      <c r="G206" s="17"/>
      <c r="H206" s="129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8.1249999999999996E-4</v>
      </c>
      <c r="R206" s="19">
        <f>IF(Mitigation_Industry!R$694&lt;=0,0,R$196/Mitigation_Industry!R$694)</f>
        <v>1.6249999999999999E-3</v>
      </c>
      <c r="S206" s="19">
        <f>IF(Mitigation_Industry!S$694&lt;=0,0,S$196/Mitigation_Industry!S$694)</f>
        <v>2.4375E-3</v>
      </c>
      <c r="T206" s="19">
        <f>IF(Mitigation_Industry!T$694&lt;=0,0,T$196/Mitigation_Industry!T$694)</f>
        <v>3.2499999999999999E-3</v>
      </c>
      <c r="U206" s="19">
        <f>IF(Mitigation_Industry!U$694&lt;=0,0,U$196/Mitigation_Industry!U$694)</f>
        <v>4.0625000000000001E-3</v>
      </c>
      <c r="V206" s="19">
        <f>IF(Mitigation_Industry!V$694&lt;=0,0,V$196/Mitigation_Industry!V$694)</f>
        <v>4.875E-3</v>
      </c>
      <c r="W206" s="19">
        <f>IF(Mitigation_Industry!W$694&lt;=0,0,W$196/Mitigation_Industry!W$694)</f>
        <v>5.6874999999999998E-3</v>
      </c>
      <c r="X206" s="19">
        <f>IF(Mitigation_Industry!X$694&lt;=0,0,X$196/Mitigation_Industry!X$694)</f>
        <v>6.4999999999999997E-3</v>
      </c>
      <c r="Y206" s="19">
        <f>IF(Mitigation_Industry!Y$694&lt;=0,0,Y$196/Mitigation_Industry!Y$694)</f>
        <v>7.3125000000000004E-3</v>
      </c>
      <c r="Z206" s="19">
        <f>IF(Mitigation_Industry!Z$694&lt;=0,0,Z$196/Mitigation_Industry!Z$694)</f>
        <v>8.1250000000000003E-3</v>
      </c>
      <c r="AA206" s="19">
        <f>IF(Mitigation_Industry!AA$694&lt;=0,0,AA$196/Mitigation_Industry!AA$694)</f>
        <v>8.9374999999999993E-3</v>
      </c>
      <c r="AB206" s="19">
        <f>IF(Mitigation_Industry!AB$694&lt;=0,0,AB$196/Mitigation_Industry!AB$694)</f>
        <v>9.75E-3</v>
      </c>
      <c r="AC206" s="19">
        <f>IF(Mitigation_Industry!AC$694&lt;=0,0,AC$196/Mitigation_Industry!AC$694)</f>
        <v>1.0562500000000001E-2</v>
      </c>
      <c r="AD206" s="19">
        <f>IF(Mitigation_Industry!AD$694&lt;=0,0,AD$196/Mitigation_Industry!AD$694)</f>
        <v>1.1375E-2</v>
      </c>
      <c r="AE206" s="19">
        <f>IF(Mitigation_Industry!AE$694&lt;=0,0,AE$196/Mitigation_Industry!AE$694)</f>
        <v>1.21875E-2</v>
      </c>
    </row>
    <row r="208" spans="1:35" customFormat="1" ht="14.25" x14ac:dyDescent="0.45">
      <c r="A208" s="11"/>
      <c r="B208" s="6"/>
      <c r="C208" s="7" t="s">
        <v>2268</v>
      </c>
      <c r="D208" s="6" t="s">
        <v>1504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1451</v>
      </c>
      <c r="C209" s="14" t="s">
        <v>43</v>
      </c>
      <c r="D209" s="15" t="s">
        <v>2269</v>
      </c>
      <c r="E209" s="16" t="s">
        <v>1870</v>
      </c>
      <c r="F209" s="14" t="s">
        <v>2268</v>
      </c>
      <c r="G209" s="17"/>
      <c r="H209" s="129" t="str">
        <f>Settings!$B$3&amp;".mit.obr.stl.drg.2"</f>
        <v>egy.mit.obr.stl.drg.2</v>
      </c>
      <c r="I209" t="s">
        <v>2270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1454</v>
      </c>
      <c r="C210" s="14" t="s">
        <v>43</v>
      </c>
      <c r="D210" s="15" t="s">
        <v>2271</v>
      </c>
      <c r="E210" s="16" t="s">
        <v>1870</v>
      </c>
      <c r="F210" s="14" t="s">
        <v>2268</v>
      </c>
      <c r="G210" s="17"/>
      <c r="H210" s="129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1457</v>
      </c>
      <c r="C211" s="14" t="s">
        <v>43</v>
      </c>
      <c r="D211" s="15" t="s">
        <v>2272</v>
      </c>
      <c r="E211" s="16" t="s">
        <v>1870</v>
      </c>
      <c r="F211" s="14" t="s">
        <v>2268</v>
      </c>
      <c r="G211" s="17"/>
      <c r="H211" s="129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1460</v>
      </c>
      <c r="C212" s="14" t="s">
        <v>113</v>
      </c>
      <c r="D212" s="15" t="s">
        <v>2273</v>
      </c>
      <c r="E212" s="16" t="s">
        <v>1870</v>
      </c>
      <c r="F212" s="14" t="s">
        <v>2268</v>
      </c>
      <c r="G212" s="17"/>
      <c r="H212" s="129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1463</v>
      </c>
      <c r="C213" s="14" t="s">
        <v>117</v>
      </c>
      <c r="D213" s="15" t="s">
        <v>2274</v>
      </c>
      <c r="E213" s="16" t="s">
        <v>1870</v>
      </c>
      <c r="F213" s="14" t="s">
        <v>2268</v>
      </c>
      <c r="G213" s="17"/>
      <c r="H213" s="129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1466</v>
      </c>
      <c r="C214" s="14" t="s">
        <v>117</v>
      </c>
      <c r="D214" s="15" t="s">
        <v>2275</v>
      </c>
      <c r="E214" s="16" t="s">
        <v>1870</v>
      </c>
      <c r="F214" s="14" t="s">
        <v>2268</v>
      </c>
      <c r="G214" s="17"/>
      <c r="H214" s="129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1469</v>
      </c>
      <c r="C215" s="14" t="s">
        <v>117</v>
      </c>
      <c r="D215" s="15" t="s">
        <v>2276</v>
      </c>
      <c r="E215" s="16" t="s">
        <v>1870</v>
      </c>
      <c r="F215" s="14" t="s">
        <v>2268</v>
      </c>
      <c r="G215" s="17"/>
      <c r="H215" s="129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1472</v>
      </c>
      <c r="C216" s="14" t="s">
        <v>115</v>
      </c>
      <c r="D216" s="15" t="s">
        <v>2277</v>
      </c>
      <c r="E216" s="16" t="s">
        <v>1870</v>
      </c>
      <c r="F216" s="14" t="s">
        <v>2268</v>
      </c>
      <c r="G216" s="17"/>
      <c r="H216" s="129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2278</v>
      </c>
      <c r="E217" s="16" t="s">
        <v>1870</v>
      </c>
      <c r="F217" s="14" t="s">
        <v>2268</v>
      </c>
      <c r="H217" s="129" t="str">
        <f>Settings!$B$3&amp;".mit.obr.cbam.tot.2"</f>
        <v>egy.mit.obr.cbam.tot.2</v>
      </c>
      <c r="L217" s="131">
        <f t="shared" ref="L217:AE217" si="59">SUM(L209:L216)</f>
        <v>0</v>
      </c>
      <c r="M217" s="131">
        <f t="shared" si="59"/>
        <v>0</v>
      </c>
      <c r="N217" s="131">
        <f t="shared" si="59"/>
        <v>0</v>
      </c>
      <c r="O217" s="131">
        <f t="shared" si="59"/>
        <v>0</v>
      </c>
      <c r="P217" s="131">
        <f t="shared" si="59"/>
        <v>0</v>
      </c>
      <c r="Q217" s="131">
        <f t="shared" si="59"/>
        <v>0</v>
      </c>
      <c r="R217" s="131">
        <f t="shared" si="59"/>
        <v>0</v>
      </c>
      <c r="S217" s="131">
        <f t="shared" si="59"/>
        <v>0</v>
      </c>
      <c r="T217" s="131">
        <f t="shared" si="59"/>
        <v>0</v>
      </c>
      <c r="U217" s="131">
        <f t="shared" si="59"/>
        <v>0</v>
      </c>
      <c r="V217" s="131">
        <f t="shared" si="59"/>
        <v>0</v>
      </c>
      <c r="W217" s="131">
        <f t="shared" si="59"/>
        <v>0</v>
      </c>
      <c r="X217" s="131">
        <f t="shared" si="59"/>
        <v>0</v>
      </c>
      <c r="Y217" s="131">
        <f t="shared" si="59"/>
        <v>0</v>
      </c>
      <c r="Z217" s="131">
        <f t="shared" si="59"/>
        <v>0</v>
      </c>
      <c r="AA217" s="131">
        <f t="shared" si="59"/>
        <v>0</v>
      </c>
      <c r="AB217" s="131">
        <f t="shared" si="59"/>
        <v>0</v>
      </c>
      <c r="AC217" s="131">
        <f t="shared" si="59"/>
        <v>0</v>
      </c>
      <c r="AD217" s="131">
        <f t="shared" si="59"/>
        <v>0</v>
      </c>
      <c r="AE217" s="131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1504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2279</v>
      </c>
      <c r="E220" s="16" t="s">
        <v>1870</v>
      </c>
      <c r="F220" s="14" t="s">
        <v>2268</v>
      </c>
      <c r="H220" s="129" t="str">
        <f>Settings!$B$3&amp;".mit.obr.ind.irn.2"</f>
        <v>egy.mit.obr.ind.irn.2</v>
      </c>
      <c r="I220" t="s">
        <v>2280</v>
      </c>
      <c r="L220" s="131">
        <f t="shared" ref="L220:AE220" si="60">L$209+L$210+L$211</f>
        <v>0</v>
      </c>
      <c r="M220" s="131">
        <f t="shared" si="60"/>
        <v>0</v>
      </c>
      <c r="N220" s="131">
        <f t="shared" si="60"/>
        <v>0</v>
      </c>
      <c r="O220" s="131">
        <f t="shared" si="60"/>
        <v>0</v>
      </c>
      <c r="P220" s="131">
        <f t="shared" si="60"/>
        <v>0</v>
      </c>
      <c r="Q220" s="131">
        <f t="shared" si="60"/>
        <v>0</v>
      </c>
      <c r="R220" s="131">
        <f t="shared" si="60"/>
        <v>0</v>
      </c>
      <c r="S220" s="131">
        <f t="shared" si="60"/>
        <v>0</v>
      </c>
      <c r="T220" s="131">
        <f t="shared" si="60"/>
        <v>0</v>
      </c>
      <c r="U220" s="131">
        <f t="shared" si="60"/>
        <v>0</v>
      </c>
      <c r="V220" s="131">
        <f t="shared" si="60"/>
        <v>0</v>
      </c>
      <c r="W220" s="131">
        <f t="shared" si="60"/>
        <v>0</v>
      </c>
      <c r="X220" s="131">
        <f t="shared" si="60"/>
        <v>0</v>
      </c>
      <c r="Y220" s="131">
        <f t="shared" si="60"/>
        <v>0</v>
      </c>
      <c r="Z220" s="131">
        <f t="shared" si="60"/>
        <v>0</v>
      </c>
      <c r="AA220" s="131">
        <f t="shared" si="60"/>
        <v>0</v>
      </c>
      <c r="AB220" s="131">
        <f t="shared" si="60"/>
        <v>0</v>
      </c>
      <c r="AC220" s="131">
        <f t="shared" si="60"/>
        <v>0</v>
      </c>
      <c r="AD220" s="131">
        <f t="shared" si="60"/>
        <v>0</v>
      </c>
      <c r="AE220" s="131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2281</v>
      </c>
      <c r="E221" s="16" t="s">
        <v>1870</v>
      </c>
      <c r="F221" s="14" t="s">
        <v>2282</v>
      </c>
      <c r="H221" s="129" t="str">
        <f>Settings!$B$3&amp;".mit.ccf.ind.irn.2"</f>
        <v>egy.mit.ccf.ind.irn.2</v>
      </c>
      <c r="L221" s="131">
        <f>L$159*Mitigation_Industry!L$675/1000+L$160*Mitigation_Industry!L$676/1000+L$161*Mitigation_Industry!L$677/1000</f>
        <v>0</v>
      </c>
      <c r="M221" s="131">
        <f>M$159*Mitigation_Industry!M$675/1000+M$160*Mitigation_Industry!M$676/1000+M$161*Mitigation_Industry!M$677/1000</f>
        <v>0</v>
      </c>
      <c r="N221" s="131">
        <f>N$159*Mitigation_Industry!N$675/1000+N$160*Mitigation_Industry!N$676/1000+N$161*Mitigation_Industry!N$677/1000</f>
        <v>0</v>
      </c>
      <c r="O221" s="131">
        <f>O$159*Mitigation_Industry!O$675/1000+O$160*Mitigation_Industry!O$676/1000+O$161*Mitigation_Industry!O$677/1000</f>
        <v>0</v>
      </c>
      <c r="P221" s="131">
        <f>P$159*Mitigation_Industry!P$675/1000+P$160*Mitigation_Industry!P$676/1000+P$161*Mitigation_Industry!P$677/1000</f>
        <v>0</v>
      </c>
      <c r="Q221" s="131">
        <f>Q$159*Mitigation_Industry!Q$675/1000+Q$160*Mitigation_Industry!Q$676/1000+Q$161*Mitigation_Industry!Q$677/1000</f>
        <v>59.63062379527441</v>
      </c>
      <c r="R221" s="131">
        <f>R$159*Mitigation_Industry!R$675/1000+R$160*Mitigation_Industry!R$676/1000+R$161*Mitigation_Industry!R$677/1000</f>
        <v>124.50874248453296</v>
      </c>
      <c r="S221" s="131">
        <f>S$159*Mitigation_Industry!S$675/1000+S$160*Mitigation_Industry!S$676/1000+S$161*Mitigation_Industry!S$677/1000</f>
        <v>194.98069073077863</v>
      </c>
      <c r="T221" s="131">
        <f>T$159*Mitigation_Industry!T$675/1000+T$160*Mitigation_Industry!T$676/1000+T$161*Mitigation_Industry!T$677/1000</f>
        <v>271.41312149724388</v>
      </c>
      <c r="U221" s="131">
        <f>U$159*Mitigation_Industry!U$675/1000+U$160*Mitigation_Industry!U$676/1000+U$161*Mitigation_Industry!U$677/1000</f>
        <v>354.1941235539033</v>
      </c>
      <c r="V221" s="131">
        <f>V$159*Mitigation_Industry!V$675/1000+V$160*Mitigation_Industry!V$676/1000+V$161*Mitigation_Industry!V$677/1000</f>
        <v>443.73439798832999</v>
      </c>
      <c r="W221" s="131">
        <f>W$159*Mitigation_Industry!W$675/1000+W$160*Mitigation_Industry!W$676/1000+W$161*Mitigation_Industry!W$677/1000</f>
        <v>540.46849674978591</v>
      </c>
      <c r="X221" s="131">
        <f>X$159*Mitigation_Industry!X$675/1000+X$160*Mitigation_Industry!X$676/1000+X$161*Mitigation_Industry!X$677/1000</f>
        <v>644.85612640774457</v>
      </c>
      <c r="Y221" s="131">
        <f>Y$159*Mitigation_Industry!Y$675/1000+Y$160*Mitigation_Industry!Y$676/1000+Y$161*Mitigation_Industry!Y$677/1000</f>
        <v>757.38352046589614</v>
      </c>
      <c r="Z221" s="131">
        <f>Z$159*Mitigation_Industry!Z$675/1000+Z$160*Mitigation_Industry!Z$676/1000+Z$161*Mitigation_Industry!Z$677/1000</f>
        <v>878.56488374043943</v>
      </c>
      <c r="AA221" s="131">
        <f>AA$159*Mitigation_Industry!AA$675/1000+AA$160*Mitigation_Industry!AA$676/1000+AA$161*Mitigation_Industry!AA$677/1000</f>
        <v>1008.9439124875206</v>
      </c>
      <c r="AB221" s="131">
        <f>AB$159*Mitigation_Industry!AB$675/1000+AB$160*Mitigation_Industry!AB$676/1000+AB$161*Mitigation_Industry!AB$677/1000</f>
        <v>1149.0953941494236</v>
      </c>
      <c r="AC221" s="131">
        <f>AC$159*Mitigation_Industry!AC$675/1000+AC$160*Mitigation_Industry!AC$676/1000+AC$161*Mitigation_Industry!AC$677/1000</f>
        <v>1299.6268907829983</v>
      </c>
      <c r="AD221" s="131">
        <f>AD$159*Mitigation_Industry!AD$675/1000+AD$160*Mitigation_Industry!AD$676/1000+AD$161*Mitigation_Industry!AD$677/1000</f>
        <v>1461.1805104372538</v>
      </c>
      <c r="AE221" s="131">
        <f>AE$159*Mitigation_Industry!AE$675/1000+AE$160*Mitigation_Industry!AE$676/1000+AE$161*Mitigation_Industry!AE$677/1000</f>
        <v>1634.4347709605281</v>
      </c>
    </row>
    <row r="222" spans="1:35" customFormat="1" ht="14.25" x14ac:dyDescent="0.45">
      <c r="B222" s="14" t="s">
        <v>110</v>
      </c>
      <c r="C222" s="14" t="s">
        <v>43</v>
      </c>
      <c r="D222" s="25" t="s">
        <v>2283</v>
      </c>
      <c r="E222" s="16" t="s">
        <v>79</v>
      </c>
      <c r="F222" s="14" t="s">
        <v>2284</v>
      </c>
      <c r="H222" s="129" t="str">
        <f>Settings!$B$3&amp;".mit.rsh.ind.irn.2"</f>
        <v>egy.mit.rsh.ind.irn.2</v>
      </c>
      <c r="I222" t="s">
        <v>2285</v>
      </c>
      <c r="L222" s="131">
        <f t="shared" ref="L222:AE222" si="61">IF(L$221&lt;=0,0,MIN(1,L$220/L$221))</f>
        <v>0</v>
      </c>
      <c r="M222" s="131">
        <f t="shared" si="61"/>
        <v>0</v>
      </c>
      <c r="N222" s="131">
        <f t="shared" si="61"/>
        <v>0</v>
      </c>
      <c r="O222" s="131">
        <f t="shared" si="61"/>
        <v>0</v>
      </c>
      <c r="P222" s="131">
        <f t="shared" si="61"/>
        <v>0</v>
      </c>
      <c r="Q222" s="131">
        <f t="shared" si="61"/>
        <v>0</v>
      </c>
      <c r="R222" s="131">
        <f t="shared" si="61"/>
        <v>0</v>
      </c>
      <c r="S222" s="131">
        <f t="shared" si="61"/>
        <v>0</v>
      </c>
      <c r="T222" s="131">
        <f t="shared" si="61"/>
        <v>0</v>
      </c>
      <c r="U222" s="131">
        <f t="shared" si="61"/>
        <v>0</v>
      </c>
      <c r="V222" s="131">
        <f t="shared" si="61"/>
        <v>0</v>
      </c>
      <c r="W222" s="131">
        <f t="shared" si="61"/>
        <v>0</v>
      </c>
      <c r="X222" s="131">
        <f t="shared" si="61"/>
        <v>0</v>
      </c>
      <c r="Y222" s="131">
        <f t="shared" si="61"/>
        <v>0</v>
      </c>
      <c r="Z222" s="131">
        <f t="shared" si="61"/>
        <v>0</v>
      </c>
      <c r="AA222" s="131">
        <f t="shared" si="61"/>
        <v>0</v>
      </c>
      <c r="AB222" s="131">
        <f t="shared" si="61"/>
        <v>0</v>
      </c>
      <c r="AC222" s="131">
        <f t="shared" si="61"/>
        <v>0</v>
      </c>
      <c r="AD222" s="131">
        <f t="shared" si="61"/>
        <v>0</v>
      </c>
      <c r="AE222" s="131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2286</v>
      </c>
      <c r="E223" s="16" t="s">
        <v>51</v>
      </c>
      <c r="F223" s="14" t="s">
        <v>2287</v>
      </c>
      <c r="G223" s="17"/>
      <c r="H223" s="129" t="str">
        <f>Settings!$B$3&amp;".mit.atpn.irn.coa.e.2"</f>
        <v>egy.mit.atpn.irn.coa.e.2</v>
      </c>
      <c r="I223" t="s">
        <v>2344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2289</v>
      </c>
      <c r="E224" s="16" t="s">
        <v>51</v>
      </c>
      <c r="F224" s="14" t="s">
        <v>2287</v>
      </c>
      <c r="G224" s="17"/>
      <c r="H224" s="129" t="str">
        <f>Settings!$B$3&amp;".mit.atpn.irn.nga.e.2"</f>
        <v>egy.mit.atpn.irn.nga.e.2</v>
      </c>
      <c r="I224" t="s">
        <v>2345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2291</v>
      </c>
      <c r="E225" s="16" t="s">
        <v>57</v>
      </c>
      <c r="F225" s="14" t="s">
        <v>2287</v>
      </c>
      <c r="G225" s="17"/>
      <c r="H225" s="129" t="str">
        <f>Settings!$B$3&amp;".mit.atpn.irn.gso.e.2"</f>
        <v>egy.mit.atpn.irn.gso.e.2</v>
      </c>
      <c r="I225" t="s">
        <v>2346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2293</v>
      </c>
      <c r="E226" s="16" t="s">
        <v>57</v>
      </c>
      <c r="F226" s="14" t="s">
        <v>2287</v>
      </c>
      <c r="G226" s="17"/>
      <c r="H226" s="129" t="str">
        <f>Settings!$B$3&amp;".mit.atpn.irn.die.e.2"</f>
        <v>egy.mit.atpn.irn.die.e.2</v>
      </c>
      <c r="I226" t="s">
        <v>2347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2295</v>
      </c>
      <c r="E227" s="16" t="s">
        <v>57</v>
      </c>
      <c r="F227" s="14" t="s">
        <v>2287</v>
      </c>
      <c r="G227" s="17"/>
      <c r="H227" s="129" t="str">
        <f>Settings!$B$3&amp;".mit.atpn.irn.lpg.e.2"</f>
        <v>egy.mit.atpn.irn.lpg.e.2</v>
      </c>
      <c r="I227" t="s">
        <v>2348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2297</v>
      </c>
      <c r="E228" s="16" t="s">
        <v>57</v>
      </c>
      <c r="F228" s="14" t="s">
        <v>2287</v>
      </c>
      <c r="G228" s="17"/>
      <c r="H228" s="129" t="str">
        <f>Settings!$B$3&amp;".mit.atpn.irn.ker.e.2"</f>
        <v>egy.mit.atpn.irn.ker.e.2</v>
      </c>
      <c r="I228" t="s">
        <v>2349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2299</v>
      </c>
      <c r="E229" s="16" t="s">
        <v>66</v>
      </c>
      <c r="F229" s="14" t="s">
        <v>2287</v>
      </c>
      <c r="G229" s="17"/>
      <c r="H229" s="129" t="str">
        <f>Settings!$B$3&amp;".mit.atpn.irn.oop.e.2"</f>
        <v>egy.mit.atpn.irn.oop.e.2</v>
      </c>
      <c r="I229" t="s">
        <v>2350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2301</v>
      </c>
      <c r="E230" s="16" t="s">
        <v>51</v>
      </c>
      <c r="F230" s="14" t="s">
        <v>2287</v>
      </c>
      <c r="G230" s="17"/>
      <c r="H230" s="129" t="str">
        <f>Settings!$B$3&amp;".mit.atpn.irn.bio.e.2"</f>
        <v>egy.mit.atpn.irn.bio.e.2</v>
      </c>
      <c r="I230" t="s">
        <v>2351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2303</v>
      </c>
      <c r="E231" s="16" t="s">
        <v>71</v>
      </c>
      <c r="F231" s="14" t="s">
        <v>2287</v>
      </c>
      <c r="G231" s="17"/>
      <c r="H231" s="129" t="str">
        <f>Settings!$B$3&amp;".mit.atpn.irn.ren.e.2"</f>
        <v>egy.mit.atpn.irn.ren.e.2</v>
      </c>
      <c r="I231" t="s">
        <v>2352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1504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2279</v>
      </c>
      <c r="E234" s="16" t="s">
        <v>1870</v>
      </c>
      <c r="F234" s="14" t="s">
        <v>2268</v>
      </c>
      <c r="H234" s="129" t="str">
        <f>Settings!$B$3&amp;".mit.obr.ind.cem.2"</f>
        <v>egy.mit.obr.ind.cem.2</v>
      </c>
      <c r="I234" t="s">
        <v>2305</v>
      </c>
      <c r="L234" s="131">
        <f t="shared" ref="L234:AE234" si="62">L$212</f>
        <v>0</v>
      </c>
      <c r="M234" s="131">
        <f t="shared" si="62"/>
        <v>0</v>
      </c>
      <c r="N234" s="131">
        <f t="shared" si="62"/>
        <v>0</v>
      </c>
      <c r="O234" s="131">
        <f t="shared" si="62"/>
        <v>0</v>
      </c>
      <c r="P234" s="131">
        <f t="shared" si="62"/>
        <v>0</v>
      </c>
      <c r="Q234" s="131">
        <f t="shared" si="62"/>
        <v>0</v>
      </c>
      <c r="R234" s="131">
        <f t="shared" si="62"/>
        <v>0</v>
      </c>
      <c r="S234" s="131">
        <f t="shared" si="62"/>
        <v>0</v>
      </c>
      <c r="T234" s="131">
        <f t="shared" si="62"/>
        <v>0</v>
      </c>
      <c r="U234" s="131">
        <f t="shared" si="62"/>
        <v>0</v>
      </c>
      <c r="V234" s="131">
        <f t="shared" si="62"/>
        <v>0</v>
      </c>
      <c r="W234" s="131">
        <f t="shared" si="62"/>
        <v>0</v>
      </c>
      <c r="X234" s="131">
        <f t="shared" si="62"/>
        <v>0</v>
      </c>
      <c r="Y234" s="131">
        <f t="shared" si="62"/>
        <v>0</v>
      </c>
      <c r="Z234" s="131">
        <f t="shared" si="62"/>
        <v>0</v>
      </c>
      <c r="AA234" s="131">
        <f t="shared" si="62"/>
        <v>0</v>
      </c>
      <c r="AB234" s="131">
        <f t="shared" si="62"/>
        <v>0</v>
      </c>
      <c r="AC234" s="131">
        <f t="shared" si="62"/>
        <v>0</v>
      </c>
      <c r="AD234" s="131">
        <f t="shared" si="62"/>
        <v>0</v>
      </c>
      <c r="AE234" s="131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2281</v>
      </c>
      <c r="E235" s="16" t="s">
        <v>1870</v>
      </c>
      <c r="F235" s="14" t="s">
        <v>2282</v>
      </c>
      <c r="H235" s="129" t="str">
        <f>Settings!$B$3&amp;".mit.ccf.ind.cem.2"</f>
        <v>egy.mit.ccf.ind.cem.2</v>
      </c>
      <c r="L235" s="131">
        <f>L$162*Mitigation_Industry!L$678/1000</f>
        <v>0</v>
      </c>
      <c r="M235" s="131">
        <f>M$162*Mitigation_Industry!M$678/1000</f>
        <v>0</v>
      </c>
      <c r="N235" s="131">
        <f>N$162*Mitigation_Industry!N$678/1000</f>
        <v>0</v>
      </c>
      <c r="O235" s="131">
        <f>O$162*Mitigation_Industry!O$678/1000</f>
        <v>0</v>
      </c>
      <c r="P235" s="131">
        <f>P$162*Mitigation_Industry!P$678/1000</f>
        <v>0</v>
      </c>
      <c r="Q235" s="131">
        <f>Q$162*Mitigation_Industry!Q$678/1000</f>
        <v>198.62121046068742</v>
      </c>
      <c r="R235" s="131">
        <f>R$162*Mitigation_Industry!R$678/1000</f>
        <v>410.3514208117802</v>
      </c>
      <c r="S235" s="131">
        <f>S$162*Mitigation_Industry!S$678/1000</f>
        <v>635.83952654785332</v>
      </c>
      <c r="T235" s="131">
        <f>T$162*Mitigation_Industry!T$678/1000</f>
        <v>875.76297456524321</v>
      </c>
      <c r="U235" s="131">
        <f>U$162*Mitigation_Industry!U$678/1000</f>
        <v>1130.8289409073702</v>
      </c>
      <c r="V235" s="131">
        <f>V$162*Mitigation_Industry!V$678/1000</f>
        <v>1401.7755551487758</v>
      </c>
      <c r="W235" s="131">
        <f>W$162*Mitigation_Industry!W$678/1000</f>
        <v>1689.3731732134663</v>
      </c>
      <c r="X235" s="131">
        <f>X$162*Mitigation_Industry!X$678/1000</f>
        <v>1994.4257004908686</v>
      </c>
      <c r="Y235" s="131">
        <f>Y$162*Mitigation_Industry!Y$678/1000</f>
        <v>2317.7719671829514</v>
      </c>
      <c r="Z235" s="131">
        <f>Z$162*Mitigation_Industry!Z$678/1000</f>
        <v>2660.2871578888758</v>
      </c>
      <c r="AA235" s="131">
        <f>AA$162*Mitigation_Industry!AA$678/1000</f>
        <v>3022.8842975091293</v>
      </c>
      <c r="AB235" s="131">
        <f>AB$162*Mitigation_Industry!AB$678/1000</f>
        <v>3406.5157956293779</v>
      </c>
      <c r="AC235" s="131">
        <f>AC$162*Mitigation_Industry!AC$678/1000</f>
        <v>3812.1750516255765</v>
      </c>
      <c r="AD235" s="131">
        <f>AD$162*Mitigation_Industry!AD$678/1000</f>
        <v>4240.8981228160828</v>
      </c>
      <c r="AE235" s="131">
        <f>AE$162*Mitigation_Industry!AE$678/1000</f>
        <v>4693.7654580739418</v>
      </c>
    </row>
    <row r="236" spans="1:35" customFormat="1" ht="14.25" x14ac:dyDescent="0.45">
      <c r="B236" s="14" t="s">
        <v>110</v>
      </c>
      <c r="C236" s="14" t="s">
        <v>113</v>
      </c>
      <c r="D236" s="25" t="s">
        <v>2283</v>
      </c>
      <c r="E236" s="16" t="s">
        <v>79</v>
      </c>
      <c r="F236" s="14" t="s">
        <v>2284</v>
      </c>
      <c r="H236" s="129" t="str">
        <f>Settings!$B$3&amp;".mit.rsh.ind.cem.2"</f>
        <v>egy.mit.rsh.ind.cem.2</v>
      </c>
      <c r="I236" t="s">
        <v>2285</v>
      </c>
      <c r="L236" s="131">
        <f t="shared" ref="L236:AE236" si="63">IF(L$235&lt;=0,0,MIN(1,L$234/L$235))</f>
        <v>0</v>
      </c>
      <c r="M236" s="131">
        <f t="shared" si="63"/>
        <v>0</v>
      </c>
      <c r="N236" s="131">
        <f t="shared" si="63"/>
        <v>0</v>
      </c>
      <c r="O236" s="131">
        <f t="shared" si="63"/>
        <v>0</v>
      </c>
      <c r="P236" s="131">
        <f t="shared" si="63"/>
        <v>0</v>
      </c>
      <c r="Q236" s="131">
        <f t="shared" si="63"/>
        <v>0</v>
      </c>
      <c r="R236" s="131">
        <f t="shared" si="63"/>
        <v>0</v>
      </c>
      <c r="S236" s="131">
        <f t="shared" si="63"/>
        <v>0</v>
      </c>
      <c r="T236" s="131">
        <f t="shared" si="63"/>
        <v>0</v>
      </c>
      <c r="U236" s="131">
        <f t="shared" si="63"/>
        <v>0</v>
      </c>
      <c r="V236" s="131">
        <f t="shared" si="63"/>
        <v>0</v>
      </c>
      <c r="W236" s="131">
        <f t="shared" si="63"/>
        <v>0</v>
      </c>
      <c r="X236" s="131">
        <f t="shared" si="63"/>
        <v>0</v>
      </c>
      <c r="Y236" s="131">
        <f t="shared" si="63"/>
        <v>0</v>
      </c>
      <c r="Z236" s="131">
        <f t="shared" si="63"/>
        <v>0</v>
      </c>
      <c r="AA236" s="131">
        <f t="shared" si="63"/>
        <v>0</v>
      </c>
      <c r="AB236" s="131">
        <f t="shared" si="63"/>
        <v>0</v>
      </c>
      <c r="AC236" s="131">
        <f t="shared" si="63"/>
        <v>0</v>
      </c>
      <c r="AD236" s="131">
        <f t="shared" si="63"/>
        <v>0</v>
      </c>
      <c r="AE236" s="131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2286</v>
      </c>
      <c r="E237" s="16" t="s">
        <v>51</v>
      </c>
      <c r="F237" s="14" t="s">
        <v>2287</v>
      </c>
      <c r="G237" s="17"/>
      <c r="H237" s="129" t="str">
        <f>Settings!$B$3&amp;".mit.atpn.cem.coa.e.2"</f>
        <v>egy.mit.atpn.cem.coa.e.2</v>
      </c>
      <c r="I237" t="s">
        <v>2353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2289</v>
      </c>
      <c r="E238" s="16" t="s">
        <v>51</v>
      </c>
      <c r="F238" s="14" t="s">
        <v>2287</v>
      </c>
      <c r="G238" s="17"/>
      <c r="H238" s="129" t="str">
        <f>Settings!$B$3&amp;".mit.atpn.cem.nga.e.2"</f>
        <v>egy.mit.atpn.cem.nga.e.2</v>
      </c>
      <c r="I238" t="s">
        <v>2354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2291</v>
      </c>
      <c r="E239" s="16" t="s">
        <v>57</v>
      </c>
      <c r="F239" s="14" t="s">
        <v>2287</v>
      </c>
      <c r="G239" s="17"/>
      <c r="H239" s="129" t="str">
        <f>Settings!$B$3&amp;".mit.atpn.cem.gso.e.2"</f>
        <v>egy.mit.atpn.cem.gso.e.2</v>
      </c>
      <c r="I239" t="s">
        <v>2355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2293</v>
      </c>
      <c r="E240" s="16" t="s">
        <v>57</v>
      </c>
      <c r="F240" s="14" t="s">
        <v>2287</v>
      </c>
      <c r="G240" s="17"/>
      <c r="H240" s="129" t="str">
        <f>Settings!$B$3&amp;".mit.atpn.cem.die.e.2"</f>
        <v>egy.mit.atpn.cem.die.e.2</v>
      </c>
      <c r="I240" t="s">
        <v>2356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2295</v>
      </c>
      <c r="E241" s="16" t="s">
        <v>57</v>
      </c>
      <c r="F241" s="14" t="s">
        <v>2287</v>
      </c>
      <c r="G241" s="17"/>
      <c r="H241" s="129" t="str">
        <f>Settings!$B$3&amp;".mit.atpn.cem.lpg.e.2"</f>
        <v>egy.mit.atpn.cem.lpg.e.2</v>
      </c>
      <c r="I241" t="s">
        <v>2357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2297</v>
      </c>
      <c r="E242" s="16" t="s">
        <v>57</v>
      </c>
      <c r="F242" s="14" t="s">
        <v>2287</v>
      </c>
      <c r="G242" s="17"/>
      <c r="H242" s="129" t="str">
        <f>Settings!$B$3&amp;".mit.atpn.cem.ker.e.2"</f>
        <v>egy.mit.atpn.cem.ker.e.2</v>
      </c>
      <c r="I242" t="s">
        <v>2358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2299</v>
      </c>
      <c r="E243" s="16" t="s">
        <v>66</v>
      </c>
      <c r="F243" s="14" t="s">
        <v>2287</v>
      </c>
      <c r="G243" s="17"/>
      <c r="H243" s="129" t="str">
        <f>Settings!$B$3&amp;".mit.atpn.cem.oop.e.2"</f>
        <v>egy.mit.atpn.cem.oop.e.2</v>
      </c>
      <c r="I243" t="s">
        <v>2359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2301</v>
      </c>
      <c r="E244" s="16" t="s">
        <v>51</v>
      </c>
      <c r="F244" s="14" t="s">
        <v>2287</v>
      </c>
      <c r="G244" s="17"/>
      <c r="H244" s="129" t="str">
        <f>Settings!$B$3&amp;".mit.atpn.cem.bio.e.2"</f>
        <v>egy.mit.atpn.cem.bio.e.2</v>
      </c>
      <c r="I244" t="s">
        <v>2360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2303</v>
      </c>
      <c r="E245" s="16" t="s">
        <v>71</v>
      </c>
      <c r="F245" s="14" t="s">
        <v>2287</v>
      </c>
      <c r="G245" s="17"/>
      <c r="H245" s="129" t="str">
        <f>Settings!$B$3&amp;".mit.atpn.cem.ren.e.2"</f>
        <v>egy.mit.atpn.cem.ren.e.2</v>
      </c>
      <c r="I245" t="s">
        <v>2361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1504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2279</v>
      </c>
      <c r="E248" s="16" t="s">
        <v>1870</v>
      </c>
      <c r="F248" s="14" t="s">
        <v>2268</v>
      </c>
      <c r="H248" s="129" t="str">
        <f>Settings!$B$3&amp;".mit.obr.ind.nfm.2"</f>
        <v>egy.mit.obr.ind.nfm.2</v>
      </c>
      <c r="I248" t="s">
        <v>2315</v>
      </c>
      <c r="L248" s="131">
        <f t="shared" ref="L248:AE248" si="64">L$216</f>
        <v>0</v>
      </c>
      <c r="M248" s="131">
        <f t="shared" si="64"/>
        <v>0</v>
      </c>
      <c r="N248" s="131">
        <f t="shared" si="64"/>
        <v>0</v>
      </c>
      <c r="O248" s="131">
        <f t="shared" si="64"/>
        <v>0</v>
      </c>
      <c r="P248" s="131">
        <f t="shared" si="64"/>
        <v>0</v>
      </c>
      <c r="Q248" s="131">
        <f t="shared" si="64"/>
        <v>0</v>
      </c>
      <c r="R248" s="131">
        <f t="shared" si="64"/>
        <v>0</v>
      </c>
      <c r="S248" s="131">
        <f t="shared" si="64"/>
        <v>0</v>
      </c>
      <c r="T248" s="131">
        <f t="shared" si="64"/>
        <v>0</v>
      </c>
      <c r="U248" s="131">
        <f t="shared" si="64"/>
        <v>0</v>
      </c>
      <c r="V248" s="131">
        <f t="shared" si="64"/>
        <v>0</v>
      </c>
      <c r="W248" s="131">
        <f t="shared" si="64"/>
        <v>0</v>
      </c>
      <c r="X248" s="131">
        <f t="shared" si="64"/>
        <v>0</v>
      </c>
      <c r="Y248" s="131">
        <f t="shared" si="64"/>
        <v>0</v>
      </c>
      <c r="Z248" s="131">
        <f t="shared" si="64"/>
        <v>0</v>
      </c>
      <c r="AA248" s="131">
        <f t="shared" si="64"/>
        <v>0</v>
      </c>
      <c r="AB248" s="131">
        <f t="shared" si="64"/>
        <v>0</v>
      </c>
      <c r="AC248" s="131">
        <f t="shared" si="64"/>
        <v>0</v>
      </c>
      <c r="AD248" s="131">
        <f t="shared" si="64"/>
        <v>0</v>
      </c>
      <c r="AE248" s="131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2281</v>
      </c>
      <c r="E249" s="16" t="s">
        <v>1870</v>
      </c>
      <c r="F249" s="14" t="s">
        <v>2282</v>
      </c>
      <c r="H249" s="129" t="str">
        <f>Settings!$B$3&amp;".mit.ccf.ind.nfm.2"</f>
        <v>egy.mit.ccf.ind.nfm.2</v>
      </c>
      <c r="L249" s="131">
        <f>L$166*Mitigation_Industry!L$682/1000</f>
        <v>0</v>
      </c>
      <c r="M249" s="131">
        <f>M$166*Mitigation_Industry!M$682/1000</f>
        <v>0</v>
      </c>
      <c r="N249" s="131">
        <f>N$166*Mitigation_Industry!N$682/1000</f>
        <v>0</v>
      </c>
      <c r="O249" s="131">
        <f>O$166*Mitigation_Industry!O$682/1000</f>
        <v>0</v>
      </c>
      <c r="P249" s="131">
        <f>P$166*Mitigation_Industry!P$682/1000</f>
        <v>0</v>
      </c>
      <c r="Q249" s="131">
        <f>Q$166*Mitigation_Industry!Q$682/1000</f>
        <v>0.68693120437499977</v>
      </c>
      <c r="R249" s="131">
        <f>R$166*Mitigation_Industry!R$682/1000</f>
        <v>1.4494248412312498</v>
      </c>
      <c r="S249" s="131">
        <f>S$166*Mitigation_Industry!S$682/1000</f>
        <v>2.2937148112484524</v>
      </c>
      <c r="T249" s="131">
        <f>T$166*Mitigation_Industry!T$682/1000</f>
        <v>3.2264921678228231</v>
      </c>
      <c r="U249" s="131">
        <f>U$166*Mitigation_Industry!U$682/1000</f>
        <v>4.2549365463163475</v>
      </c>
      <c r="V249" s="131">
        <f>V$166*Mitigation_Industry!V$682/1000</f>
        <v>5.3867496676364963</v>
      </c>
      <c r="W249" s="131">
        <f>W$166*Mitigation_Industry!W$682/1000</f>
        <v>6.6301910492492544</v>
      </c>
      <c r="X249" s="131">
        <f>X$166*Mitigation_Industry!X$682/1000</f>
        <v>7.9941160650948149</v>
      </c>
      <c r="Y249" s="131">
        <f>Y$166*Mitigation_Industry!Y$682/1000</f>
        <v>9.4880165047594094</v>
      </c>
      <c r="Z249" s="131">
        <f>Z$166*Mitigation_Industry!Z$682/1000</f>
        <v>11.122063791690197</v>
      </c>
      <c r="AA249" s="131">
        <f>AA$166*Mitigation_Industry!AA$682/1000</f>
        <v>12.907155030256469</v>
      </c>
      <c r="AB249" s="131">
        <f>AB$166*Mitigation_Industry!AB$682/1000</f>
        <v>14.854962062095174</v>
      </c>
      <c r="AC249" s="131">
        <f>AC$166*Mitigation_Industry!AC$682/1000</f>
        <v>16.977983723469606</v>
      </c>
      <c r="AD249" s="131">
        <f>AD$166*Mitigation_Industry!AD$682/1000</f>
        <v>19.289601507357389</v>
      </c>
      <c r="AE249" s="131">
        <f>AE$166*Mitigation_Industry!AE$682/1000</f>
        <v>21.804138846709336</v>
      </c>
    </row>
    <row r="250" spans="1:35" customFormat="1" ht="14.25" x14ac:dyDescent="0.45">
      <c r="B250" s="14" t="s">
        <v>110</v>
      </c>
      <c r="C250" s="14" t="s">
        <v>115</v>
      </c>
      <c r="D250" s="25" t="s">
        <v>2283</v>
      </c>
      <c r="E250" s="16" t="s">
        <v>79</v>
      </c>
      <c r="F250" s="14" t="s">
        <v>2284</v>
      </c>
      <c r="H250" s="129" t="str">
        <f>Settings!$B$3&amp;".mit.rsh.ind.nfm.2"</f>
        <v>egy.mit.rsh.ind.nfm.2</v>
      </c>
      <c r="I250" t="s">
        <v>2285</v>
      </c>
      <c r="L250" s="131">
        <f t="shared" ref="L250:AE250" si="65">IF(L$249&lt;=0,0,MIN(1,L$248/L$249))</f>
        <v>0</v>
      </c>
      <c r="M250" s="131">
        <f t="shared" si="65"/>
        <v>0</v>
      </c>
      <c r="N250" s="131">
        <f t="shared" si="65"/>
        <v>0</v>
      </c>
      <c r="O250" s="131">
        <f t="shared" si="65"/>
        <v>0</v>
      </c>
      <c r="P250" s="131">
        <f t="shared" si="65"/>
        <v>0</v>
      </c>
      <c r="Q250" s="131">
        <f t="shared" si="65"/>
        <v>0</v>
      </c>
      <c r="R250" s="131">
        <f t="shared" si="65"/>
        <v>0</v>
      </c>
      <c r="S250" s="131">
        <f t="shared" si="65"/>
        <v>0</v>
      </c>
      <c r="T250" s="131">
        <f t="shared" si="65"/>
        <v>0</v>
      </c>
      <c r="U250" s="131">
        <f t="shared" si="65"/>
        <v>0</v>
      </c>
      <c r="V250" s="131">
        <f t="shared" si="65"/>
        <v>0</v>
      </c>
      <c r="W250" s="131">
        <f t="shared" si="65"/>
        <v>0</v>
      </c>
      <c r="X250" s="131">
        <f t="shared" si="65"/>
        <v>0</v>
      </c>
      <c r="Y250" s="131">
        <f t="shared" si="65"/>
        <v>0</v>
      </c>
      <c r="Z250" s="131">
        <f t="shared" si="65"/>
        <v>0</v>
      </c>
      <c r="AA250" s="131">
        <f t="shared" si="65"/>
        <v>0</v>
      </c>
      <c r="AB250" s="131">
        <f t="shared" si="65"/>
        <v>0</v>
      </c>
      <c r="AC250" s="131">
        <f t="shared" si="65"/>
        <v>0</v>
      </c>
      <c r="AD250" s="131">
        <f t="shared" si="65"/>
        <v>0</v>
      </c>
      <c r="AE250" s="131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2286</v>
      </c>
      <c r="E251" s="16" t="s">
        <v>51</v>
      </c>
      <c r="F251" s="14" t="s">
        <v>2287</v>
      </c>
      <c r="G251" s="17"/>
      <c r="H251" s="129" t="str">
        <f>Settings!$B$3&amp;".mit.atpn.nfm.coa.e.2"</f>
        <v>egy.mit.atpn.nfm.coa.e.2</v>
      </c>
      <c r="I251" t="s">
        <v>2362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2289</v>
      </c>
      <c r="E252" s="16" t="s">
        <v>51</v>
      </c>
      <c r="F252" s="14" t="s">
        <v>2287</v>
      </c>
      <c r="G252" s="17"/>
      <c r="H252" s="129" t="str">
        <f>Settings!$B$3&amp;".mit.atpn.nfm.nga.e.2"</f>
        <v>egy.mit.atpn.nfm.nga.e.2</v>
      </c>
      <c r="I252" t="s">
        <v>2363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2291</v>
      </c>
      <c r="E253" s="16" t="s">
        <v>57</v>
      </c>
      <c r="F253" s="14" t="s">
        <v>2287</v>
      </c>
      <c r="G253" s="17"/>
      <c r="H253" s="129" t="str">
        <f>Settings!$B$3&amp;".mit.atpn.nfm.gso.e.2"</f>
        <v>egy.mit.atpn.nfm.gso.e.2</v>
      </c>
      <c r="I253" t="s">
        <v>2364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2293</v>
      </c>
      <c r="E254" s="16" t="s">
        <v>57</v>
      </c>
      <c r="F254" s="14" t="s">
        <v>2287</v>
      </c>
      <c r="G254" s="17"/>
      <c r="H254" s="129" t="str">
        <f>Settings!$B$3&amp;".mit.atpn.nfm.die.e.2"</f>
        <v>egy.mit.atpn.nfm.die.e.2</v>
      </c>
      <c r="I254" t="s">
        <v>2365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2295</v>
      </c>
      <c r="E255" s="16" t="s">
        <v>57</v>
      </c>
      <c r="F255" s="14" t="s">
        <v>2287</v>
      </c>
      <c r="G255" s="17"/>
      <c r="H255" s="129" t="str">
        <f>Settings!$B$3&amp;".mit.atpn.nfm.lpg.e.2"</f>
        <v>egy.mit.atpn.nfm.lpg.e.2</v>
      </c>
      <c r="I255" t="s">
        <v>2366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2297</v>
      </c>
      <c r="E256" s="16" t="s">
        <v>57</v>
      </c>
      <c r="F256" s="14" t="s">
        <v>2287</v>
      </c>
      <c r="G256" s="17"/>
      <c r="H256" s="129" t="str">
        <f>Settings!$B$3&amp;".mit.atpn.nfm.ker.e.2"</f>
        <v>egy.mit.atpn.nfm.ker.e.2</v>
      </c>
      <c r="I256" t="s">
        <v>2367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2299</v>
      </c>
      <c r="E257" s="16" t="s">
        <v>66</v>
      </c>
      <c r="F257" s="14" t="s">
        <v>2287</v>
      </c>
      <c r="G257" s="17"/>
      <c r="H257" s="129" t="str">
        <f>Settings!$B$3&amp;".mit.atpn.nfm.oop.e.2"</f>
        <v>egy.mit.atpn.nfm.oop.e.2</v>
      </c>
      <c r="I257" t="s">
        <v>2368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2301</v>
      </c>
      <c r="E258" s="16" t="s">
        <v>51</v>
      </c>
      <c r="F258" s="14" t="s">
        <v>2287</v>
      </c>
      <c r="G258" s="17"/>
      <c r="H258" s="129" t="str">
        <f>Settings!$B$3&amp;".mit.atpn.nfm.bio.e.2"</f>
        <v>egy.mit.atpn.nfm.bio.e.2</v>
      </c>
      <c r="I258" t="s">
        <v>2369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2303</v>
      </c>
      <c r="E259" s="16" t="s">
        <v>71</v>
      </c>
      <c r="F259" s="14" t="s">
        <v>2287</v>
      </c>
      <c r="G259" s="17"/>
      <c r="H259" s="129" t="str">
        <f>Settings!$B$3&amp;".mit.atpn.nfm.ren.e.2"</f>
        <v>egy.mit.atpn.nfm.ren.e.2</v>
      </c>
      <c r="I259" t="s">
        <v>2370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1504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2279</v>
      </c>
      <c r="E262" s="16" t="s">
        <v>1870</v>
      </c>
      <c r="F262" s="14" t="s">
        <v>2268</v>
      </c>
      <c r="H262" s="129" t="str">
        <f>Settings!$B$3&amp;".mit.obr.ind.mch.2"</f>
        <v>egy.mit.obr.ind.mch.2</v>
      </c>
      <c r="I262" t="s">
        <v>2325</v>
      </c>
      <c r="L262" s="131">
        <f t="shared" ref="L262:AE262" si="66">L$213+L$214+L$215</f>
        <v>0</v>
      </c>
      <c r="M262" s="131">
        <f t="shared" si="66"/>
        <v>0</v>
      </c>
      <c r="N262" s="131">
        <f t="shared" si="66"/>
        <v>0</v>
      </c>
      <c r="O262" s="131">
        <f t="shared" si="66"/>
        <v>0</v>
      </c>
      <c r="P262" s="131">
        <f t="shared" si="66"/>
        <v>0</v>
      </c>
      <c r="Q262" s="131">
        <f t="shared" si="66"/>
        <v>0</v>
      </c>
      <c r="R262" s="131">
        <f t="shared" si="66"/>
        <v>0</v>
      </c>
      <c r="S262" s="131">
        <f t="shared" si="66"/>
        <v>0</v>
      </c>
      <c r="T262" s="131">
        <f t="shared" si="66"/>
        <v>0</v>
      </c>
      <c r="U262" s="131">
        <f t="shared" si="66"/>
        <v>0</v>
      </c>
      <c r="V262" s="131">
        <f t="shared" si="66"/>
        <v>0</v>
      </c>
      <c r="W262" s="131">
        <f t="shared" si="66"/>
        <v>0</v>
      </c>
      <c r="X262" s="131">
        <f t="shared" si="66"/>
        <v>0</v>
      </c>
      <c r="Y262" s="131">
        <f t="shared" si="66"/>
        <v>0</v>
      </c>
      <c r="Z262" s="131">
        <f t="shared" si="66"/>
        <v>0</v>
      </c>
      <c r="AA262" s="131">
        <f t="shared" si="66"/>
        <v>0</v>
      </c>
      <c r="AB262" s="131">
        <f t="shared" si="66"/>
        <v>0</v>
      </c>
      <c r="AC262" s="131">
        <f t="shared" si="66"/>
        <v>0</v>
      </c>
      <c r="AD262" s="131">
        <f t="shared" si="66"/>
        <v>0</v>
      </c>
      <c r="AE262" s="131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2281</v>
      </c>
      <c r="E263" s="16" t="s">
        <v>1870</v>
      </c>
      <c r="F263" s="14" t="s">
        <v>2282</v>
      </c>
      <c r="H263" s="129" t="str">
        <f>Settings!$B$3&amp;".mit.ccf.ind.mch.2"</f>
        <v>egy.mit.ccf.ind.mch.2</v>
      </c>
      <c r="L263" s="131">
        <f>L$163*Mitigation_Industry!L$679/1000+L$164*Mitigation_Industry!L$680/1000+L$165*Mitigation_Industry!L$681/1000</f>
        <v>0</v>
      </c>
      <c r="M263" s="131">
        <f>M$163*Mitigation_Industry!M$679/1000+M$164*Mitigation_Industry!M$680/1000+M$165*Mitigation_Industry!M$681/1000</f>
        <v>0</v>
      </c>
      <c r="N263" s="131">
        <f>N$163*Mitigation_Industry!N$679/1000+N$164*Mitigation_Industry!N$680/1000+N$165*Mitigation_Industry!N$681/1000</f>
        <v>0</v>
      </c>
      <c r="O263" s="131">
        <f>O$163*Mitigation_Industry!O$679/1000+O$164*Mitigation_Industry!O$680/1000+O$165*Mitigation_Industry!O$681/1000</f>
        <v>0</v>
      </c>
      <c r="P263" s="131">
        <f>P$163*Mitigation_Industry!P$679/1000+P$164*Mitigation_Industry!P$680/1000+P$165*Mitigation_Industry!P$681/1000</f>
        <v>0</v>
      </c>
      <c r="Q263" s="131">
        <f>Q$163*Mitigation_Industry!Q$679/1000+Q$164*Mitigation_Industry!Q$680/1000+Q$165*Mitigation_Industry!Q$681/1000</f>
        <v>49.184015342396556</v>
      </c>
      <c r="R263" s="131">
        <f>R$163*Mitigation_Industry!R$679/1000+R$164*Mitigation_Industry!R$680/1000+R$165*Mitigation_Industry!R$681/1000</f>
        <v>100.53212735985855</v>
      </c>
      <c r="S263" s="131">
        <f>S$163*Mitigation_Industry!S$679/1000+S$164*Mitigation_Industry!S$680/1000+S$165*Mitigation_Industry!S$681/1000</f>
        <v>154.11575124266315</v>
      </c>
      <c r="T263" s="131">
        <f>T$163*Mitigation_Industry!T$679/1000+T$164*Mitigation_Industry!T$680/1000+T$165*Mitigation_Industry!T$681/1000</f>
        <v>210.00839702666897</v>
      </c>
      <c r="U263" s="131">
        <f>U$163*Mitigation_Industry!U$679/1000+U$164*Mitigation_Industry!U$680/1000+U$165*Mitigation_Industry!U$681/1000</f>
        <v>268.28572720156967</v>
      </c>
      <c r="V263" s="131">
        <f>V$163*Mitigation_Industry!V$679/1000+V$164*Mitigation_Industry!V$680/1000+V$165*Mitigation_Industry!V$681/1000</f>
        <v>329.025615840005</v>
      </c>
      <c r="W263" s="131">
        <f>W$163*Mitigation_Industry!W$679/1000+W$164*Mitigation_Industry!W$680/1000+W$165*Mitigation_Industry!W$681/1000</f>
        <v>392.30820928656601</v>
      </c>
      <c r="X263" s="131">
        <f>X$163*Mitigation_Industry!X$679/1000+X$164*Mitigation_Industry!X$680/1000+X$165*Mitigation_Industry!X$681/1000</f>
        <v>458.2159884467091</v>
      </c>
      <c r="Y263" s="131">
        <f>Y$163*Mitigation_Industry!Y$679/1000+Y$164*Mitigation_Industry!Y$680/1000+Y$165*Mitigation_Industry!Y$681/1000</f>
        <v>526.83383271660375</v>
      </c>
      <c r="Z263" s="131">
        <f>Z$163*Mitigation_Industry!Z$679/1000+Z$164*Mitigation_Industry!Z$680/1000+Z$165*Mitigation_Industry!Z$681/1000</f>
        <v>598.24908559596577</v>
      </c>
      <c r="AA263" s="131">
        <f>AA$163*Mitigation_Industry!AA$679/1000+AA$164*Mitigation_Industry!AA$680/1000+AA$165*Mitigation_Industry!AA$681/1000</f>
        <v>672.55162202698455</v>
      </c>
      <c r="AB263" s="131">
        <f>AB$163*Mitigation_Industry!AB$679/1000+AB$164*Mitigation_Industry!AB$680/1000+AB$165*Mitigation_Industry!AB$681/1000</f>
        <v>749.83391750353974</v>
      </c>
      <c r="AC263" s="131">
        <f>AC$163*Mitigation_Industry!AC$679/1000+AC$164*Mitigation_Industry!AC$680/1000+AC$165*Mitigation_Industry!AC$681/1000</f>
        <v>830.1911189960025</v>
      </c>
      <c r="AD263" s="131">
        <f>AD$163*Mitigation_Industry!AD$679/1000+AD$164*Mitigation_Industry!AD$680/1000+AD$165*Mitigation_Industry!AD$681/1000</f>
        <v>913.72111773806193</v>
      </c>
      <c r="AE263" s="131">
        <f>AE$163*Mitigation_Industry!AE$679/1000+AE$164*Mitigation_Industry!AE$680/1000+AE$165*Mitigation_Industry!AE$681/1000</f>
        <v>1000.5246239231777</v>
      </c>
    </row>
    <row r="264" spans="1:35" customFormat="1" ht="14.25" x14ac:dyDescent="0.45">
      <c r="B264" s="14" t="s">
        <v>110</v>
      </c>
      <c r="C264" s="14" t="s">
        <v>117</v>
      </c>
      <c r="D264" s="25" t="s">
        <v>2283</v>
      </c>
      <c r="E264" s="16" t="s">
        <v>79</v>
      </c>
      <c r="F264" s="14" t="s">
        <v>2284</v>
      </c>
      <c r="H264" s="129" t="str">
        <f>Settings!$B$3&amp;".mit.rsh.ind.mch.2"</f>
        <v>egy.mit.rsh.ind.mch.2</v>
      </c>
      <c r="I264" t="s">
        <v>2285</v>
      </c>
      <c r="L264" s="131">
        <f t="shared" ref="L264:AE264" si="67">IF(L$263&lt;=0,0,MIN(1,L$262/L$263))</f>
        <v>0</v>
      </c>
      <c r="M264" s="131">
        <f t="shared" si="67"/>
        <v>0</v>
      </c>
      <c r="N264" s="131">
        <f t="shared" si="67"/>
        <v>0</v>
      </c>
      <c r="O264" s="131">
        <f t="shared" si="67"/>
        <v>0</v>
      </c>
      <c r="P264" s="131">
        <f t="shared" si="67"/>
        <v>0</v>
      </c>
      <c r="Q264" s="131">
        <f t="shared" si="67"/>
        <v>0</v>
      </c>
      <c r="R264" s="131">
        <f t="shared" si="67"/>
        <v>0</v>
      </c>
      <c r="S264" s="131">
        <f t="shared" si="67"/>
        <v>0</v>
      </c>
      <c r="T264" s="131">
        <f t="shared" si="67"/>
        <v>0</v>
      </c>
      <c r="U264" s="131">
        <f t="shared" si="67"/>
        <v>0</v>
      </c>
      <c r="V264" s="131">
        <f t="shared" si="67"/>
        <v>0</v>
      </c>
      <c r="W264" s="131">
        <f t="shared" si="67"/>
        <v>0</v>
      </c>
      <c r="X264" s="131">
        <f t="shared" si="67"/>
        <v>0</v>
      </c>
      <c r="Y264" s="131">
        <f t="shared" si="67"/>
        <v>0</v>
      </c>
      <c r="Z264" s="131">
        <f t="shared" si="67"/>
        <v>0</v>
      </c>
      <c r="AA264" s="131">
        <f t="shared" si="67"/>
        <v>0</v>
      </c>
      <c r="AB264" s="131">
        <f t="shared" si="67"/>
        <v>0</v>
      </c>
      <c r="AC264" s="131">
        <f t="shared" si="67"/>
        <v>0</v>
      </c>
      <c r="AD264" s="131">
        <f t="shared" si="67"/>
        <v>0</v>
      </c>
      <c r="AE264" s="131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2286</v>
      </c>
      <c r="E265" s="16" t="s">
        <v>51</v>
      </c>
      <c r="F265" s="14" t="s">
        <v>2287</v>
      </c>
      <c r="G265" s="17"/>
      <c r="H265" s="129" t="str">
        <f>Settings!$B$3&amp;".mit.atpn.mch.coa.e.2"</f>
        <v>egy.mit.atpn.mch.coa.e.2</v>
      </c>
      <c r="I265" t="s">
        <v>2371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2289</v>
      </c>
      <c r="E266" s="16" t="s">
        <v>51</v>
      </c>
      <c r="F266" s="14" t="s">
        <v>2287</v>
      </c>
      <c r="G266" s="17"/>
      <c r="H266" s="129" t="str">
        <f>Settings!$B$3&amp;".mit.atpn.mch.nga.e.2"</f>
        <v>egy.mit.atpn.mch.nga.e.2</v>
      </c>
      <c r="I266" t="s">
        <v>2372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2291</v>
      </c>
      <c r="E267" s="16" t="s">
        <v>57</v>
      </c>
      <c r="F267" s="14" t="s">
        <v>2287</v>
      </c>
      <c r="G267" s="17"/>
      <c r="H267" s="129" t="str">
        <f>Settings!$B$3&amp;".mit.atpn.mch.gso.e.2"</f>
        <v>egy.mit.atpn.mch.gso.e.2</v>
      </c>
      <c r="I267" t="s">
        <v>2373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2293</v>
      </c>
      <c r="E268" s="16" t="s">
        <v>57</v>
      </c>
      <c r="F268" s="14" t="s">
        <v>2287</v>
      </c>
      <c r="G268" s="17"/>
      <c r="H268" s="129" t="str">
        <f>Settings!$B$3&amp;".mit.atpn.mch.die.e.2"</f>
        <v>egy.mit.atpn.mch.die.e.2</v>
      </c>
      <c r="I268" t="s">
        <v>2374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2295</v>
      </c>
      <c r="E269" s="16" t="s">
        <v>57</v>
      </c>
      <c r="F269" s="14" t="s">
        <v>2287</v>
      </c>
      <c r="G269" s="17"/>
      <c r="H269" s="129" t="str">
        <f>Settings!$B$3&amp;".mit.atpn.mch.lpg.e.2"</f>
        <v>egy.mit.atpn.mch.lpg.e.2</v>
      </c>
      <c r="I269" t="s">
        <v>2375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2297</v>
      </c>
      <c r="E270" s="16" t="s">
        <v>57</v>
      </c>
      <c r="F270" s="14" t="s">
        <v>2287</v>
      </c>
      <c r="G270" s="17"/>
      <c r="H270" s="129" t="str">
        <f>Settings!$B$3&amp;".mit.atpn.mch.ker.e.2"</f>
        <v>egy.mit.atpn.mch.ker.e.2</v>
      </c>
      <c r="I270" t="s">
        <v>2376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2299</v>
      </c>
      <c r="E271" s="16" t="s">
        <v>66</v>
      </c>
      <c r="F271" s="14" t="s">
        <v>2287</v>
      </c>
      <c r="G271" s="17"/>
      <c r="H271" s="129" t="str">
        <f>Settings!$B$3&amp;".mit.atpn.mch.oop.e.2"</f>
        <v>egy.mit.atpn.mch.oop.e.2</v>
      </c>
      <c r="I271" t="s">
        <v>2377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2301</v>
      </c>
      <c r="E272" s="16" t="s">
        <v>51</v>
      </c>
      <c r="F272" s="14" t="s">
        <v>2287</v>
      </c>
      <c r="G272" s="17"/>
      <c r="H272" s="129" t="str">
        <f>Settings!$B$3&amp;".mit.atpn.mch.bio.e.2"</f>
        <v>egy.mit.atpn.mch.bio.e.2</v>
      </c>
      <c r="I272" t="s">
        <v>2378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2303</v>
      </c>
      <c r="E273" s="16" t="s">
        <v>71</v>
      </c>
      <c r="F273" s="14" t="s">
        <v>2287</v>
      </c>
      <c r="G273" s="17"/>
      <c r="H273" s="129" t="str">
        <f>Settings!$B$3&amp;".mit.atpn.mch.ren.e.2"</f>
        <v>egy.mit.atpn.mch.ren.e.2</v>
      </c>
      <c r="I273" t="s">
        <v>2379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2335</v>
      </c>
      <c r="D275" s="6" t="s">
        <v>1504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2336</v>
      </c>
      <c r="E276" s="16" t="s">
        <v>1870</v>
      </c>
      <c r="F276" s="14" t="s">
        <v>2337</v>
      </c>
      <c r="H276" s="17"/>
      <c r="I276" t="s">
        <v>2380</v>
      </c>
      <c r="L276" s="131">
        <f>Mitigation_Industry!L$799</f>
        <v>0</v>
      </c>
      <c r="M276" s="131">
        <f>Mitigation_Industry!M$799</f>
        <v>0</v>
      </c>
      <c r="N276" s="131">
        <f>Mitigation_Industry!N$799</f>
        <v>0</v>
      </c>
      <c r="O276" s="131">
        <f>Mitigation_Industry!O$799</f>
        <v>0</v>
      </c>
      <c r="P276" s="131">
        <f>Mitigation_Industry!P$799</f>
        <v>0</v>
      </c>
      <c r="Q276" s="131">
        <f>Mitigation_Industry!Q$799</f>
        <v>308.12278080273347</v>
      </c>
      <c r="R276" s="131">
        <f>Mitigation_Industry!R$799</f>
        <v>636.8417154974029</v>
      </c>
      <c r="S276" s="131">
        <f>Mitigation_Industry!S$799</f>
        <v>987.22968333254357</v>
      </c>
      <c r="T276" s="131">
        <f>Mitigation_Industry!T$799</f>
        <v>1360.4109852569791</v>
      </c>
      <c r="U276" s="131">
        <f>Mitigation_Industry!U$799</f>
        <v>1757.5637282091595</v>
      </c>
      <c r="V276" s="131">
        <f>Mitigation_Industry!V$799</f>
        <v>2179.9223186447475</v>
      </c>
      <c r="W276" s="131">
        <f>Mitigation_Industry!W$799</f>
        <v>2628.7800702990671</v>
      </c>
      <c r="X276" s="131">
        <f>Mitigation_Industry!X$799</f>
        <v>3105.4919314104172</v>
      </c>
      <c r="Y276" s="131">
        <f>Mitigation_Industry!Y$799</f>
        <v>3611.4773368702108</v>
      </c>
      <c r="Z276" s="131">
        <f>Mitigation_Industry!Z$799</f>
        <v>4148.2231910169703</v>
      </c>
      <c r="AA276" s="131">
        <f>Mitigation_Industry!AA$799</f>
        <v>4717.2869870538898</v>
      </c>
      <c r="AB276" s="131">
        <f>Mitigation_Industry!AB$799</f>
        <v>5320.3000693444365</v>
      </c>
      <c r="AC276" s="131">
        <f>Mitigation_Industry!AC$799</f>
        <v>5958.9710451280462</v>
      </c>
      <c r="AD276" s="131">
        <f>Mitigation_Industry!AD$799</f>
        <v>6635.0893524987559</v>
      </c>
      <c r="AE276" s="131">
        <f>Mitigation_Industry!AE$799</f>
        <v>7350.5289918043582</v>
      </c>
    </row>
    <row r="277" spans="1:35" customFormat="1" ht="14.25" x14ac:dyDescent="0.45">
      <c r="B277" s="14" t="s">
        <v>110</v>
      </c>
      <c r="C277" s="14"/>
      <c r="D277" s="25" t="s">
        <v>2339</v>
      </c>
      <c r="E277" s="16" t="s">
        <v>1870</v>
      </c>
      <c r="F277" s="14" t="s">
        <v>2268</v>
      </c>
      <c r="H277" s="17"/>
      <c r="L277" s="131">
        <f t="shared" ref="L277:AE277" si="68">L$217</f>
        <v>0</v>
      </c>
      <c r="M277" s="131">
        <f t="shared" si="68"/>
        <v>0</v>
      </c>
      <c r="N277" s="131">
        <f t="shared" si="68"/>
        <v>0</v>
      </c>
      <c r="O277" s="131">
        <f t="shared" si="68"/>
        <v>0</v>
      </c>
      <c r="P277" s="131">
        <f t="shared" si="68"/>
        <v>0</v>
      </c>
      <c r="Q277" s="131">
        <f t="shared" si="68"/>
        <v>0</v>
      </c>
      <c r="R277" s="131">
        <f t="shared" si="68"/>
        <v>0</v>
      </c>
      <c r="S277" s="131">
        <f t="shared" si="68"/>
        <v>0</v>
      </c>
      <c r="T277" s="131">
        <f t="shared" si="68"/>
        <v>0</v>
      </c>
      <c r="U277" s="131">
        <f t="shared" si="68"/>
        <v>0</v>
      </c>
      <c r="V277" s="131">
        <f t="shared" si="68"/>
        <v>0</v>
      </c>
      <c r="W277" s="131">
        <f t="shared" si="68"/>
        <v>0</v>
      </c>
      <c r="X277" s="131">
        <f t="shared" si="68"/>
        <v>0</v>
      </c>
      <c r="Y277" s="131">
        <f t="shared" si="68"/>
        <v>0</v>
      </c>
      <c r="Z277" s="131">
        <f t="shared" si="68"/>
        <v>0</v>
      </c>
      <c r="AA277" s="131">
        <f t="shared" si="68"/>
        <v>0</v>
      </c>
      <c r="AB277" s="131">
        <f t="shared" si="68"/>
        <v>0</v>
      </c>
      <c r="AC277" s="131">
        <f t="shared" si="68"/>
        <v>0</v>
      </c>
      <c r="AD277" s="131">
        <f t="shared" si="68"/>
        <v>0</v>
      </c>
      <c r="AE277" s="131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2340</v>
      </c>
      <c r="E278" s="16" t="s">
        <v>1870</v>
      </c>
      <c r="F278" s="14" t="s">
        <v>2341</v>
      </c>
      <c r="H278" s="129" t="str">
        <f>Settings!$B$3&amp;".mit.revnet.cbam.tot.2"</f>
        <v>egy.mit.revnet.cbam.tot.2</v>
      </c>
      <c r="L278" s="131">
        <f t="shared" ref="L278:AE278" si="69">L276-L277</f>
        <v>0</v>
      </c>
      <c r="M278" s="131">
        <f t="shared" si="69"/>
        <v>0</v>
      </c>
      <c r="N278" s="131">
        <f t="shared" si="69"/>
        <v>0</v>
      </c>
      <c r="O278" s="131">
        <f t="shared" si="69"/>
        <v>0</v>
      </c>
      <c r="P278" s="131">
        <f t="shared" si="69"/>
        <v>0</v>
      </c>
      <c r="Q278" s="131">
        <f t="shared" si="69"/>
        <v>308.12278080273347</v>
      </c>
      <c r="R278" s="131">
        <f t="shared" si="69"/>
        <v>636.8417154974029</v>
      </c>
      <c r="S278" s="131">
        <f t="shared" si="69"/>
        <v>987.22968333254357</v>
      </c>
      <c r="T278" s="131">
        <f t="shared" si="69"/>
        <v>1360.4109852569791</v>
      </c>
      <c r="U278" s="131">
        <f t="shared" si="69"/>
        <v>1757.5637282091595</v>
      </c>
      <c r="V278" s="131">
        <f t="shared" si="69"/>
        <v>2179.9223186447475</v>
      </c>
      <c r="W278" s="131">
        <f t="shared" si="69"/>
        <v>2628.7800702990671</v>
      </c>
      <c r="X278" s="131">
        <f t="shared" si="69"/>
        <v>3105.4919314104172</v>
      </c>
      <c r="Y278" s="131">
        <f t="shared" si="69"/>
        <v>3611.4773368702108</v>
      </c>
      <c r="Z278" s="131">
        <f t="shared" si="69"/>
        <v>4148.2231910169703</v>
      </c>
      <c r="AA278" s="131">
        <f t="shared" si="69"/>
        <v>4717.2869870538898</v>
      </c>
      <c r="AB278" s="131">
        <f t="shared" si="69"/>
        <v>5320.3000693444365</v>
      </c>
      <c r="AC278" s="131">
        <f t="shared" si="69"/>
        <v>5958.9710451280462</v>
      </c>
      <c r="AD278" s="131">
        <f t="shared" si="69"/>
        <v>6635.0893524987559</v>
      </c>
      <c r="AE278" s="131">
        <f t="shared" si="69"/>
        <v>7350.5289918043582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22"/>
  <sheetViews>
    <sheetView topLeftCell="A397" workbookViewId="0">
      <selection activeCell="A418" sqref="A418:XFD418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44.5976562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60.597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2564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5" t="s">
        <v>2565</v>
      </c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x14ac:dyDescent="0.35">
      <c r="D4" s="116" t="s">
        <v>2566</v>
      </c>
      <c r="E4" s="116" t="s">
        <v>2567</v>
      </c>
      <c r="F4" s="133" t="s">
        <v>2568</v>
      </c>
      <c r="I4" s="116" t="s">
        <v>2571</v>
      </c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</row>
    <row r="5" spans="1:35" x14ac:dyDescent="0.35">
      <c r="D5" s="116" t="s">
        <v>2569</v>
      </c>
      <c r="E5" s="116" t="s">
        <v>1414</v>
      </c>
      <c r="F5" s="133">
        <v>1000</v>
      </c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</row>
    <row r="6" spans="1:35" x14ac:dyDescent="0.35">
      <c r="D6" s="116" t="s">
        <v>2570</v>
      </c>
      <c r="E6" s="116" t="s">
        <v>79</v>
      </c>
      <c r="F6" s="133">
        <v>1</v>
      </c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</row>
    <row r="7" spans="1:35" x14ac:dyDescent="0.35"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</row>
    <row r="8" spans="1:35" customFormat="1" ht="18" customHeight="1" x14ac:dyDescent="0.45">
      <c r="A8" s="8"/>
      <c r="B8" s="9" t="s">
        <v>2572</v>
      </c>
      <c r="C8" s="10"/>
      <c r="D8" s="10"/>
      <c r="E8" s="10"/>
      <c r="F8" s="10"/>
      <c r="G8" s="10"/>
      <c r="H8" s="10"/>
      <c r="I8" s="10"/>
      <c r="J8" s="10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</row>
    <row r="9" spans="1:35" x14ac:dyDescent="0.35"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</row>
    <row r="10" spans="1:35" customFormat="1" ht="14.25" x14ac:dyDescent="0.45">
      <c r="A10" s="11"/>
      <c r="B10" s="6"/>
      <c r="C10" s="7" t="s">
        <v>2202</v>
      </c>
      <c r="D10" s="6" t="s">
        <v>1504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8">
        <v>2021</v>
      </c>
      <c r="L10" s="139">
        <v>2022</v>
      </c>
      <c r="M10" s="138">
        <v>2023</v>
      </c>
      <c r="N10" s="138">
        <v>2024</v>
      </c>
      <c r="O10" s="138">
        <v>2025</v>
      </c>
      <c r="P10" s="138">
        <v>2026</v>
      </c>
      <c r="Q10" s="138">
        <v>2027</v>
      </c>
      <c r="R10" s="138">
        <v>2028</v>
      </c>
      <c r="S10" s="138">
        <v>2029</v>
      </c>
      <c r="T10" s="138">
        <v>2030</v>
      </c>
      <c r="U10" s="138">
        <v>2031</v>
      </c>
      <c r="V10" s="138">
        <v>2032</v>
      </c>
      <c r="W10" s="138">
        <v>2033</v>
      </c>
      <c r="X10" s="138">
        <v>2034</v>
      </c>
      <c r="Y10" s="138">
        <v>2035</v>
      </c>
      <c r="Z10" s="138">
        <v>2036</v>
      </c>
      <c r="AA10" s="138">
        <v>2037</v>
      </c>
      <c r="AB10" s="138">
        <v>2038</v>
      </c>
      <c r="AC10" s="138">
        <v>2039</v>
      </c>
      <c r="AD10" s="138">
        <v>2040</v>
      </c>
      <c r="AE10" s="138">
        <v>2041</v>
      </c>
      <c r="AF10" s="138">
        <v>2042</v>
      </c>
      <c r="AG10" s="138">
        <v>2043</v>
      </c>
      <c r="AH10" s="138">
        <v>2044</v>
      </c>
      <c r="AI10" s="138">
        <v>2045</v>
      </c>
    </row>
    <row r="11" spans="1:35" customFormat="1" ht="14.25" x14ac:dyDescent="0.45">
      <c r="B11" s="14" t="s">
        <v>1805</v>
      </c>
      <c r="C11" s="14"/>
      <c r="D11" s="15" t="s">
        <v>2573</v>
      </c>
      <c r="E11" s="16" t="s">
        <v>79</v>
      </c>
      <c r="F11" s="14" t="s">
        <v>1805</v>
      </c>
      <c r="G11" s="129" t="s">
        <v>1858</v>
      </c>
      <c r="H11" s="17"/>
      <c r="I11" t="s">
        <v>2204</v>
      </c>
      <c r="K11" s="140"/>
      <c r="L11" s="141">
        <f>INDEX(Data_Prices!L:L,MATCH($G11,Data_Prices!$A:$A,0))</f>
        <v>0</v>
      </c>
      <c r="M11" s="141">
        <f>INDEX(Data_Prices!M:M,MATCH($G11,Data_Prices!$A:$A,0))</f>
        <v>0</v>
      </c>
      <c r="N11" s="141">
        <f>INDEX(Data_Prices!N:N,MATCH($G11,Data_Prices!$A:$A,0))</f>
        <v>0</v>
      </c>
      <c r="O11" s="141">
        <f>INDEX(Data_Prices!O:O,MATCH($G11,Data_Prices!$A:$A,0))</f>
        <v>0</v>
      </c>
      <c r="P11" s="141">
        <f>INDEX(Data_Prices!P:P,MATCH($G11,Data_Prices!$A:$A,0))</f>
        <v>0</v>
      </c>
      <c r="Q11" s="141">
        <f>INDEX(Data_Prices!Q:Q,MATCH($G11,Data_Prices!$A:$A,0))</f>
        <v>0</v>
      </c>
      <c r="R11" s="141">
        <f>INDEX(Data_Prices!R:R,MATCH($G11,Data_Prices!$A:$A,0))</f>
        <v>0</v>
      </c>
      <c r="S11" s="141">
        <f>INDEX(Data_Prices!S:S,MATCH($G11,Data_Prices!$A:$A,0))</f>
        <v>0</v>
      </c>
      <c r="T11" s="141">
        <f>INDEX(Data_Prices!T:T,MATCH($G11,Data_Prices!$A:$A,0))</f>
        <v>0</v>
      </c>
      <c r="U11" s="141">
        <f>INDEX(Data_Prices!U:U,MATCH($G11,Data_Prices!$A:$A,0))</f>
        <v>0</v>
      </c>
      <c r="V11" s="141">
        <f>INDEX(Data_Prices!V:V,MATCH($G11,Data_Prices!$A:$A,0))</f>
        <v>0</v>
      </c>
      <c r="W11" s="141">
        <f>INDEX(Data_Prices!W:W,MATCH($G11,Data_Prices!$A:$A,0))</f>
        <v>0</v>
      </c>
      <c r="X11" s="141">
        <f>INDEX(Data_Prices!X:X,MATCH($G11,Data_Prices!$A:$A,0))</f>
        <v>0</v>
      </c>
      <c r="Y11" s="141">
        <f>INDEX(Data_Prices!Y:Y,MATCH($G11,Data_Prices!$A:$A,0))</f>
        <v>0</v>
      </c>
      <c r="Z11" s="141">
        <f>INDEX(Data_Prices!Z:Z,MATCH($G11,Data_Prices!$A:$A,0))</f>
        <v>0</v>
      </c>
      <c r="AA11" s="141">
        <f>INDEX(Data_Prices!AA:AA,MATCH($G11,Data_Prices!$A:$A,0))</f>
        <v>0</v>
      </c>
      <c r="AB11" s="141">
        <f>INDEX(Data_Prices!AB:AB,MATCH($G11,Data_Prices!$A:$A,0))</f>
        <v>0</v>
      </c>
      <c r="AC11" s="141">
        <f>INDEX(Data_Prices!AC:AC,MATCH($G11,Data_Prices!$A:$A,0))</f>
        <v>0</v>
      </c>
      <c r="AD11" s="141">
        <f>INDEX(Data_Prices!AD:AD,MATCH($G11,Data_Prices!$A:$A,0))</f>
        <v>0</v>
      </c>
      <c r="AE11" s="141">
        <f>INDEX(Data_Prices!AE:AE,MATCH($G11,Data_Prices!$A:$A,0))</f>
        <v>0</v>
      </c>
      <c r="AF11" s="142"/>
      <c r="AG11" s="142"/>
      <c r="AH11" s="142"/>
      <c r="AI11" s="142"/>
    </row>
    <row r="12" spans="1:35" customFormat="1" ht="14.25" x14ac:dyDescent="0.45">
      <c r="B12" s="14" t="s">
        <v>1413</v>
      </c>
      <c r="C12" s="14"/>
      <c r="D12" s="15" t="s">
        <v>2574</v>
      </c>
      <c r="E12" s="16" t="s">
        <v>1414</v>
      </c>
      <c r="F12" s="14" t="s">
        <v>1413</v>
      </c>
      <c r="G12" s="17"/>
      <c r="H12" s="17"/>
      <c r="I12" t="s">
        <v>2575</v>
      </c>
      <c r="K12" s="140"/>
      <c r="L12" s="141">
        <f>Mitigation_Industry!L$247</f>
        <v>0</v>
      </c>
      <c r="M12" s="141">
        <f>Mitigation_Industry!M$247</f>
        <v>0</v>
      </c>
      <c r="N12" s="141">
        <f>Mitigation_Industry!N$247</f>
        <v>0</v>
      </c>
      <c r="O12" s="141">
        <f>Mitigation_Industry!O$247</f>
        <v>0</v>
      </c>
      <c r="P12" s="141">
        <f>Mitigation_Industry!P$247</f>
        <v>0</v>
      </c>
      <c r="Q12" s="141">
        <f>Mitigation_Industry!Q$247</f>
        <v>0</v>
      </c>
      <c r="R12" s="141">
        <f>Mitigation_Industry!R$247</f>
        <v>0</v>
      </c>
      <c r="S12" s="141">
        <f>Mitigation_Industry!S$247</f>
        <v>0</v>
      </c>
      <c r="T12" s="141">
        <f>Mitigation_Industry!T$247</f>
        <v>0</v>
      </c>
      <c r="U12" s="141">
        <f>Mitigation_Industry!U$247</f>
        <v>0</v>
      </c>
      <c r="V12" s="141">
        <f>Mitigation_Industry!V$247</f>
        <v>0</v>
      </c>
      <c r="W12" s="141">
        <f>Mitigation_Industry!W$247</f>
        <v>0</v>
      </c>
      <c r="X12" s="141">
        <f>Mitigation_Industry!X$247</f>
        <v>0</v>
      </c>
      <c r="Y12" s="141">
        <f>Mitigation_Industry!Y$247</f>
        <v>0</v>
      </c>
      <c r="Z12" s="141">
        <f>Mitigation_Industry!Z$247</f>
        <v>0</v>
      </c>
      <c r="AA12" s="141">
        <f>Mitigation_Industry!AA$247</f>
        <v>0</v>
      </c>
      <c r="AB12" s="141">
        <f>Mitigation_Industry!AB$247</f>
        <v>0</v>
      </c>
      <c r="AC12" s="141">
        <f>Mitigation_Industry!AC$247</f>
        <v>0</v>
      </c>
      <c r="AD12" s="141">
        <f>Mitigation_Industry!AD$247</f>
        <v>0</v>
      </c>
      <c r="AE12" s="141">
        <f>Mitigation_Industry!AE$247</f>
        <v>0</v>
      </c>
      <c r="AF12" s="142"/>
      <c r="AG12" s="142"/>
      <c r="AH12" s="142"/>
      <c r="AI12" s="142"/>
    </row>
    <row r="13" spans="1:35" customFormat="1" ht="14.25" x14ac:dyDescent="0.45">
      <c r="B13" s="14" t="s">
        <v>1417</v>
      </c>
      <c r="C13" s="14"/>
      <c r="D13" s="15" t="s">
        <v>2576</v>
      </c>
      <c r="E13" s="16" t="s">
        <v>1414</v>
      </c>
      <c r="F13" s="14" t="s">
        <v>1417</v>
      </c>
      <c r="G13" s="17"/>
      <c r="H13" s="17"/>
      <c r="I13" t="s">
        <v>2577</v>
      </c>
      <c r="K13" s="140"/>
      <c r="L13" s="141">
        <f>Mitigation_Industry!L$248</f>
        <v>0</v>
      </c>
      <c r="M13" s="141">
        <f>Mitigation_Industry!M$248</f>
        <v>0</v>
      </c>
      <c r="N13" s="141">
        <f>Mitigation_Industry!N$248</f>
        <v>0</v>
      </c>
      <c r="O13" s="141">
        <f>Mitigation_Industry!O$248</f>
        <v>0</v>
      </c>
      <c r="P13" s="141">
        <f>Mitigation_Industry!P$248</f>
        <v>0</v>
      </c>
      <c r="Q13" s="141">
        <f>Mitigation_Industry!Q$248</f>
        <v>0</v>
      </c>
      <c r="R13" s="141">
        <f>Mitigation_Industry!R$248</f>
        <v>0</v>
      </c>
      <c r="S13" s="141">
        <f>Mitigation_Industry!S$248</f>
        <v>0</v>
      </c>
      <c r="T13" s="141">
        <f>Mitigation_Industry!T$248</f>
        <v>0</v>
      </c>
      <c r="U13" s="141">
        <f>Mitigation_Industry!U$248</f>
        <v>0</v>
      </c>
      <c r="V13" s="141">
        <f>Mitigation_Industry!V$248</f>
        <v>0</v>
      </c>
      <c r="W13" s="141">
        <f>Mitigation_Industry!W$248</f>
        <v>0</v>
      </c>
      <c r="X13" s="141">
        <f>Mitigation_Industry!X$248</f>
        <v>0</v>
      </c>
      <c r="Y13" s="141">
        <f>Mitigation_Industry!Y$248</f>
        <v>0</v>
      </c>
      <c r="Z13" s="141">
        <f>Mitigation_Industry!Z$248</f>
        <v>0</v>
      </c>
      <c r="AA13" s="141">
        <f>Mitigation_Industry!AA$248</f>
        <v>0</v>
      </c>
      <c r="AB13" s="141">
        <f>Mitigation_Industry!AB$248</f>
        <v>0</v>
      </c>
      <c r="AC13" s="141">
        <f>Mitigation_Industry!AC$248</f>
        <v>0</v>
      </c>
      <c r="AD13" s="141">
        <f>Mitigation_Industry!AD$248</f>
        <v>0</v>
      </c>
      <c r="AE13" s="141">
        <f>Mitigation_Industry!AE$248</f>
        <v>0</v>
      </c>
      <c r="AF13" s="142"/>
      <c r="AG13" s="142"/>
      <c r="AH13" s="142"/>
      <c r="AI13" s="142"/>
    </row>
    <row r="14" spans="1:35" customFormat="1" ht="14.25" x14ac:dyDescent="0.45">
      <c r="B14" s="14" t="s">
        <v>1791</v>
      </c>
      <c r="C14" s="14"/>
      <c r="D14" s="15" t="s">
        <v>2578</v>
      </c>
      <c r="E14" s="16" t="s">
        <v>1414</v>
      </c>
      <c r="F14" s="14" t="s">
        <v>1791</v>
      </c>
      <c r="G14" s="17"/>
      <c r="H14" s="17"/>
      <c r="I14" t="s">
        <v>2579</v>
      </c>
      <c r="K14" s="140"/>
      <c r="L14" s="141">
        <f>Mitigation_Industry!L$308</f>
        <v>0</v>
      </c>
      <c r="M14" s="141">
        <f>Mitigation_Industry!M$308</f>
        <v>0</v>
      </c>
      <c r="N14" s="141">
        <f>Mitigation_Industry!N$308</f>
        <v>0</v>
      </c>
      <c r="O14" s="141">
        <f>Mitigation_Industry!O$308</f>
        <v>0</v>
      </c>
      <c r="P14" s="141">
        <f>Mitigation_Industry!P$308</f>
        <v>0</v>
      </c>
      <c r="Q14" s="141">
        <f>Mitigation_Industry!Q$308</f>
        <v>0</v>
      </c>
      <c r="R14" s="141">
        <f>Mitigation_Industry!R$308</f>
        <v>0</v>
      </c>
      <c r="S14" s="141">
        <f>Mitigation_Industry!S$308</f>
        <v>0</v>
      </c>
      <c r="T14" s="141">
        <f>Mitigation_Industry!T$308</f>
        <v>0</v>
      </c>
      <c r="U14" s="141">
        <f>Mitigation_Industry!U$308</f>
        <v>0</v>
      </c>
      <c r="V14" s="141">
        <f>Mitigation_Industry!V$308</f>
        <v>0</v>
      </c>
      <c r="W14" s="141">
        <f>Mitigation_Industry!W$308</f>
        <v>0</v>
      </c>
      <c r="X14" s="141">
        <f>Mitigation_Industry!X$308</f>
        <v>0</v>
      </c>
      <c r="Y14" s="141">
        <f>Mitigation_Industry!Y$308</f>
        <v>0</v>
      </c>
      <c r="Z14" s="141">
        <f>Mitigation_Industry!Z$308</f>
        <v>0</v>
      </c>
      <c r="AA14" s="141">
        <f>Mitigation_Industry!AA$308</f>
        <v>0</v>
      </c>
      <c r="AB14" s="141">
        <f>Mitigation_Industry!AB$308</f>
        <v>0</v>
      </c>
      <c r="AC14" s="141">
        <f>Mitigation_Industry!AC$308</f>
        <v>0</v>
      </c>
      <c r="AD14" s="141">
        <f>Mitigation_Industry!AD$308</f>
        <v>0</v>
      </c>
      <c r="AE14" s="141">
        <f>Mitigation_Industry!AE$308</f>
        <v>0</v>
      </c>
      <c r="AF14" s="142"/>
      <c r="AG14" s="142"/>
      <c r="AH14" s="142"/>
      <c r="AI14" s="142"/>
    </row>
    <row r="15" spans="1:35" x14ac:dyDescent="0.35"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</row>
    <row r="16" spans="1:35" customFormat="1" ht="14.25" x14ac:dyDescent="0.45">
      <c r="A16" s="11"/>
      <c r="B16" s="6"/>
      <c r="C16" s="7" t="s">
        <v>2580</v>
      </c>
      <c r="D16" s="6" t="s">
        <v>1504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8">
        <v>2021</v>
      </c>
      <c r="L16" s="139">
        <v>2022</v>
      </c>
      <c r="M16" s="138">
        <v>2023</v>
      </c>
      <c r="N16" s="138">
        <v>2024</v>
      </c>
      <c r="O16" s="138">
        <v>2025</v>
      </c>
      <c r="P16" s="138">
        <v>2026</v>
      </c>
      <c r="Q16" s="138">
        <v>2027</v>
      </c>
      <c r="R16" s="138">
        <v>2028</v>
      </c>
      <c r="S16" s="138">
        <v>2029</v>
      </c>
      <c r="T16" s="138">
        <v>2030</v>
      </c>
      <c r="U16" s="138">
        <v>2031</v>
      </c>
      <c r="V16" s="138">
        <v>2032</v>
      </c>
      <c r="W16" s="138">
        <v>2033</v>
      </c>
      <c r="X16" s="138">
        <v>2034</v>
      </c>
      <c r="Y16" s="138">
        <v>2035</v>
      </c>
      <c r="Z16" s="138">
        <v>2036</v>
      </c>
      <c r="AA16" s="138">
        <v>2037</v>
      </c>
      <c r="AB16" s="138">
        <v>2038</v>
      </c>
      <c r="AC16" s="138">
        <v>2039</v>
      </c>
      <c r="AD16" s="138">
        <v>2040</v>
      </c>
      <c r="AE16" s="138">
        <v>2041</v>
      </c>
      <c r="AF16" s="138">
        <v>2042</v>
      </c>
      <c r="AG16" s="138">
        <v>2043</v>
      </c>
      <c r="AH16" s="138">
        <v>2044</v>
      </c>
      <c r="AI16" s="138">
        <v>2045</v>
      </c>
    </row>
    <row r="17" spans="1:35" customFormat="1" ht="14.25" x14ac:dyDescent="0.45">
      <c r="B17" s="14" t="s">
        <v>1451</v>
      </c>
      <c r="C17" s="14" t="s">
        <v>43</v>
      </c>
      <c r="D17" s="15" t="s">
        <v>2581</v>
      </c>
      <c r="E17" s="16" t="s">
        <v>1414</v>
      </c>
      <c r="F17" s="14" t="s">
        <v>2580</v>
      </c>
      <c r="G17" s="17"/>
      <c r="H17" s="129" t="str">
        <f>Settings!$B$3&amp;".mit.pf.stl.drg.1"</f>
        <v>egy.mit.pf.stl.drg.1</v>
      </c>
      <c r="I17" t="s">
        <v>2582</v>
      </c>
      <c r="K17" s="140"/>
      <c r="L17" s="141">
        <f>Mitigation_Industry!$F$299*L$12+Mitigation_Industry!$G$299*L$13</f>
        <v>0</v>
      </c>
      <c r="M17" s="141">
        <f>Mitigation_Industry!$F$299*M$12+Mitigation_Industry!$G$299*M$13</f>
        <v>0</v>
      </c>
      <c r="N17" s="141">
        <f>Mitigation_Industry!$F$299*N$12+Mitigation_Industry!$G$299*N$13</f>
        <v>0</v>
      </c>
      <c r="O17" s="141">
        <f>Mitigation_Industry!$F$299*O$12+Mitigation_Industry!$G$299*O$13</f>
        <v>0</v>
      </c>
      <c r="P17" s="141">
        <f>Mitigation_Industry!$F$299*P$12+Mitigation_Industry!$G$299*P$13</f>
        <v>0</v>
      </c>
      <c r="Q17" s="141">
        <f>Mitigation_Industry!$F$299*Q$12+Mitigation_Industry!$G$299*Q$13</f>
        <v>0</v>
      </c>
      <c r="R17" s="141">
        <f>Mitigation_Industry!$F$299*R$12+Mitigation_Industry!$G$299*R$13</f>
        <v>0</v>
      </c>
      <c r="S17" s="141">
        <f>Mitigation_Industry!$F$299*S$12+Mitigation_Industry!$G$299*S$13</f>
        <v>0</v>
      </c>
      <c r="T17" s="141">
        <f>Mitigation_Industry!$F$299*T$12+Mitigation_Industry!$G$299*T$13</f>
        <v>0</v>
      </c>
      <c r="U17" s="141">
        <f>Mitigation_Industry!$F$299*U$12+Mitigation_Industry!$G$299*U$13</f>
        <v>0</v>
      </c>
      <c r="V17" s="141">
        <f>Mitigation_Industry!$F$299*V$12+Mitigation_Industry!$G$299*V$13</f>
        <v>0</v>
      </c>
      <c r="W17" s="141">
        <f>Mitigation_Industry!$F$299*W$12+Mitigation_Industry!$G$299*W$13</f>
        <v>0</v>
      </c>
      <c r="X17" s="141">
        <f>Mitigation_Industry!$F$299*X$12+Mitigation_Industry!$G$299*X$13</f>
        <v>0</v>
      </c>
      <c r="Y17" s="141">
        <f>Mitigation_Industry!$F$299*Y$12+Mitigation_Industry!$G$299*Y$13</f>
        <v>0</v>
      </c>
      <c r="Z17" s="141">
        <f>Mitigation_Industry!$F$299*Z$12+Mitigation_Industry!$G$299*Z$13</f>
        <v>0</v>
      </c>
      <c r="AA17" s="141">
        <f>Mitigation_Industry!$F$299*AA$12+Mitigation_Industry!$G$299*AA$13</f>
        <v>0</v>
      </c>
      <c r="AB17" s="141">
        <f>Mitigation_Industry!$F$299*AB$12+Mitigation_Industry!$G$299*AB$13</f>
        <v>0</v>
      </c>
      <c r="AC17" s="141">
        <f>Mitigation_Industry!$F$299*AC$12+Mitigation_Industry!$G$299*AC$13</f>
        <v>0</v>
      </c>
      <c r="AD17" s="141">
        <f>Mitigation_Industry!$F$299*AD$12+Mitigation_Industry!$G$299*AD$13</f>
        <v>0</v>
      </c>
      <c r="AE17" s="141">
        <f>Mitigation_Industry!$F$299*AE$12+Mitigation_Industry!$G$299*AE$13</f>
        <v>0</v>
      </c>
      <c r="AF17" s="142"/>
      <c r="AG17" s="142"/>
      <c r="AH17" s="142"/>
      <c r="AI17" s="142"/>
    </row>
    <row r="18" spans="1:35" customFormat="1" ht="14.25" x14ac:dyDescent="0.45">
      <c r="B18" s="14" t="s">
        <v>1454</v>
      </c>
      <c r="C18" s="14" t="s">
        <v>43</v>
      </c>
      <c r="D18" s="15" t="s">
        <v>2583</v>
      </c>
      <c r="E18" s="16" t="s">
        <v>1414</v>
      </c>
      <c r="F18" s="14" t="s">
        <v>2580</v>
      </c>
      <c r="G18" s="17"/>
      <c r="H18" s="129" t="str">
        <f>Settings!$B$3&amp;".mit.pf.stl.scr.1"</f>
        <v>egy.mit.pf.stl.scr.1</v>
      </c>
      <c r="K18" s="140"/>
      <c r="L18" s="141">
        <f>Mitigation_Industry!$F$300*L$12+Mitigation_Industry!$G$300*L$13</f>
        <v>0</v>
      </c>
      <c r="M18" s="141">
        <f>Mitigation_Industry!$F$300*M$12+Mitigation_Industry!$G$300*M$13</f>
        <v>0</v>
      </c>
      <c r="N18" s="141">
        <f>Mitigation_Industry!$F$300*N$12+Mitigation_Industry!$G$300*N$13</f>
        <v>0</v>
      </c>
      <c r="O18" s="141">
        <f>Mitigation_Industry!$F$300*O$12+Mitigation_Industry!$G$300*O$13</f>
        <v>0</v>
      </c>
      <c r="P18" s="141">
        <f>Mitigation_Industry!$F$300*P$12+Mitigation_Industry!$G$300*P$13</f>
        <v>0</v>
      </c>
      <c r="Q18" s="141">
        <f>Mitigation_Industry!$F$300*Q$12+Mitigation_Industry!$G$300*Q$13</f>
        <v>0</v>
      </c>
      <c r="R18" s="141">
        <f>Mitigation_Industry!$F$300*R$12+Mitigation_Industry!$G$300*R$13</f>
        <v>0</v>
      </c>
      <c r="S18" s="141">
        <f>Mitigation_Industry!$F$300*S$12+Mitigation_Industry!$G$300*S$13</f>
        <v>0</v>
      </c>
      <c r="T18" s="141">
        <f>Mitigation_Industry!$F$300*T$12+Mitigation_Industry!$G$300*T$13</f>
        <v>0</v>
      </c>
      <c r="U18" s="141">
        <f>Mitigation_Industry!$F$300*U$12+Mitigation_Industry!$G$300*U$13</f>
        <v>0</v>
      </c>
      <c r="V18" s="141">
        <f>Mitigation_Industry!$F$300*V$12+Mitigation_Industry!$G$300*V$13</f>
        <v>0</v>
      </c>
      <c r="W18" s="141">
        <f>Mitigation_Industry!$F$300*W$12+Mitigation_Industry!$G$300*W$13</f>
        <v>0</v>
      </c>
      <c r="X18" s="141">
        <f>Mitigation_Industry!$F$300*X$12+Mitigation_Industry!$G$300*X$13</f>
        <v>0</v>
      </c>
      <c r="Y18" s="141">
        <f>Mitigation_Industry!$F$300*Y$12+Mitigation_Industry!$G$300*Y$13</f>
        <v>0</v>
      </c>
      <c r="Z18" s="141">
        <f>Mitigation_Industry!$F$300*Z$12+Mitigation_Industry!$G$300*Z$13</f>
        <v>0</v>
      </c>
      <c r="AA18" s="141">
        <f>Mitigation_Industry!$F$300*AA$12+Mitigation_Industry!$G$300*AA$13</f>
        <v>0</v>
      </c>
      <c r="AB18" s="141">
        <f>Mitigation_Industry!$F$300*AB$12+Mitigation_Industry!$G$300*AB$13</f>
        <v>0</v>
      </c>
      <c r="AC18" s="141">
        <f>Mitigation_Industry!$F$300*AC$12+Mitigation_Industry!$G$300*AC$13</f>
        <v>0</v>
      </c>
      <c r="AD18" s="141">
        <f>Mitigation_Industry!$F$300*AD$12+Mitigation_Industry!$G$300*AD$13</f>
        <v>0</v>
      </c>
      <c r="AE18" s="141">
        <f>Mitigation_Industry!$F$300*AE$12+Mitigation_Industry!$G$300*AE$13</f>
        <v>0</v>
      </c>
      <c r="AF18" s="142"/>
      <c r="AG18" s="142"/>
      <c r="AH18" s="142"/>
      <c r="AI18" s="142"/>
    </row>
    <row r="19" spans="1:35" customFormat="1" ht="14.25" x14ac:dyDescent="0.45">
      <c r="B19" s="14" t="s">
        <v>1457</v>
      </c>
      <c r="C19" s="14" t="s">
        <v>43</v>
      </c>
      <c r="D19" s="15" t="s">
        <v>2584</v>
      </c>
      <c r="E19" s="16" t="s">
        <v>1414</v>
      </c>
      <c r="F19" s="14" t="s">
        <v>2580</v>
      </c>
      <c r="G19" s="17"/>
      <c r="H19" s="129" t="str">
        <f>Settings!$B$3&amp;".mit.pf.stl.bof.1"</f>
        <v>egy.mit.pf.stl.bof.1</v>
      </c>
      <c r="K19" s="140"/>
      <c r="L19" s="141">
        <f>Mitigation_Industry!$F$301*L$12+Mitigation_Industry!$G$301*L$13</f>
        <v>0</v>
      </c>
      <c r="M19" s="141">
        <f>Mitigation_Industry!$F$301*M$12+Mitigation_Industry!$G$301*M$13</f>
        <v>0</v>
      </c>
      <c r="N19" s="141">
        <f>Mitigation_Industry!$F$301*N$12+Mitigation_Industry!$G$301*N$13</f>
        <v>0</v>
      </c>
      <c r="O19" s="141">
        <f>Mitigation_Industry!$F$301*O$12+Mitigation_Industry!$G$301*O$13</f>
        <v>0</v>
      </c>
      <c r="P19" s="141">
        <f>Mitigation_Industry!$F$301*P$12+Mitigation_Industry!$G$301*P$13</f>
        <v>0</v>
      </c>
      <c r="Q19" s="141">
        <f>Mitigation_Industry!$F$301*Q$12+Mitigation_Industry!$G$301*Q$13</f>
        <v>0</v>
      </c>
      <c r="R19" s="141">
        <f>Mitigation_Industry!$F$301*R$12+Mitigation_Industry!$G$301*R$13</f>
        <v>0</v>
      </c>
      <c r="S19" s="141">
        <f>Mitigation_Industry!$F$301*S$12+Mitigation_Industry!$G$301*S$13</f>
        <v>0</v>
      </c>
      <c r="T19" s="141">
        <f>Mitigation_Industry!$F$301*T$12+Mitigation_Industry!$G$301*T$13</f>
        <v>0</v>
      </c>
      <c r="U19" s="141">
        <f>Mitigation_Industry!$F$301*U$12+Mitigation_Industry!$G$301*U$13</f>
        <v>0</v>
      </c>
      <c r="V19" s="141">
        <f>Mitigation_Industry!$F$301*V$12+Mitigation_Industry!$G$301*V$13</f>
        <v>0</v>
      </c>
      <c r="W19" s="141">
        <f>Mitigation_Industry!$F$301*W$12+Mitigation_Industry!$G$301*W$13</f>
        <v>0</v>
      </c>
      <c r="X19" s="141">
        <f>Mitigation_Industry!$F$301*X$12+Mitigation_Industry!$G$301*X$13</f>
        <v>0</v>
      </c>
      <c r="Y19" s="141">
        <f>Mitigation_Industry!$F$301*Y$12+Mitigation_Industry!$G$301*Y$13</f>
        <v>0</v>
      </c>
      <c r="Z19" s="141">
        <f>Mitigation_Industry!$F$301*Z$12+Mitigation_Industry!$G$301*Z$13</f>
        <v>0</v>
      </c>
      <c r="AA19" s="141">
        <f>Mitigation_Industry!$F$301*AA$12+Mitigation_Industry!$G$301*AA$13</f>
        <v>0</v>
      </c>
      <c r="AB19" s="141">
        <f>Mitigation_Industry!$F$301*AB$12+Mitigation_Industry!$G$301*AB$13</f>
        <v>0</v>
      </c>
      <c r="AC19" s="141">
        <f>Mitigation_Industry!$F$301*AC$12+Mitigation_Industry!$G$301*AC$13</f>
        <v>0</v>
      </c>
      <c r="AD19" s="141">
        <f>Mitigation_Industry!$F$301*AD$12+Mitigation_Industry!$G$301*AD$13</f>
        <v>0</v>
      </c>
      <c r="AE19" s="141">
        <f>Mitigation_Industry!$F$301*AE$12+Mitigation_Industry!$G$301*AE$13</f>
        <v>0</v>
      </c>
      <c r="AF19" s="142"/>
      <c r="AG19" s="142"/>
      <c r="AH19" s="142"/>
      <c r="AI19" s="142"/>
    </row>
    <row r="20" spans="1:35" customFormat="1" ht="14.25" x14ac:dyDescent="0.45">
      <c r="B20" s="14" t="s">
        <v>1460</v>
      </c>
      <c r="C20" s="14" t="s">
        <v>113</v>
      </c>
      <c r="D20" s="15" t="s">
        <v>2585</v>
      </c>
      <c r="E20" s="16" t="s">
        <v>1414</v>
      </c>
      <c r="F20" s="14" t="s">
        <v>2580</v>
      </c>
      <c r="G20" s="17"/>
      <c r="H20" s="129" t="str">
        <f>Settings!$B$3&amp;".mit.pf.cmt.dry.1"</f>
        <v>egy.mit.pf.cmt.dry.1</v>
      </c>
      <c r="K20" s="140"/>
      <c r="L20" s="141">
        <f>Mitigation_Industry!$F$302*L$12+Mitigation_Industry!$G$302*L$13</f>
        <v>0</v>
      </c>
      <c r="M20" s="141">
        <f>Mitigation_Industry!$F$302*M$12+Mitigation_Industry!$G$302*M$13</f>
        <v>0</v>
      </c>
      <c r="N20" s="141">
        <f>Mitigation_Industry!$F$302*N$12+Mitigation_Industry!$G$302*N$13</f>
        <v>0</v>
      </c>
      <c r="O20" s="141">
        <f>Mitigation_Industry!$F$302*O$12+Mitigation_Industry!$G$302*O$13</f>
        <v>0</v>
      </c>
      <c r="P20" s="141">
        <f>Mitigation_Industry!$F$302*P$12+Mitigation_Industry!$G$302*P$13</f>
        <v>0</v>
      </c>
      <c r="Q20" s="141">
        <f>Mitigation_Industry!$F$302*Q$12+Mitigation_Industry!$G$302*Q$13</f>
        <v>0</v>
      </c>
      <c r="R20" s="141">
        <f>Mitigation_Industry!$F$302*R$12+Mitigation_Industry!$G$302*R$13</f>
        <v>0</v>
      </c>
      <c r="S20" s="141">
        <f>Mitigation_Industry!$F$302*S$12+Mitigation_Industry!$G$302*S$13</f>
        <v>0</v>
      </c>
      <c r="T20" s="141">
        <f>Mitigation_Industry!$F$302*T$12+Mitigation_Industry!$G$302*T$13</f>
        <v>0</v>
      </c>
      <c r="U20" s="141">
        <f>Mitigation_Industry!$F$302*U$12+Mitigation_Industry!$G$302*U$13</f>
        <v>0</v>
      </c>
      <c r="V20" s="141">
        <f>Mitigation_Industry!$F$302*V$12+Mitigation_Industry!$G$302*V$13</f>
        <v>0</v>
      </c>
      <c r="W20" s="141">
        <f>Mitigation_Industry!$F$302*W$12+Mitigation_Industry!$G$302*W$13</f>
        <v>0</v>
      </c>
      <c r="X20" s="141">
        <f>Mitigation_Industry!$F$302*X$12+Mitigation_Industry!$G$302*X$13</f>
        <v>0</v>
      </c>
      <c r="Y20" s="141">
        <f>Mitigation_Industry!$F$302*Y$12+Mitigation_Industry!$G$302*Y$13</f>
        <v>0</v>
      </c>
      <c r="Z20" s="141">
        <f>Mitigation_Industry!$F$302*Z$12+Mitigation_Industry!$G$302*Z$13</f>
        <v>0</v>
      </c>
      <c r="AA20" s="141">
        <f>Mitigation_Industry!$F$302*AA$12+Mitigation_Industry!$G$302*AA$13</f>
        <v>0</v>
      </c>
      <c r="AB20" s="141">
        <f>Mitigation_Industry!$F$302*AB$12+Mitigation_Industry!$G$302*AB$13</f>
        <v>0</v>
      </c>
      <c r="AC20" s="141">
        <f>Mitigation_Industry!$F$302*AC$12+Mitigation_Industry!$G$302*AC$13</f>
        <v>0</v>
      </c>
      <c r="AD20" s="141">
        <f>Mitigation_Industry!$F$302*AD$12+Mitigation_Industry!$G$302*AD$13</f>
        <v>0</v>
      </c>
      <c r="AE20" s="141">
        <f>Mitigation_Industry!$F$302*AE$12+Mitigation_Industry!$G$302*AE$13</f>
        <v>0</v>
      </c>
      <c r="AF20" s="142"/>
      <c r="AG20" s="142"/>
      <c r="AH20" s="142"/>
      <c r="AI20" s="142"/>
    </row>
    <row r="21" spans="1:35" customFormat="1" ht="14.25" x14ac:dyDescent="0.45">
      <c r="B21" s="14" t="s">
        <v>1463</v>
      </c>
      <c r="C21" s="14" t="s">
        <v>117</v>
      </c>
      <c r="D21" s="15" t="s">
        <v>2586</v>
      </c>
      <c r="E21" s="16" t="s">
        <v>1414</v>
      </c>
      <c r="F21" s="14" t="s">
        <v>2580</v>
      </c>
      <c r="G21" s="17"/>
      <c r="H21" s="129" t="str">
        <f>Settings!$B$3&amp;".mit.pf.frt.amc.1"</f>
        <v>egy.mit.pf.frt.amc.1</v>
      </c>
      <c r="K21" s="140"/>
      <c r="L21" s="141">
        <f>Mitigation_Industry!$F$303*L$12+Mitigation_Industry!$G$303*L$13</f>
        <v>0</v>
      </c>
      <c r="M21" s="141">
        <f>Mitigation_Industry!$F$303*M$12+Mitigation_Industry!$G$303*M$13</f>
        <v>0</v>
      </c>
      <c r="N21" s="141">
        <f>Mitigation_Industry!$F$303*N$12+Mitigation_Industry!$G$303*N$13</f>
        <v>0</v>
      </c>
      <c r="O21" s="141">
        <f>Mitigation_Industry!$F$303*O$12+Mitigation_Industry!$G$303*O$13</f>
        <v>0</v>
      </c>
      <c r="P21" s="141">
        <f>Mitigation_Industry!$F$303*P$12+Mitigation_Industry!$G$303*P$13</f>
        <v>0</v>
      </c>
      <c r="Q21" s="141">
        <f>Mitigation_Industry!$F$303*Q$12+Mitigation_Industry!$G$303*Q$13</f>
        <v>0</v>
      </c>
      <c r="R21" s="141">
        <f>Mitigation_Industry!$F$303*R$12+Mitigation_Industry!$G$303*R$13</f>
        <v>0</v>
      </c>
      <c r="S21" s="141">
        <f>Mitigation_Industry!$F$303*S$12+Mitigation_Industry!$G$303*S$13</f>
        <v>0</v>
      </c>
      <c r="T21" s="141">
        <f>Mitigation_Industry!$F$303*T$12+Mitigation_Industry!$G$303*T$13</f>
        <v>0</v>
      </c>
      <c r="U21" s="141">
        <f>Mitigation_Industry!$F$303*U$12+Mitigation_Industry!$G$303*U$13</f>
        <v>0</v>
      </c>
      <c r="V21" s="141">
        <f>Mitigation_Industry!$F$303*V$12+Mitigation_Industry!$G$303*V$13</f>
        <v>0</v>
      </c>
      <c r="W21" s="141">
        <f>Mitigation_Industry!$F$303*W$12+Mitigation_Industry!$G$303*W$13</f>
        <v>0</v>
      </c>
      <c r="X21" s="141">
        <f>Mitigation_Industry!$F$303*X$12+Mitigation_Industry!$G$303*X$13</f>
        <v>0</v>
      </c>
      <c r="Y21" s="141">
        <f>Mitigation_Industry!$F$303*Y$12+Mitigation_Industry!$G$303*Y$13</f>
        <v>0</v>
      </c>
      <c r="Z21" s="141">
        <f>Mitigation_Industry!$F$303*Z$12+Mitigation_Industry!$G$303*Z$13</f>
        <v>0</v>
      </c>
      <c r="AA21" s="141">
        <f>Mitigation_Industry!$F$303*AA$12+Mitigation_Industry!$G$303*AA$13</f>
        <v>0</v>
      </c>
      <c r="AB21" s="141">
        <f>Mitigation_Industry!$F$303*AB$12+Mitigation_Industry!$G$303*AB$13</f>
        <v>0</v>
      </c>
      <c r="AC21" s="141">
        <f>Mitigation_Industry!$F$303*AC$12+Mitigation_Industry!$G$303*AC$13</f>
        <v>0</v>
      </c>
      <c r="AD21" s="141">
        <f>Mitigation_Industry!$F$303*AD$12+Mitigation_Industry!$G$303*AD$13</f>
        <v>0</v>
      </c>
      <c r="AE21" s="141">
        <f>Mitigation_Industry!$F$303*AE$12+Mitigation_Industry!$G$303*AE$13</f>
        <v>0</v>
      </c>
      <c r="AF21" s="142"/>
      <c r="AG21" s="142"/>
      <c r="AH21" s="142"/>
      <c r="AI21" s="142"/>
    </row>
    <row r="22" spans="1:35" customFormat="1" ht="14.25" x14ac:dyDescent="0.45">
      <c r="B22" s="14" t="s">
        <v>1466</v>
      </c>
      <c r="C22" s="14" t="s">
        <v>117</v>
      </c>
      <c r="D22" s="15" t="s">
        <v>2587</v>
      </c>
      <c r="E22" s="16" t="s">
        <v>1414</v>
      </c>
      <c r="F22" s="14" t="s">
        <v>2580</v>
      </c>
      <c r="G22" s="17"/>
      <c r="H22" s="129" t="str">
        <f>Settings!$B$3&amp;".mit.pf.frt.ure.1"</f>
        <v>egy.mit.pf.frt.ure.1</v>
      </c>
      <c r="K22" s="140"/>
      <c r="L22" s="141">
        <f>Mitigation_Industry!$F$304*L$12+Mitigation_Industry!$G$304*L$13</f>
        <v>0</v>
      </c>
      <c r="M22" s="141">
        <f>Mitigation_Industry!$F$304*M$12+Mitigation_Industry!$G$304*M$13</f>
        <v>0</v>
      </c>
      <c r="N22" s="141">
        <f>Mitigation_Industry!$F$304*N$12+Mitigation_Industry!$G$304*N$13</f>
        <v>0</v>
      </c>
      <c r="O22" s="141">
        <f>Mitigation_Industry!$F$304*O$12+Mitigation_Industry!$G$304*O$13</f>
        <v>0</v>
      </c>
      <c r="P22" s="141">
        <f>Mitigation_Industry!$F$304*P$12+Mitigation_Industry!$G$304*P$13</f>
        <v>0</v>
      </c>
      <c r="Q22" s="141">
        <f>Mitigation_Industry!$F$304*Q$12+Mitigation_Industry!$G$304*Q$13</f>
        <v>0</v>
      </c>
      <c r="R22" s="141">
        <f>Mitigation_Industry!$F$304*R$12+Mitigation_Industry!$G$304*R$13</f>
        <v>0</v>
      </c>
      <c r="S22" s="141">
        <f>Mitigation_Industry!$F$304*S$12+Mitigation_Industry!$G$304*S$13</f>
        <v>0</v>
      </c>
      <c r="T22" s="141">
        <f>Mitigation_Industry!$F$304*T$12+Mitigation_Industry!$G$304*T$13</f>
        <v>0</v>
      </c>
      <c r="U22" s="141">
        <f>Mitigation_Industry!$F$304*U$12+Mitigation_Industry!$G$304*U$13</f>
        <v>0</v>
      </c>
      <c r="V22" s="141">
        <f>Mitigation_Industry!$F$304*V$12+Mitigation_Industry!$G$304*V$13</f>
        <v>0</v>
      </c>
      <c r="W22" s="141">
        <f>Mitigation_Industry!$F$304*W$12+Mitigation_Industry!$G$304*W$13</f>
        <v>0</v>
      </c>
      <c r="X22" s="141">
        <f>Mitigation_Industry!$F$304*X$12+Mitigation_Industry!$G$304*X$13</f>
        <v>0</v>
      </c>
      <c r="Y22" s="141">
        <f>Mitigation_Industry!$F$304*Y$12+Mitigation_Industry!$G$304*Y$13</f>
        <v>0</v>
      </c>
      <c r="Z22" s="141">
        <f>Mitigation_Industry!$F$304*Z$12+Mitigation_Industry!$G$304*Z$13</f>
        <v>0</v>
      </c>
      <c r="AA22" s="141">
        <f>Mitigation_Industry!$F$304*AA$12+Mitigation_Industry!$G$304*AA$13</f>
        <v>0</v>
      </c>
      <c r="AB22" s="141">
        <f>Mitigation_Industry!$F$304*AB$12+Mitigation_Industry!$G$304*AB$13</f>
        <v>0</v>
      </c>
      <c r="AC22" s="141">
        <f>Mitigation_Industry!$F$304*AC$12+Mitigation_Industry!$G$304*AC$13</f>
        <v>0</v>
      </c>
      <c r="AD22" s="141">
        <f>Mitigation_Industry!$F$304*AD$12+Mitigation_Industry!$G$304*AD$13</f>
        <v>0</v>
      </c>
      <c r="AE22" s="141">
        <f>Mitigation_Industry!$F$304*AE$12+Mitigation_Industry!$G$304*AE$13</f>
        <v>0</v>
      </c>
      <c r="AF22" s="142"/>
      <c r="AG22" s="142"/>
      <c r="AH22" s="142"/>
      <c r="AI22" s="142"/>
    </row>
    <row r="23" spans="1:35" customFormat="1" ht="14.25" x14ac:dyDescent="0.45">
      <c r="B23" s="14" t="s">
        <v>1469</v>
      </c>
      <c r="C23" s="14" t="s">
        <v>117</v>
      </c>
      <c r="D23" s="15" t="s">
        <v>2588</v>
      </c>
      <c r="E23" s="16" t="s">
        <v>1414</v>
      </c>
      <c r="F23" s="14" t="s">
        <v>2580</v>
      </c>
      <c r="G23" s="17"/>
      <c r="H23" s="129" t="str">
        <f>Settings!$B$3&amp;".mit.pf.frt.nit.1"</f>
        <v>egy.mit.pf.frt.nit.1</v>
      </c>
      <c r="K23" s="140"/>
      <c r="L23" s="141">
        <f>Mitigation_Industry!$F$305*L$12+Mitigation_Industry!$G$305*L$13</f>
        <v>0</v>
      </c>
      <c r="M23" s="141">
        <f>Mitigation_Industry!$F$305*M$12+Mitigation_Industry!$G$305*M$13</f>
        <v>0</v>
      </c>
      <c r="N23" s="141">
        <f>Mitigation_Industry!$F$305*N$12+Mitigation_Industry!$G$305*N$13</f>
        <v>0</v>
      </c>
      <c r="O23" s="141">
        <f>Mitigation_Industry!$F$305*O$12+Mitigation_Industry!$G$305*O$13</f>
        <v>0</v>
      </c>
      <c r="P23" s="141">
        <f>Mitigation_Industry!$F$305*P$12+Mitigation_Industry!$G$305*P$13</f>
        <v>0</v>
      </c>
      <c r="Q23" s="141">
        <f>Mitigation_Industry!$F$305*Q$12+Mitigation_Industry!$G$305*Q$13</f>
        <v>0</v>
      </c>
      <c r="R23" s="141">
        <f>Mitigation_Industry!$F$305*R$12+Mitigation_Industry!$G$305*R$13</f>
        <v>0</v>
      </c>
      <c r="S23" s="141">
        <f>Mitigation_Industry!$F$305*S$12+Mitigation_Industry!$G$305*S$13</f>
        <v>0</v>
      </c>
      <c r="T23" s="141">
        <f>Mitigation_Industry!$F$305*T$12+Mitigation_Industry!$G$305*T$13</f>
        <v>0</v>
      </c>
      <c r="U23" s="141">
        <f>Mitigation_Industry!$F$305*U$12+Mitigation_Industry!$G$305*U$13</f>
        <v>0</v>
      </c>
      <c r="V23" s="141">
        <f>Mitigation_Industry!$F$305*V$12+Mitigation_Industry!$G$305*V$13</f>
        <v>0</v>
      </c>
      <c r="W23" s="141">
        <f>Mitigation_Industry!$F$305*W$12+Mitigation_Industry!$G$305*W$13</f>
        <v>0</v>
      </c>
      <c r="X23" s="141">
        <f>Mitigation_Industry!$F$305*X$12+Mitigation_Industry!$G$305*X$13</f>
        <v>0</v>
      </c>
      <c r="Y23" s="141">
        <f>Mitigation_Industry!$F$305*Y$12+Mitigation_Industry!$G$305*Y$13</f>
        <v>0</v>
      </c>
      <c r="Z23" s="141">
        <f>Mitigation_Industry!$F$305*Z$12+Mitigation_Industry!$G$305*Z$13</f>
        <v>0</v>
      </c>
      <c r="AA23" s="141">
        <f>Mitigation_Industry!$F$305*AA$12+Mitigation_Industry!$G$305*AA$13</f>
        <v>0</v>
      </c>
      <c r="AB23" s="141">
        <f>Mitigation_Industry!$F$305*AB$12+Mitigation_Industry!$G$305*AB$13</f>
        <v>0</v>
      </c>
      <c r="AC23" s="141">
        <f>Mitigation_Industry!$F$305*AC$12+Mitigation_Industry!$G$305*AC$13</f>
        <v>0</v>
      </c>
      <c r="AD23" s="141">
        <f>Mitigation_Industry!$F$305*AD$12+Mitigation_Industry!$G$305*AD$13</f>
        <v>0</v>
      </c>
      <c r="AE23" s="141">
        <f>Mitigation_Industry!$F$305*AE$12+Mitigation_Industry!$G$305*AE$13</f>
        <v>0</v>
      </c>
      <c r="AF23" s="142"/>
      <c r="AG23" s="142"/>
      <c r="AH23" s="142"/>
      <c r="AI23" s="142"/>
    </row>
    <row r="24" spans="1:35" customFormat="1" ht="14.25" x14ac:dyDescent="0.45">
      <c r="B24" s="14" t="s">
        <v>1472</v>
      </c>
      <c r="C24" s="14" t="s">
        <v>115</v>
      </c>
      <c r="D24" s="15" t="s">
        <v>2589</v>
      </c>
      <c r="E24" s="16" t="s">
        <v>1414</v>
      </c>
      <c r="F24" s="14" t="s">
        <v>2580</v>
      </c>
      <c r="G24" s="17"/>
      <c r="H24" s="129" t="str">
        <f>Settings!$B$3&amp;".mit.pf.alu.prp.1"</f>
        <v>egy.mit.pf.alu.prp.1</v>
      </c>
      <c r="K24" s="140"/>
      <c r="L24" s="141">
        <f>Mitigation_Industry!$F$306*L$12+Mitigation_Industry!$G$306*L$13</f>
        <v>0</v>
      </c>
      <c r="M24" s="141">
        <f>Mitigation_Industry!$F$306*M$12+Mitigation_Industry!$G$306*M$13</f>
        <v>0</v>
      </c>
      <c r="N24" s="141">
        <f>Mitigation_Industry!$F$306*N$12+Mitigation_Industry!$G$306*N$13</f>
        <v>0</v>
      </c>
      <c r="O24" s="141">
        <f>Mitigation_Industry!$F$306*O$12+Mitigation_Industry!$G$306*O$13</f>
        <v>0</v>
      </c>
      <c r="P24" s="141">
        <f>Mitigation_Industry!$F$306*P$12+Mitigation_Industry!$G$306*P$13</f>
        <v>0</v>
      </c>
      <c r="Q24" s="141">
        <f>Mitigation_Industry!$F$306*Q$12+Mitigation_Industry!$G$306*Q$13</f>
        <v>0</v>
      </c>
      <c r="R24" s="141">
        <f>Mitigation_Industry!$F$306*R$12+Mitigation_Industry!$G$306*R$13</f>
        <v>0</v>
      </c>
      <c r="S24" s="141">
        <f>Mitigation_Industry!$F$306*S$12+Mitigation_Industry!$G$306*S$13</f>
        <v>0</v>
      </c>
      <c r="T24" s="141">
        <f>Mitigation_Industry!$F$306*T$12+Mitigation_Industry!$G$306*T$13</f>
        <v>0</v>
      </c>
      <c r="U24" s="141">
        <f>Mitigation_Industry!$F$306*U$12+Mitigation_Industry!$G$306*U$13</f>
        <v>0</v>
      </c>
      <c r="V24" s="141">
        <f>Mitigation_Industry!$F$306*V$12+Mitigation_Industry!$G$306*V$13</f>
        <v>0</v>
      </c>
      <c r="W24" s="141">
        <f>Mitigation_Industry!$F$306*W$12+Mitigation_Industry!$G$306*W$13</f>
        <v>0</v>
      </c>
      <c r="X24" s="141">
        <f>Mitigation_Industry!$F$306*X$12+Mitigation_Industry!$G$306*X$13</f>
        <v>0</v>
      </c>
      <c r="Y24" s="141">
        <f>Mitigation_Industry!$F$306*Y$12+Mitigation_Industry!$G$306*Y$13</f>
        <v>0</v>
      </c>
      <c r="Z24" s="141">
        <f>Mitigation_Industry!$F$306*Z$12+Mitigation_Industry!$G$306*Z$13</f>
        <v>0</v>
      </c>
      <c r="AA24" s="141">
        <f>Mitigation_Industry!$F$306*AA$12+Mitigation_Industry!$G$306*AA$13</f>
        <v>0</v>
      </c>
      <c r="AB24" s="141">
        <f>Mitigation_Industry!$F$306*AB$12+Mitigation_Industry!$G$306*AB$13</f>
        <v>0</v>
      </c>
      <c r="AC24" s="141">
        <f>Mitigation_Industry!$F$306*AC$12+Mitigation_Industry!$G$306*AC$13</f>
        <v>0</v>
      </c>
      <c r="AD24" s="141">
        <f>Mitigation_Industry!$F$306*AD$12+Mitigation_Industry!$G$306*AD$13</f>
        <v>0</v>
      </c>
      <c r="AE24" s="141">
        <f>Mitigation_Industry!$F$306*AE$12+Mitigation_Industry!$G$306*AE$13</f>
        <v>0</v>
      </c>
      <c r="AF24" s="142"/>
      <c r="AG24" s="142"/>
      <c r="AH24" s="142"/>
      <c r="AI24" s="142"/>
    </row>
    <row r="25" spans="1:35" x14ac:dyDescent="0.35"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</row>
    <row r="26" spans="1:35" customFormat="1" ht="14.25" x14ac:dyDescent="0.45">
      <c r="A26" s="11"/>
      <c r="B26" s="6"/>
      <c r="C26" s="7" t="s">
        <v>2590</v>
      </c>
      <c r="D26" s="6" t="s">
        <v>1504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8">
        <v>2021</v>
      </c>
      <c r="L26" s="139">
        <v>2022</v>
      </c>
      <c r="M26" s="138">
        <v>2023</v>
      </c>
      <c r="N26" s="138">
        <v>2024</v>
      </c>
      <c r="O26" s="138">
        <v>2025</v>
      </c>
      <c r="P26" s="138">
        <v>2026</v>
      </c>
      <c r="Q26" s="138">
        <v>2027</v>
      </c>
      <c r="R26" s="138">
        <v>2028</v>
      </c>
      <c r="S26" s="138">
        <v>2029</v>
      </c>
      <c r="T26" s="138">
        <v>2030</v>
      </c>
      <c r="U26" s="138">
        <v>2031</v>
      </c>
      <c r="V26" s="138">
        <v>2032</v>
      </c>
      <c r="W26" s="138">
        <v>2033</v>
      </c>
      <c r="X26" s="138">
        <v>2034</v>
      </c>
      <c r="Y26" s="138">
        <v>2035</v>
      </c>
      <c r="Z26" s="138">
        <v>2036</v>
      </c>
      <c r="AA26" s="138">
        <v>2037</v>
      </c>
      <c r="AB26" s="138">
        <v>2038</v>
      </c>
      <c r="AC26" s="138">
        <v>2039</v>
      </c>
      <c r="AD26" s="138">
        <v>2040</v>
      </c>
      <c r="AE26" s="138">
        <v>2041</v>
      </c>
      <c r="AF26" s="138">
        <v>2042</v>
      </c>
      <c r="AG26" s="138">
        <v>2043</v>
      </c>
      <c r="AH26" s="138">
        <v>2044</v>
      </c>
      <c r="AI26" s="138">
        <v>2045</v>
      </c>
    </row>
    <row r="27" spans="1:35" customFormat="1" ht="14.25" x14ac:dyDescent="0.45">
      <c r="B27" s="14" t="s">
        <v>2591</v>
      </c>
      <c r="C27" s="14" t="s">
        <v>43</v>
      </c>
      <c r="D27" s="15" t="s">
        <v>2592</v>
      </c>
      <c r="E27" s="16" t="s">
        <v>1414</v>
      </c>
      <c r="F27" s="14" t="s">
        <v>2590</v>
      </c>
      <c r="G27" s="17"/>
      <c r="H27" s="129" t="str">
        <f>Settings!$B$3&amp;".mit.pp.stl.drg.np.1"</f>
        <v>egy.mit.pp.stl.drg.np.1</v>
      </c>
      <c r="I27" t="s">
        <v>2593</v>
      </c>
      <c r="K27" s="140"/>
      <c r="L27" s="141">
        <f>Mitigation_Industry!$F$310*L$14+Mitigation_Industry!$G$310*L$13</f>
        <v>0</v>
      </c>
      <c r="M27" s="141">
        <f>Mitigation_Industry!$F$310*M$14+Mitigation_Industry!$G$310*M$13</f>
        <v>0</v>
      </c>
      <c r="N27" s="141">
        <f>Mitigation_Industry!$F$310*N$14+Mitigation_Industry!$G$310*N$13</f>
        <v>0</v>
      </c>
      <c r="O27" s="141">
        <f>Mitigation_Industry!$F$310*O$14+Mitigation_Industry!$G$310*O$13</f>
        <v>0</v>
      </c>
      <c r="P27" s="141">
        <f>Mitigation_Industry!$F$310*P$14+Mitigation_Industry!$G$310*P$13</f>
        <v>0</v>
      </c>
      <c r="Q27" s="141">
        <f>Mitigation_Industry!$F$310*Q$14+Mitigation_Industry!$G$310*Q$13</f>
        <v>0</v>
      </c>
      <c r="R27" s="141">
        <f>Mitigation_Industry!$F$310*R$14+Mitigation_Industry!$G$310*R$13</f>
        <v>0</v>
      </c>
      <c r="S27" s="141">
        <f>Mitigation_Industry!$F$310*S$14+Mitigation_Industry!$G$310*S$13</f>
        <v>0</v>
      </c>
      <c r="T27" s="141">
        <f>Mitigation_Industry!$F$310*T$14+Mitigation_Industry!$G$310*T$13</f>
        <v>0</v>
      </c>
      <c r="U27" s="141">
        <f>Mitigation_Industry!$F$310*U$14+Mitigation_Industry!$G$310*U$13</f>
        <v>0</v>
      </c>
      <c r="V27" s="141">
        <f>Mitigation_Industry!$F$310*V$14+Mitigation_Industry!$G$310*V$13</f>
        <v>0</v>
      </c>
      <c r="W27" s="141">
        <f>Mitigation_Industry!$F$310*W$14+Mitigation_Industry!$G$310*W$13</f>
        <v>0</v>
      </c>
      <c r="X27" s="141">
        <f>Mitigation_Industry!$F$310*X$14+Mitigation_Industry!$G$310*X$13</f>
        <v>0</v>
      </c>
      <c r="Y27" s="141">
        <f>Mitigation_Industry!$F$310*Y$14+Mitigation_Industry!$G$310*Y$13</f>
        <v>0</v>
      </c>
      <c r="Z27" s="141">
        <f>Mitigation_Industry!$F$310*Z$14+Mitigation_Industry!$G$310*Z$13</f>
        <v>0</v>
      </c>
      <c r="AA27" s="141">
        <f>Mitigation_Industry!$F$310*AA$14+Mitigation_Industry!$G$310*AA$13</f>
        <v>0</v>
      </c>
      <c r="AB27" s="141">
        <f>Mitigation_Industry!$F$310*AB$14+Mitigation_Industry!$G$310*AB$13</f>
        <v>0</v>
      </c>
      <c r="AC27" s="141">
        <f>Mitigation_Industry!$F$310*AC$14+Mitigation_Industry!$G$310*AC$13</f>
        <v>0</v>
      </c>
      <c r="AD27" s="141">
        <f>Mitigation_Industry!$F$310*AD$14+Mitigation_Industry!$G$310*AD$13</f>
        <v>0</v>
      </c>
      <c r="AE27" s="141">
        <f>Mitigation_Industry!$F$310*AE$14+Mitigation_Industry!$G$310*AE$13</f>
        <v>0</v>
      </c>
      <c r="AF27" s="142"/>
      <c r="AG27" s="142"/>
      <c r="AH27" s="142"/>
      <c r="AI27" s="142"/>
    </row>
    <row r="28" spans="1:35" customFormat="1" ht="14.25" x14ac:dyDescent="0.45">
      <c r="B28" s="14" t="s">
        <v>2594</v>
      </c>
      <c r="C28" s="14" t="s">
        <v>43</v>
      </c>
      <c r="D28" s="15" t="s">
        <v>2595</v>
      </c>
      <c r="E28" s="16" t="s">
        <v>1414</v>
      </c>
      <c r="F28" s="14" t="s">
        <v>2590</v>
      </c>
      <c r="G28" s="17"/>
      <c r="H28" s="129" t="str">
        <f>Settings!$B$3&amp;".mit.pp.stl.scr.np.1"</f>
        <v>egy.mit.pp.stl.scr.np.1</v>
      </c>
      <c r="K28" s="140"/>
      <c r="L28" s="141">
        <f>Mitigation_Industry!$F$311*L$14+Mitigation_Industry!$G$311*L$13</f>
        <v>0</v>
      </c>
      <c r="M28" s="141">
        <f>Mitigation_Industry!$F$311*M$14+Mitigation_Industry!$G$311*M$13</f>
        <v>0</v>
      </c>
      <c r="N28" s="141">
        <f>Mitigation_Industry!$F$311*N$14+Mitigation_Industry!$G$311*N$13</f>
        <v>0</v>
      </c>
      <c r="O28" s="141">
        <f>Mitigation_Industry!$F$311*O$14+Mitigation_Industry!$G$311*O$13</f>
        <v>0</v>
      </c>
      <c r="P28" s="141">
        <f>Mitigation_Industry!$F$311*P$14+Mitigation_Industry!$G$311*P$13</f>
        <v>0</v>
      </c>
      <c r="Q28" s="141">
        <f>Mitigation_Industry!$F$311*Q$14+Mitigation_Industry!$G$311*Q$13</f>
        <v>0</v>
      </c>
      <c r="R28" s="141">
        <f>Mitigation_Industry!$F$311*R$14+Mitigation_Industry!$G$311*R$13</f>
        <v>0</v>
      </c>
      <c r="S28" s="141">
        <f>Mitigation_Industry!$F$311*S$14+Mitigation_Industry!$G$311*S$13</f>
        <v>0</v>
      </c>
      <c r="T28" s="141">
        <f>Mitigation_Industry!$F$311*T$14+Mitigation_Industry!$G$311*T$13</f>
        <v>0</v>
      </c>
      <c r="U28" s="141">
        <f>Mitigation_Industry!$F$311*U$14+Mitigation_Industry!$G$311*U$13</f>
        <v>0</v>
      </c>
      <c r="V28" s="141">
        <f>Mitigation_Industry!$F$311*V$14+Mitigation_Industry!$G$311*V$13</f>
        <v>0</v>
      </c>
      <c r="W28" s="141">
        <f>Mitigation_Industry!$F$311*W$14+Mitigation_Industry!$G$311*W$13</f>
        <v>0</v>
      </c>
      <c r="X28" s="141">
        <f>Mitigation_Industry!$F$311*X$14+Mitigation_Industry!$G$311*X$13</f>
        <v>0</v>
      </c>
      <c r="Y28" s="141">
        <f>Mitigation_Industry!$F$311*Y$14+Mitigation_Industry!$G$311*Y$13</f>
        <v>0</v>
      </c>
      <c r="Z28" s="141">
        <f>Mitigation_Industry!$F$311*Z$14+Mitigation_Industry!$G$311*Z$13</f>
        <v>0</v>
      </c>
      <c r="AA28" s="141">
        <f>Mitigation_Industry!$F$311*AA$14+Mitigation_Industry!$G$311*AA$13</f>
        <v>0</v>
      </c>
      <c r="AB28" s="141">
        <f>Mitigation_Industry!$F$311*AB$14+Mitigation_Industry!$G$311*AB$13</f>
        <v>0</v>
      </c>
      <c r="AC28" s="141">
        <f>Mitigation_Industry!$F$311*AC$14+Mitigation_Industry!$G$311*AC$13</f>
        <v>0</v>
      </c>
      <c r="AD28" s="141">
        <f>Mitigation_Industry!$F$311*AD$14+Mitigation_Industry!$G$311*AD$13</f>
        <v>0</v>
      </c>
      <c r="AE28" s="141">
        <f>Mitigation_Industry!$F$311*AE$14+Mitigation_Industry!$G$311*AE$13</f>
        <v>0</v>
      </c>
      <c r="AF28" s="142"/>
      <c r="AG28" s="142"/>
      <c r="AH28" s="142"/>
      <c r="AI28" s="142"/>
    </row>
    <row r="29" spans="1:35" customFormat="1" ht="14.25" x14ac:dyDescent="0.45">
      <c r="B29" s="14" t="s">
        <v>2596</v>
      </c>
      <c r="C29" s="14" t="s">
        <v>43</v>
      </c>
      <c r="D29" s="15" t="s">
        <v>2597</v>
      </c>
      <c r="E29" s="16" t="s">
        <v>1414</v>
      </c>
      <c r="F29" s="14" t="s">
        <v>2590</v>
      </c>
      <c r="G29" s="17"/>
      <c r="H29" s="129" t="str">
        <f>Settings!$B$3&amp;".mit.pp.stl.bof.np.1"</f>
        <v>egy.mit.pp.stl.bof.np.1</v>
      </c>
      <c r="K29" s="140"/>
      <c r="L29" s="141">
        <f>Mitigation_Industry!$F$312*L$14+Mitigation_Industry!$G$312*L$13</f>
        <v>0</v>
      </c>
      <c r="M29" s="141">
        <f>Mitigation_Industry!$F$312*M$14+Mitigation_Industry!$G$312*M$13</f>
        <v>0</v>
      </c>
      <c r="N29" s="141">
        <f>Mitigation_Industry!$F$312*N$14+Mitigation_Industry!$G$312*N$13</f>
        <v>0</v>
      </c>
      <c r="O29" s="141">
        <f>Mitigation_Industry!$F$312*O$14+Mitigation_Industry!$G$312*O$13</f>
        <v>0</v>
      </c>
      <c r="P29" s="141">
        <f>Mitigation_Industry!$F$312*P$14+Mitigation_Industry!$G$312*P$13</f>
        <v>0</v>
      </c>
      <c r="Q29" s="141">
        <f>Mitigation_Industry!$F$312*Q$14+Mitigation_Industry!$G$312*Q$13</f>
        <v>0</v>
      </c>
      <c r="R29" s="141">
        <f>Mitigation_Industry!$F$312*R$14+Mitigation_Industry!$G$312*R$13</f>
        <v>0</v>
      </c>
      <c r="S29" s="141">
        <f>Mitigation_Industry!$F$312*S$14+Mitigation_Industry!$G$312*S$13</f>
        <v>0</v>
      </c>
      <c r="T29" s="141">
        <f>Mitigation_Industry!$F$312*T$14+Mitigation_Industry!$G$312*T$13</f>
        <v>0</v>
      </c>
      <c r="U29" s="141">
        <f>Mitigation_Industry!$F$312*U$14+Mitigation_Industry!$G$312*U$13</f>
        <v>0</v>
      </c>
      <c r="V29" s="141">
        <f>Mitigation_Industry!$F$312*V$14+Mitigation_Industry!$G$312*V$13</f>
        <v>0</v>
      </c>
      <c r="W29" s="141">
        <f>Mitigation_Industry!$F$312*W$14+Mitigation_Industry!$G$312*W$13</f>
        <v>0</v>
      </c>
      <c r="X29" s="141">
        <f>Mitigation_Industry!$F$312*X$14+Mitigation_Industry!$G$312*X$13</f>
        <v>0</v>
      </c>
      <c r="Y29" s="141">
        <f>Mitigation_Industry!$F$312*Y$14+Mitigation_Industry!$G$312*Y$13</f>
        <v>0</v>
      </c>
      <c r="Z29" s="141">
        <f>Mitigation_Industry!$F$312*Z$14+Mitigation_Industry!$G$312*Z$13</f>
        <v>0</v>
      </c>
      <c r="AA29" s="141">
        <f>Mitigation_Industry!$F$312*AA$14+Mitigation_Industry!$G$312*AA$13</f>
        <v>0</v>
      </c>
      <c r="AB29" s="141">
        <f>Mitigation_Industry!$F$312*AB$14+Mitigation_Industry!$G$312*AB$13</f>
        <v>0</v>
      </c>
      <c r="AC29" s="141">
        <f>Mitigation_Industry!$F$312*AC$14+Mitigation_Industry!$G$312*AC$13</f>
        <v>0</v>
      </c>
      <c r="AD29" s="141">
        <f>Mitigation_Industry!$F$312*AD$14+Mitigation_Industry!$G$312*AD$13</f>
        <v>0</v>
      </c>
      <c r="AE29" s="141">
        <f>Mitigation_Industry!$F$312*AE$14+Mitigation_Industry!$G$312*AE$13</f>
        <v>0</v>
      </c>
      <c r="AF29" s="142"/>
      <c r="AG29" s="142"/>
      <c r="AH29" s="142"/>
      <c r="AI29" s="142"/>
    </row>
    <row r="30" spans="1:35" customFormat="1" ht="14.25" x14ac:dyDescent="0.45">
      <c r="B30" s="14" t="s">
        <v>2598</v>
      </c>
      <c r="C30" s="14" t="s">
        <v>113</v>
      </c>
      <c r="D30" s="15" t="s">
        <v>2599</v>
      </c>
      <c r="E30" s="16" t="s">
        <v>1414</v>
      </c>
      <c r="F30" s="14" t="s">
        <v>2590</v>
      </c>
      <c r="G30" s="17"/>
      <c r="H30" s="129" t="str">
        <f>Settings!$B$3&amp;".mit.pp.cmt.dry.np.1"</f>
        <v>egy.mit.pp.cmt.dry.np.1</v>
      </c>
      <c r="K30" s="140"/>
      <c r="L30" s="141">
        <f>Mitigation_Industry!$F$313*L$14+Mitigation_Industry!$G$313*L$13</f>
        <v>0</v>
      </c>
      <c r="M30" s="141">
        <f>Mitigation_Industry!$F$313*M$14+Mitigation_Industry!$G$313*M$13</f>
        <v>0</v>
      </c>
      <c r="N30" s="141">
        <f>Mitigation_Industry!$F$313*N$14+Mitigation_Industry!$G$313*N$13</f>
        <v>0</v>
      </c>
      <c r="O30" s="141">
        <f>Mitigation_Industry!$F$313*O$14+Mitigation_Industry!$G$313*O$13</f>
        <v>0</v>
      </c>
      <c r="P30" s="141">
        <f>Mitigation_Industry!$F$313*P$14+Mitigation_Industry!$G$313*P$13</f>
        <v>0</v>
      </c>
      <c r="Q30" s="141">
        <f>Mitigation_Industry!$F$313*Q$14+Mitigation_Industry!$G$313*Q$13</f>
        <v>0</v>
      </c>
      <c r="R30" s="141">
        <f>Mitigation_Industry!$F$313*R$14+Mitigation_Industry!$G$313*R$13</f>
        <v>0</v>
      </c>
      <c r="S30" s="141">
        <f>Mitigation_Industry!$F$313*S$14+Mitigation_Industry!$G$313*S$13</f>
        <v>0</v>
      </c>
      <c r="T30" s="141">
        <f>Mitigation_Industry!$F$313*T$14+Mitigation_Industry!$G$313*T$13</f>
        <v>0</v>
      </c>
      <c r="U30" s="141">
        <f>Mitigation_Industry!$F$313*U$14+Mitigation_Industry!$G$313*U$13</f>
        <v>0</v>
      </c>
      <c r="V30" s="141">
        <f>Mitigation_Industry!$F$313*V$14+Mitigation_Industry!$G$313*V$13</f>
        <v>0</v>
      </c>
      <c r="W30" s="141">
        <f>Mitigation_Industry!$F$313*W$14+Mitigation_Industry!$G$313*W$13</f>
        <v>0</v>
      </c>
      <c r="X30" s="141">
        <f>Mitigation_Industry!$F$313*X$14+Mitigation_Industry!$G$313*X$13</f>
        <v>0</v>
      </c>
      <c r="Y30" s="141">
        <f>Mitigation_Industry!$F$313*Y$14+Mitigation_Industry!$G$313*Y$13</f>
        <v>0</v>
      </c>
      <c r="Z30" s="141">
        <f>Mitigation_Industry!$F$313*Z$14+Mitigation_Industry!$G$313*Z$13</f>
        <v>0</v>
      </c>
      <c r="AA30" s="141">
        <f>Mitigation_Industry!$F$313*AA$14+Mitigation_Industry!$G$313*AA$13</f>
        <v>0</v>
      </c>
      <c r="AB30" s="141">
        <f>Mitigation_Industry!$F$313*AB$14+Mitigation_Industry!$G$313*AB$13</f>
        <v>0</v>
      </c>
      <c r="AC30" s="141">
        <f>Mitigation_Industry!$F$313*AC$14+Mitigation_Industry!$G$313*AC$13</f>
        <v>0</v>
      </c>
      <c r="AD30" s="141">
        <f>Mitigation_Industry!$F$313*AD$14+Mitigation_Industry!$G$313*AD$13</f>
        <v>0</v>
      </c>
      <c r="AE30" s="141">
        <f>Mitigation_Industry!$F$313*AE$14+Mitigation_Industry!$G$313*AE$13</f>
        <v>0</v>
      </c>
      <c r="AF30" s="142"/>
      <c r="AG30" s="142"/>
      <c r="AH30" s="142"/>
      <c r="AI30" s="142"/>
    </row>
    <row r="31" spans="1:35" customFormat="1" ht="14.25" x14ac:dyDescent="0.45">
      <c r="B31" s="14" t="s">
        <v>2600</v>
      </c>
      <c r="C31" s="14" t="s">
        <v>117</v>
      </c>
      <c r="D31" s="15" t="s">
        <v>2601</v>
      </c>
      <c r="E31" s="16" t="s">
        <v>1414</v>
      </c>
      <c r="F31" s="14" t="s">
        <v>2590</v>
      </c>
      <c r="G31" s="17"/>
      <c r="H31" s="129" t="str">
        <f>Settings!$B$3&amp;".mit.pp.frt.amc.np.1"</f>
        <v>egy.mit.pp.frt.amc.np.1</v>
      </c>
      <c r="K31" s="140"/>
      <c r="L31" s="141">
        <f>Mitigation_Industry!$F$314*L$14+Mitigation_Industry!$G$314*L$13</f>
        <v>0</v>
      </c>
      <c r="M31" s="141">
        <f>Mitigation_Industry!$F$314*M$14+Mitigation_Industry!$G$314*M$13</f>
        <v>0</v>
      </c>
      <c r="N31" s="141">
        <f>Mitigation_Industry!$F$314*N$14+Mitigation_Industry!$G$314*N$13</f>
        <v>0</v>
      </c>
      <c r="O31" s="141">
        <f>Mitigation_Industry!$F$314*O$14+Mitigation_Industry!$G$314*O$13</f>
        <v>0</v>
      </c>
      <c r="P31" s="141">
        <f>Mitigation_Industry!$F$314*P$14+Mitigation_Industry!$G$314*P$13</f>
        <v>0</v>
      </c>
      <c r="Q31" s="141">
        <f>Mitigation_Industry!$F$314*Q$14+Mitigation_Industry!$G$314*Q$13</f>
        <v>0</v>
      </c>
      <c r="R31" s="141">
        <f>Mitigation_Industry!$F$314*R$14+Mitigation_Industry!$G$314*R$13</f>
        <v>0</v>
      </c>
      <c r="S31" s="141">
        <f>Mitigation_Industry!$F$314*S$14+Mitigation_Industry!$G$314*S$13</f>
        <v>0</v>
      </c>
      <c r="T31" s="141">
        <f>Mitigation_Industry!$F$314*T$14+Mitigation_Industry!$G$314*T$13</f>
        <v>0</v>
      </c>
      <c r="U31" s="141">
        <f>Mitigation_Industry!$F$314*U$14+Mitigation_Industry!$G$314*U$13</f>
        <v>0</v>
      </c>
      <c r="V31" s="141">
        <f>Mitigation_Industry!$F$314*V$14+Mitigation_Industry!$G$314*V$13</f>
        <v>0</v>
      </c>
      <c r="W31" s="141">
        <f>Mitigation_Industry!$F$314*W$14+Mitigation_Industry!$G$314*W$13</f>
        <v>0</v>
      </c>
      <c r="X31" s="141">
        <f>Mitigation_Industry!$F$314*X$14+Mitigation_Industry!$G$314*X$13</f>
        <v>0</v>
      </c>
      <c r="Y31" s="141">
        <f>Mitigation_Industry!$F$314*Y$14+Mitigation_Industry!$G$314*Y$13</f>
        <v>0</v>
      </c>
      <c r="Z31" s="141">
        <f>Mitigation_Industry!$F$314*Z$14+Mitigation_Industry!$G$314*Z$13</f>
        <v>0</v>
      </c>
      <c r="AA31" s="141">
        <f>Mitigation_Industry!$F$314*AA$14+Mitigation_Industry!$G$314*AA$13</f>
        <v>0</v>
      </c>
      <c r="AB31" s="141">
        <f>Mitigation_Industry!$F$314*AB$14+Mitigation_Industry!$G$314*AB$13</f>
        <v>0</v>
      </c>
      <c r="AC31" s="141">
        <f>Mitigation_Industry!$F$314*AC$14+Mitigation_Industry!$G$314*AC$13</f>
        <v>0</v>
      </c>
      <c r="AD31" s="141">
        <f>Mitigation_Industry!$F$314*AD$14+Mitigation_Industry!$G$314*AD$13</f>
        <v>0</v>
      </c>
      <c r="AE31" s="141">
        <f>Mitigation_Industry!$F$314*AE$14+Mitigation_Industry!$G$314*AE$13</f>
        <v>0</v>
      </c>
      <c r="AF31" s="142"/>
      <c r="AG31" s="142"/>
      <c r="AH31" s="142"/>
      <c r="AI31" s="142"/>
    </row>
    <row r="32" spans="1:35" customFormat="1" ht="14.25" x14ac:dyDescent="0.45">
      <c r="B32" s="14" t="s">
        <v>2602</v>
      </c>
      <c r="C32" s="14" t="s">
        <v>117</v>
      </c>
      <c r="D32" s="15" t="s">
        <v>2603</v>
      </c>
      <c r="E32" s="16" t="s">
        <v>1414</v>
      </c>
      <c r="F32" s="14" t="s">
        <v>2590</v>
      </c>
      <c r="G32" s="17"/>
      <c r="H32" s="129" t="str">
        <f>Settings!$B$3&amp;".mit.pp.frt.ure.np.1"</f>
        <v>egy.mit.pp.frt.ure.np.1</v>
      </c>
      <c r="K32" s="140"/>
      <c r="L32" s="141">
        <f>Mitigation_Industry!$F$315*L$14+Mitigation_Industry!$G$315*L$13</f>
        <v>0</v>
      </c>
      <c r="M32" s="141">
        <f>Mitigation_Industry!$F$315*M$14+Mitigation_Industry!$G$315*M$13</f>
        <v>0</v>
      </c>
      <c r="N32" s="141">
        <f>Mitigation_Industry!$F$315*N$14+Mitigation_Industry!$G$315*N$13</f>
        <v>0</v>
      </c>
      <c r="O32" s="141">
        <f>Mitigation_Industry!$F$315*O$14+Mitigation_Industry!$G$315*O$13</f>
        <v>0</v>
      </c>
      <c r="P32" s="141">
        <f>Mitigation_Industry!$F$315*P$14+Mitigation_Industry!$G$315*P$13</f>
        <v>0</v>
      </c>
      <c r="Q32" s="141">
        <f>Mitigation_Industry!$F$315*Q$14+Mitigation_Industry!$G$315*Q$13</f>
        <v>0</v>
      </c>
      <c r="R32" s="141">
        <f>Mitigation_Industry!$F$315*R$14+Mitigation_Industry!$G$315*R$13</f>
        <v>0</v>
      </c>
      <c r="S32" s="141">
        <f>Mitigation_Industry!$F$315*S$14+Mitigation_Industry!$G$315*S$13</f>
        <v>0</v>
      </c>
      <c r="T32" s="141">
        <f>Mitigation_Industry!$F$315*T$14+Mitigation_Industry!$G$315*T$13</f>
        <v>0</v>
      </c>
      <c r="U32" s="141">
        <f>Mitigation_Industry!$F$315*U$14+Mitigation_Industry!$G$315*U$13</f>
        <v>0</v>
      </c>
      <c r="V32" s="141">
        <f>Mitigation_Industry!$F$315*V$14+Mitigation_Industry!$G$315*V$13</f>
        <v>0</v>
      </c>
      <c r="W32" s="141">
        <f>Mitigation_Industry!$F$315*W$14+Mitigation_Industry!$G$315*W$13</f>
        <v>0</v>
      </c>
      <c r="X32" s="141">
        <f>Mitigation_Industry!$F$315*X$14+Mitigation_Industry!$G$315*X$13</f>
        <v>0</v>
      </c>
      <c r="Y32" s="141">
        <f>Mitigation_Industry!$F$315*Y$14+Mitigation_Industry!$G$315*Y$13</f>
        <v>0</v>
      </c>
      <c r="Z32" s="141">
        <f>Mitigation_Industry!$F$315*Z$14+Mitigation_Industry!$G$315*Z$13</f>
        <v>0</v>
      </c>
      <c r="AA32" s="141">
        <f>Mitigation_Industry!$F$315*AA$14+Mitigation_Industry!$G$315*AA$13</f>
        <v>0</v>
      </c>
      <c r="AB32" s="141">
        <f>Mitigation_Industry!$F$315*AB$14+Mitigation_Industry!$G$315*AB$13</f>
        <v>0</v>
      </c>
      <c r="AC32" s="141">
        <f>Mitigation_Industry!$F$315*AC$14+Mitigation_Industry!$G$315*AC$13</f>
        <v>0</v>
      </c>
      <c r="AD32" s="141">
        <f>Mitigation_Industry!$F$315*AD$14+Mitigation_Industry!$G$315*AD$13</f>
        <v>0</v>
      </c>
      <c r="AE32" s="141">
        <f>Mitigation_Industry!$F$315*AE$14+Mitigation_Industry!$G$315*AE$13</f>
        <v>0</v>
      </c>
      <c r="AF32" s="142"/>
      <c r="AG32" s="142"/>
      <c r="AH32" s="142"/>
      <c r="AI32" s="142"/>
    </row>
    <row r="33" spans="1:35" customFormat="1" ht="14.25" x14ac:dyDescent="0.45">
      <c r="B33" s="14" t="s">
        <v>2604</v>
      </c>
      <c r="C33" s="14" t="s">
        <v>117</v>
      </c>
      <c r="D33" s="15" t="s">
        <v>2605</v>
      </c>
      <c r="E33" s="16" t="s">
        <v>1414</v>
      </c>
      <c r="F33" s="14" t="s">
        <v>2590</v>
      </c>
      <c r="G33" s="17"/>
      <c r="H33" s="129" t="str">
        <f>Settings!$B$3&amp;".mit.pp.frt.nit.np.1"</f>
        <v>egy.mit.pp.frt.nit.np.1</v>
      </c>
      <c r="K33" s="140"/>
      <c r="L33" s="141">
        <f>Mitigation_Industry!$F$316*L$14+Mitigation_Industry!$G$316*L$13</f>
        <v>0</v>
      </c>
      <c r="M33" s="141">
        <f>Mitigation_Industry!$F$316*M$14+Mitigation_Industry!$G$316*M$13</f>
        <v>0</v>
      </c>
      <c r="N33" s="141">
        <f>Mitigation_Industry!$F$316*N$14+Mitigation_Industry!$G$316*N$13</f>
        <v>0</v>
      </c>
      <c r="O33" s="141">
        <f>Mitigation_Industry!$F$316*O$14+Mitigation_Industry!$G$316*O$13</f>
        <v>0</v>
      </c>
      <c r="P33" s="141">
        <f>Mitigation_Industry!$F$316*P$14+Mitigation_Industry!$G$316*P$13</f>
        <v>0</v>
      </c>
      <c r="Q33" s="141">
        <f>Mitigation_Industry!$F$316*Q$14+Mitigation_Industry!$G$316*Q$13</f>
        <v>0</v>
      </c>
      <c r="R33" s="141">
        <f>Mitigation_Industry!$F$316*R$14+Mitigation_Industry!$G$316*R$13</f>
        <v>0</v>
      </c>
      <c r="S33" s="141">
        <f>Mitigation_Industry!$F$316*S$14+Mitigation_Industry!$G$316*S$13</f>
        <v>0</v>
      </c>
      <c r="T33" s="141">
        <f>Mitigation_Industry!$F$316*T$14+Mitigation_Industry!$G$316*T$13</f>
        <v>0</v>
      </c>
      <c r="U33" s="141">
        <f>Mitigation_Industry!$F$316*U$14+Mitigation_Industry!$G$316*U$13</f>
        <v>0</v>
      </c>
      <c r="V33" s="141">
        <f>Mitigation_Industry!$F$316*V$14+Mitigation_Industry!$G$316*V$13</f>
        <v>0</v>
      </c>
      <c r="W33" s="141">
        <f>Mitigation_Industry!$F$316*W$14+Mitigation_Industry!$G$316*W$13</f>
        <v>0</v>
      </c>
      <c r="X33" s="141">
        <f>Mitigation_Industry!$F$316*X$14+Mitigation_Industry!$G$316*X$13</f>
        <v>0</v>
      </c>
      <c r="Y33" s="141">
        <f>Mitigation_Industry!$F$316*Y$14+Mitigation_Industry!$G$316*Y$13</f>
        <v>0</v>
      </c>
      <c r="Z33" s="141">
        <f>Mitigation_Industry!$F$316*Z$14+Mitigation_Industry!$G$316*Z$13</f>
        <v>0</v>
      </c>
      <c r="AA33" s="141">
        <f>Mitigation_Industry!$F$316*AA$14+Mitigation_Industry!$G$316*AA$13</f>
        <v>0</v>
      </c>
      <c r="AB33" s="141">
        <f>Mitigation_Industry!$F$316*AB$14+Mitigation_Industry!$G$316*AB$13</f>
        <v>0</v>
      </c>
      <c r="AC33" s="141">
        <f>Mitigation_Industry!$F$316*AC$14+Mitigation_Industry!$G$316*AC$13</f>
        <v>0</v>
      </c>
      <c r="AD33" s="141">
        <f>Mitigation_Industry!$F$316*AD$14+Mitigation_Industry!$G$316*AD$13</f>
        <v>0</v>
      </c>
      <c r="AE33" s="141">
        <f>Mitigation_Industry!$F$316*AE$14+Mitigation_Industry!$G$316*AE$13</f>
        <v>0</v>
      </c>
      <c r="AF33" s="142"/>
      <c r="AG33" s="142"/>
      <c r="AH33" s="142"/>
      <c r="AI33" s="142"/>
    </row>
    <row r="34" spans="1:35" customFormat="1" ht="14.25" x14ac:dyDescent="0.45">
      <c r="B34" s="14" t="s">
        <v>2606</v>
      </c>
      <c r="C34" s="14" t="s">
        <v>115</v>
      </c>
      <c r="D34" s="15" t="s">
        <v>2607</v>
      </c>
      <c r="E34" s="16" t="s">
        <v>1414</v>
      </c>
      <c r="F34" s="14" t="s">
        <v>2590</v>
      </c>
      <c r="G34" s="17"/>
      <c r="H34" s="129" t="str">
        <f>Settings!$B$3&amp;".mit.pp.alu.prp.np.1"</f>
        <v>egy.mit.pp.alu.prp.np.1</v>
      </c>
      <c r="K34" s="140"/>
      <c r="L34" s="141">
        <f>Mitigation_Industry!$F$317*L$14+Mitigation_Industry!$G$317*L$13</f>
        <v>0</v>
      </c>
      <c r="M34" s="141">
        <f>Mitigation_Industry!$F$317*M$14+Mitigation_Industry!$G$317*M$13</f>
        <v>0</v>
      </c>
      <c r="N34" s="141">
        <f>Mitigation_Industry!$F$317*N$14+Mitigation_Industry!$G$317*N$13</f>
        <v>0</v>
      </c>
      <c r="O34" s="141">
        <f>Mitigation_Industry!$F$317*O$14+Mitigation_Industry!$G$317*O$13</f>
        <v>0</v>
      </c>
      <c r="P34" s="141">
        <f>Mitigation_Industry!$F$317*P$14+Mitigation_Industry!$G$317*P$13</f>
        <v>0</v>
      </c>
      <c r="Q34" s="141">
        <f>Mitigation_Industry!$F$317*Q$14+Mitigation_Industry!$G$317*Q$13</f>
        <v>0</v>
      </c>
      <c r="R34" s="141">
        <f>Mitigation_Industry!$F$317*R$14+Mitigation_Industry!$G$317*R$13</f>
        <v>0</v>
      </c>
      <c r="S34" s="141">
        <f>Mitigation_Industry!$F$317*S$14+Mitigation_Industry!$G$317*S$13</f>
        <v>0</v>
      </c>
      <c r="T34" s="141">
        <f>Mitigation_Industry!$F$317*T$14+Mitigation_Industry!$G$317*T$13</f>
        <v>0</v>
      </c>
      <c r="U34" s="141">
        <f>Mitigation_Industry!$F$317*U$14+Mitigation_Industry!$G$317*U$13</f>
        <v>0</v>
      </c>
      <c r="V34" s="141">
        <f>Mitigation_Industry!$F$317*V$14+Mitigation_Industry!$G$317*V$13</f>
        <v>0</v>
      </c>
      <c r="W34" s="141">
        <f>Mitigation_Industry!$F$317*W$14+Mitigation_Industry!$G$317*W$13</f>
        <v>0</v>
      </c>
      <c r="X34" s="141">
        <f>Mitigation_Industry!$F$317*X$14+Mitigation_Industry!$G$317*X$13</f>
        <v>0</v>
      </c>
      <c r="Y34" s="141">
        <f>Mitigation_Industry!$F$317*Y$14+Mitigation_Industry!$G$317*Y$13</f>
        <v>0</v>
      </c>
      <c r="Z34" s="141">
        <f>Mitigation_Industry!$F$317*Z$14+Mitigation_Industry!$G$317*Z$13</f>
        <v>0</v>
      </c>
      <c r="AA34" s="141">
        <f>Mitigation_Industry!$F$317*AA$14+Mitigation_Industry!$G$317*AA$13</f>
        <v>0</v>
      </c>
      <c r="AB34" s="141">
        <f>Mitigation_Industry!$F$317*AB$14+Mitigation_Industry!$G$317*AB$13</f>
        <v>0</v>
      </c>
      <c r="AC34" s="141">
        <f>Mitigation_Industry!$F$317*AC$14+Mitigation_Industry!$G$317*AC$13</f>
        <v>0</v>
      </c>
      <c r="AD34" s="141">
        <f>Mitigation_Industry!$F$317*AD$14+Mitigation_Industry!$G$317*AD$13</f>
        <v>0</v>
      </c>
      <c r="AE34" s="141">
        <f>Mitigation_Industry!$F$317*AE$14+Mitigation_Industry!$G$317*AE$13</f>
        <v>0</v>
      </c>
      <c r="AF34" s="142"/>
      <c r="AG34" s="142"/>
      <c r="AH34" s="142"/>
      <c r="AI34" s="142"/>
    </row>
    <row r="35" spans="1:35" customFormat="1" ht="14.25" x14ac:dyDescent="0.45">
      <c r="B35" s="14" t="s">
        <v>2608</v>
      </c>
      <c r="C35" s="14" t="s">
        <v>43</v>
      </c>
      <c r="D35" s="15" t="s">
        <v>2609</v>
      </c>
      <c r="E35" s="16" t="s">
        <v>1414</v>
      </c>
      <c r="F35" s="14" t="s">
        <v>2590</v>
      </c>
      <c r="G35" s="17"/>
      <c r="H35" s="129" t="str">
        <f>Settings!$B$3&amp;".mit.pp.stl.drg.no.1"</f>
        <v>egy.mit.pp.stl.drg.no.1</v>
      </c>
      <c r="K35" s="140"/>
      <c r="L35" s="141">
        <f>Mitigation_Industry!$F$310*L$14+Mitigation_Industry!$G$310*L$13</f>
        <v>0</v>
      </c>
      <c r="M35" s="141">
        <f>Mitigation_Industry!$F$310*M$14+Mitigation_Industry!$G$310*M$13</f>
        <v>0</v>
      </c>
      <c r="N35" s="141">
        <f>Mitigation_Industry!$F$310*N$14+Mitigation_Industry!$G$310*N$13</f>
        <v>0</v>
      </c>
      <c r="O35" s="141">
        <f>Mitigation_Industry!$F$310*O$14+Mitigation_Industry!$G$310*O$13</f>
        <v>0</v>
      </c>
      <c r="P35" s="141">
        <f>Mitigation_Industry!$F$310*P$14+Mitigation_Industry!$G$310*P$13</f>
        <v>0</v>
      </c>
      <c r="Q35" s="141">
        <f>Mitigation_Industry!$F$310*Q$14+Mitigation_Industry!$G$310*Q$13</f>
        <v>0</v>
      </c>
      <c r="R35" s="141">
        <f>Mitigation_Industry!$F$310*R$14+Mitigation_Industry!$G$310*R$13</f>
        <v>0</v>
      </c>
      <c r="S35" s="141">
        <f>Mitigation_Industry!$F$310*S$14+Mitigation_Industry!$G$310*S$13</f>
        <v>0</v>
      </c>
      <c r="T35" s="141">
        <f>Mitigation_Industry!$F$310*T$14+Mitigation_Industry!$G$310*T$13</f>
        <v>0</v>
      </c>
      <c r="U35" s="141">
        <f>Mitigation_Industry!$F$310*U$14+Mitigation_Industry!$G$310*U$13</f>
        <v>0</v>
      </c>
      <c r="V35" s="141">
        <f>Mitigation_Industry!$F$310*V$14+Mitigation_Industry!$G$310*V$13</f>
        <v>0</v>
      </c>
      <c r="W35" s="141">
        <f>Mitigation_Industry!$F$310*W$14+Mitigation_Industry!$G$310*W$13</f>
        <v>0</v>
      </c>
      <c r="X35" s="141">
        <f>Mitigation_Industry!$F$310*X$14+Mitigation_Industry!$G$310*X$13</f>
        <v>0</v>
      </c>
      <c r="Y35" s="141">
        <f>Mitigation_Industry!$F$310*Y$14+Mitigation_Industry!$G$310*Y$13</f>
        <v>0</v>
      </c>
      <c r="Z35" s="141">
        <f>Mitigation_Industry!$F$310*Z$14+Mitigation_Industry!$G$310*Z$13</f>
        <v>0</v>
      </c>
      <c r="AA35" s="141">
        <f>Mitigation_Industry!$F$310*AA$14+Mitigation_Industry!$G$310*AA$13</f>
        <v>0</v>
      </c>
      <c r="AB35" s="141">
        <f>Mitigation_Industry!$F$310*AB$14+Mitigation_Industry!$G$310*AB$13</f>
        <v>0</v>
      </c>
      <c r="AC35" s="141">
        <f>Mitigation_Industry!$F$310*AC$14+Mitigation_Industry!$G$310*AC$13</f>
        <v>0</v>
      </c>
      <c r="AD35" s="141">
        <f>Mitigation_Industry!$F$310*AD$14+Mitigation_Industry!$G$310*AD$13</f>
        <v>0</v>
      </c>
      <c r="AE35" s="141">
        <f>Mitigation_Industry!$F$310*AE$14+Mitigation_Industry!$G$310*AE$13</f>
        <v>0</v>
      </c>
      <c r="AF35" s="142"/>
      <c r="AG35" s="142"/>
      <c r="AH35" s="142"/>
      <c r="AI35" s="142"/>
    </row>
    <row r="36" spans="1:35" customFormat="1" ht="14.25" x14ac:dyDescent="0.45">
      <c r="B36" s="14" t="s">
        <v>2610</v>
      </c>
      <c r="C36" s="14" t="s">
        <v>43</v>
      </c>
      <c r="D36" s="15" t="s">
        <v>2611</v>
      </c>
      <c r="E36" s="16" t="s">
        <v>1414</v>
      </c>
      <c r="F36" s="14" t="s">
        <v>2590</v>
      </c>
      <c r="G36" s="17"/>
      <c r="H36" s="129" t="str">
        <f>Settings!$B$3&amp;".mit.pp.stl.scr.no.1"</f>
        <v>egy.mit.pp.stl.scr.no.1</v>
      </c>
      <c r="K36" s="140"/>
      <c r="L36" s="141">
        <f>Mitigation_Industry!$F$311*L$14+Mitigation_Industry!$G$311*L$13</f>
        <v>0</v>
      </c>
      <c r="M36" s="141">
        <f>Mitigation_Industry!$F$311*M$14+Mitigation_Industry!$G$311*M$13</f>
        <v>0</v>
      </c>
      <c r="N36" s="141">
        <f>Mitigation_Industry!$F$311*N$14+Mitigation_Industry!$G$311*N$13</f>
        <v>0</v>
      </c>
      <c r="O36" s="141">
        <f>Mitigation_Industry!$F$311*O$14+Mitigation_Industry!$G$311*O$13</f>
        <v>0</v>
      </c>
      <c r="P36" s="141">
        <f>Mitigation_Industry!$F$311*P$14+Mitigation_Industry!$G$311*P$13</f>
        <v>0</v>
      </c>
      <c r="Q36" s="141">
        <f>Mitigation_Industry!$F$311*Q$14+Mitigation_Industry!$G$311*Q$13</f>
        <v>0</v>
      </c>
      <c r="R36" s="141">
        <f>Mitigation_Industry!$F$311*R$14+Mitigation_Industry!$G$311*R$13</f>
        <v>0</v>
      </c>
      <c r="S36" s="141">
        <f>Mitigation_Industry!$F$311*S$14+Mitigation_Industry!$G$311*S$13</f>
        <v>0</v>
      </c>
      <c r="T36" s="141">
        <f>Mitigation_Industry!$F$311*T$14+Mitigation_Industry!$G$311*T$13</f>
        <v>0</v>
      </c>
      <c r="U36" s="141">
        <f>Mitigation_Industry!$F$311*U$14+Mitigation_Industry!$G$311*U$13</f>
        <v>0</v>
      </c>
      <c r="V36" s="141">
        <f>Mitigation_Industry!$F$311*V$14+Mitigation_Industry!$G$311*V$13</f>
        <v>0</v>
      </c>
      <c r="W36" s="141">
        <f>Mitigation_Industry!$F$311*W$14+Mitigation_Industry!$G$311*W$13</f>
        <v>0</v>
      </c>
      <c r="X36" s="141">
        <f>Mitigation_Industry!$F$311*X$14+Mitigation_Industry!$G$311*X$13</f>
        <v>0</v>
      </c>
      <c r="Y36" s="141">
        <f>Mitigation_Industry!$F$311*Y$14+Mitigation_Industry!$G$311*Y$13</f>
        <v>0</v>
      </c>
      <c r="Z36" s="141">
        <f>Mitigation_Industry!$F$311*Z$14+Mitigation_Industry!$G$311*Z$13</f>
        <v>0</v>
      </c>
      <c r="AA36" s="141">
        <f>Mitigation_Industry!$F$311*AA$14+Mitigation_Industry!$G$311*AA$13</f>
        <v>0</v>
      </c>
      <c r="AB36" s="141">
        <f>Mitigation_Industry!$F$311*AB$14+Mitigation_Industry!$G$311*AB$13</f>
        <v>0</v>
      </c>
      <c r="AC36" s="141">
        <f>Mitigation_Industry!$F$311*AC$14+Mitigation_Industry!$G$311*AC$13</f>
        <v>0</v>
      </c>
      <c r="AD36" s="141">
        <f>Mitigation_Industry!$F$311*AD$14+Mitigation_Industry!$G$311*AD$13</f>
        <v>0</v>
      </c>
      <c r="AE36" s="141">
        <f>Mitigation_Industry!$F$311*AE$14+Mitigation_Industry!$G$311*AE$13</f>
        <v>0</v>
      </c>
      <c r="AF36" s="142"/>
      <c r="AG36" s="142"/>
      <c r="AH36" s="142"/>
      <c r="AI36" s="142"/>
    </row>
    <row r="37" spans="1:35" customFormat="1" ht="14.25" x14ac:dyDescent="0.45">
      <c r="B37" s="14" t="s">
        <v>2612</v>
      </c>
      <c r="C37" s="14" t="s">
        <v>43</v>
      </c>
      <c r="D37" s="15" t="s">
        <v>2613</v>
      </c>
      <c r="E37" s="16" t="s">
        <v>1414</v>
      </c>
      <c r="F37" s="14" t="s">
        <v>2590</v>
      </c>
      <c r="G37" s="17"/>
      <c r="H37" s="129" t="str">
        <f>Settings!$B$3&amp;".mit.pp.stl.bof.no.1"</f>
        <v>egy.mit.pp.stl.bof.no.1</v>
      </c>
      <c r="K37" s="140"/>
      <c r="L37" s="141">
        <f>Mitigation_Industry!$F$312*L$14+Mitigation_Industry!$G$312*L$13</f>
        <v>0</v>
      </c>
      <c r="M37" s="141">
        <f>Mitigation_Industry!$F$312*M$14+Mitigation_Industry!$G$312*M$13</f>
        <v>0</v>
      </c>
      <c r="N37" s="141">
        <f>Mitigation_Industry!$F$312*N$14+Mitigation_Industry!$G$312*N$13</f>
        <v>0</v>
      </c>
      <c r="O37" s="141">
        <f>Mitigation_Industry!$F$312*O$14+Mitigation_Industry!$G$312*O$13</f>
        <v>0</v>
      </c>
      <c r="P37" s="141">
        <f>Mitigation_Industry!$F$312*P$14+Mitigation_Industry!$G$312*P$13</f>
        <v>0</v>
      </c>
      <c r="Q37" s="141">
        <f>Mitigation_Industry!$F$312*Q$14+Mitigation_Industry!$G$312*Q$13</f>
        <v>0</v>
      </c>
      <c r="R37" s="141">
        <f>Mitigation_Industry!$F$312*R$14+Mitigation_Industry!$G$312*R$13</f>
        <v>0</v>
      </c>
      <c r="S37" s="141">
        <f>Mitigation_Industry!$F$312*S$14+Mitigation_Industry!$G$312*S$13</f>
        <v>0</v>
      </c>
      <c r="T37" s="141">
        <f>Mitigation_Industry!$F$312*T$14+Mitigation_Industry!$G$312*T$13</f>
        <v>0</v>
      </c>
      <c r="U37" s="141">
        <f>Mitigation_Industry!$F$312*U$14+Mitigation_Industry!$G$312*U$13</f>
        <v>0</v>
      </c>
      <c r="V37" s="141">
        <f>Mitigation_Industry!$F$312*V$14+Mitigation_Industry!$G$312*V$13</f>
        <v>0</v>
      </c>
      <c r="W37" s="141">
        <f>Mitigation_Industry!$F$312*W$14+Mitigation_Industry!$G$312*W$13</f>
        <v>0</v>
      </c>
      <c r="X37" s="141">
        <f>Mitigation_Industry!$F$312*X$14+Mitigation_Industry!$G$312*X$13</f>
        <v>0</v>
      </c>
      <c r="Y37" s="141">
        <f>Mitigation_Industry!$F$312*Y$14+Mitigation_Industry!$G$312*Y$13</f>
        <v>0</v>
      </c>
      <c r="Z37" s="141">
        <f>Mitigation_Industry!$F$312*Z$14+Mitigation_Industry!$G$312*Z$13</f>
        <v>0</v>
      </c>
      <c r="AA37" s="141">
        <f>Mitigation_Industry!$F$312*AA$14+Mitigation_Industry!$G$312*AA$13</f>
        <v>0</v>
      </c>
      <c r="AB37" s="141">
        <f>Mitigation_Industry!$F$312*AB$14+Mitigation_Industry!$G$312*AB$13</f>
        <v>0</v>
      </c>
      <c r="AC37" s="141">
        <f>Mitigation_Industry!$F$312*AC$14+Mitigation_Industry!$G$312*AC$13</f>
        <v>0</v>
      </c>
      <c r="AD37" s="141">
        <f>Mitigation_Industry!$F$312*AD$14+Mitigation_Industry!$G$312*AD$13</f>
        <v>0</v>
      </c>
      <c r="AE37" s="141">
        <f>Mitigation_Industry!$F$312*AE$14+Mitigation_Industry!$G$312*AE$13</f>
        <v>0</v>
      </c>
      <c r="AF37" s="142"/>
      <c r="AG37" s="142"/>
      <c r="AH37" s="142"/>
      <c r="AI37" s="142"/>
    </row>
    <row r="38" spans="1:35" customFormat="1" ht="14.25" x14ac:dyDescent="0.45">
      <c r="B38" s="14" t="s">
        <v>2614</v>
      </c>
      <c r="C38" s="14" t="s">
        <v>113</v>
      </c>
      <c r="D38" s="15" t="s">
        <v>2615</v>
      </c>
      <c r="E38" s="16" t="s">
        <v>1414</v>
      </c>
      <c r="F38" s="14" t="s">
        <v>2590</v>
      </c>
      <c r="G38" s="17"/>
      <c r="H38" s="129" t="str">
        <f>Settings!$B$3&amp;".mit.pp.cmt.dry.no.1"</f>
        <v>egy.mit.pp.cmt.dry.no.1</v>
      </c>
      <c r="K38" s="140"/>
      <c r="L38" s="141">
        <f>Mitigation_Industry!$F$313*L$14+Mitigation_Industry!$G$313*L$13</f>
        <v>0</v>
      </c>
      <c r="M38" s="141">
        <f>Mitigation_Industry!$F$313*M$14+Mitigation_Industry!$G$313*M$13</f>
        <v>0</v>
      </c>
      <c r="N38" s="141">
        <f>Mitigation_Industry!$F$313*N$14+Mitigation_Industry!$G$313*N$13</f>
        <v>0</v>
      </c>
      <c r="O38" s="141">
        <f>Mitigation_Industry!$F$313*O$14+Mitigation_Industry!$G$313*O$13</f>
        <v>0</v>
      </c>
      <c r="P38" s="141">
        <f>Mitigation_Industry!$F$313*P$14+Mitigation_Industry!$G$313*P$13</f>
        <v>0</v>
      </c>
      <c r="Q38" s="141">
        <f>Mitigation_Industry!$F$313*Q$14+Mitigation_Industry!$G$313*Q$13</f>
        <v>0</v>
      </c>
      <c r="R38" s="141">
        <f>Mitigation_Industry!$F$313*R$14+Mitigation_Industry!$G$313*R$13</f>
        <v>0</v>
      </c>
      <c r="S38" s="141">
        <f>Mitigation_Industry!$F$313*S$14+Mitigation_Industry!$G$313*S$13</f>
        <v>0</v>
      </c>
      <c r="T38" s="141">
        <f>Mitigation_Industry!$F$313*T$14+Mitigation_Industry!$G$313*T$13</f>
        <v>0</v>
      </c>
      <c r="U38" s="141">
        <f>Mitigation_Industry!$F$313*U$14+Mitigation_Industry!$G$313*U$13</f>
        <v>0</v>
      </c>
      <c r="V38" s="141">
        <f>Mitigation_Industry!$F$313*V$14+Mitigation_Industry!$G$313*V$13</f>
        <v>0</v>
      </c>
      <c r="W38" s="141">
        <f>Mitigation_Industry!$F$313*W$14+Mitigation_Industry!$G$313*W$13</f>
        <v>0</v>
      </c>
      <c r="X38" s="141">
        <f>Mitigation_Industry!$F$313*X$14+Mitigation_Industry!$G$313*X$13</f>
        <v>0</v>
      </c>
      <c r="Y38" s="141">
        <f>Mitigation_Industry!$F$313*Y$14+Mitigation_Industry!$G$313*Y$13</f>
        <v>0</v>
      </c>
      <c r="Z38" s="141">
        <f>Mitigation_Industry!$F$313*Z$14+Mitigation_Industry!$G$313*Z$13</f>
        <v>0</v>
      </c>
      <c r="AA38" s="141">
        <f>Mitigation_Industry!$F$313*AA$14+Mitigation_Industry!$G$313*AA$13</f>
        <v>0</v>
      </c>
      <c r="AB38" s="141">
        <f>Mitigation_Industry!$F$313*AB$14+Mitigation_Industry!$G$313*AB$13</f>
        <v>0</v>
      </c>
      <c r="AC38" s="141">
        <f>Mitigation_Industry!$F$313*AC$14+Mitigation_Industry!$G$313*AC$13</f>
        <v>0</v>
      </c>
      <c r="AD38" s="141">
        <f>Mitigation_Industry!$F$313*AD$14+Mitigation_Industry!$G$313*AD$13</f>
        <v>0</v>
      </c>
      <c r="AE38" s="141">
        <f>Mitigation_Industry!$F$313*AE$14+Mitigation_Industry!$G$313*AE$13</f>
        <v>0</v>
      </c>
      <c r="AF38" s="142"/>
      <c r="AG38" s="142"/>
      <c r="AH38" s="142"/>
      <c r="AI38" s="142"/>
    </row>
    <row r="39" spans="1:35" customFormat="1" ht="14.25" x14ac:dyDescent="0.45">
      <c r="B39" s="14" t="s">
        <v>2616</v>
      </c>
      <c r="C39" s="14" t="s">
        <v>117</v>
      </c>
      <c r="D39" s="15" t="s">
        <v>2617</v>
      </c>
      <c r="E39" s="16" t="s">
        <v>1414</v>
      </c>
      <c r="F39" s="14" t="s">
        <v>2590</v>
      </c>
      <c r="G39" s="17"/>
      <c r="H39" s="129" t="str">
        <f>Settings!$B$3&amp;".mit.pp.frt.amc.no.1"</f>
        <v>egy.mit.pp.frt.amc.no.1</v>
      </c>
      <c r="K39" s="140"/>
      <c r="L39" s="141">
        <f>Mitigation_Industry!$F$314*L$14+Mitigation_Industry!$G$314*L$13</f>
        <v>0</v>
      </c>
      <c r="M39" s="141">
        <f>Mitigation_Industry!$F$314*M$14+Mitigation_Industry!$G$314*M$13</f>
        <v>0</v>
      </c>
      <c r="N39" s="141">
        <f>Mitigation_Industry!$F$314*N$14+Mitigation_Industry!$G$314*N$13</f>
        <v>0</v>
      </c>
      <c r="O39" s="141">
        <f>Mitigation_Industry!$F$314*O$14+Mitigation_Industry!$G$314*O$13</f>
        <v>0</v>
      </c>
      <c r="P39" s="141">
        <f>Mitigation_Industry!$F$314*P$14+Mitigation_Industry!$G$314*P$13</f>
        <v>0</v>
      </c>
      <c r="Q39" s="141">
        <f>Mitigation_Industry!$F$314*Q$14+Mitigation_Industry!$G$314*Q$13</f>
        <v>0</v>
      </c>
      <c r="R39" s="141">
        <f>Mitigation_Industry!$F$314*R$14+Mitigation_Industry!$G$314*R$13</f>
        <v>0</v>
      </c>
      <c r="S39" s="141">
        <f>Mitigation_Industry!$F$314*S$14+Mitigation_Industry!$G$314*S$13</f>
        <v>0</v>
      </c>
      <c r="T39" s="141">
        <f>Mitigation_Industry!$F$314*T$14+Mitigation_Industry!$G$314*T$13</f>
        <v>0</v>
      </c>
      <c r="U39" s="141">
        <f>Mitigation_Industry!$F$314*U$14+Mitigation_Industry!$G$314*U$13</f>
        <v>0</v>
      </c>
      <c r="V39" s="141">
        <f>Mitigation_Industry!$F$314*V$14+Mitigation_Industry!$G$314*V$13</f>
        <v>0</v>
      </c>
      <c r="W39" s="141">
        <f>Mitigation_Industry!$F$314*W$14+Mitigation_Industry!$G$314*W$13</f>
        <v>0</v>
      </c>
      <c r="X39" s="141">
        <f>Mitigation_Industry!$F$314*X$14+Mitigation_Industry!$G$314*X$13</f>
        <v>0</v>
      </c>
      <c r="Y39" s="141">
        <f>Mitigation_Industry!$F$314*Y$14+Mitigation_Industry!$G$314*Y$13</f>
        <v>0</v>
      </c>
      <c r="Z39" s="141">
        <f>Mitigation_Industry!$F$314*Z$14+Mitigation_Industry!$G$314*Z$13</f>
        <v>0</v>
      </c>
      <c r="AA39" s="141">
        <f>Mitigation_Industry!$F$314*AA$14+Mitigation_Industry!$G$314*AA$13</f>
        <v>0</v>
      </c>
      <c r="AB39" s="141">
        <f>Mitigation_Industry!$F$314*AB$14+Mitigation_Industry!$G$314*AB$13</f>
        <v>0</v>
      </c>
      <c r="AC39" s="141">
        <f>Mitigation_Industry!$F$314*AC$14+Mitigation_Industry!$G$314*AC$13</f>
        <v>0</v>
      </c>
      <c r="AD39" s="141">
        <f>Mitigation_Industry!$F$314*AD$14+Mitigation_Industry!$G$314*AD$13</f>
        <v>0</v>
      </c>
      <c r="AE39" s="141">
        <f>Mitigation_Industry!$F$314*AE$14+Mitigation_Industry!$G$314*AE$13</f>
        <v>0</v>
      </c>
      <c r="AF39" s="142"/>
      <c r="AG39" s="142"/>
      <c r="AH39" s="142"/>
      <c r="AI39" s="142"/>
    </row>
    <row r="40" spans="1:35" customFormat="1" ht="14.25" x14ac:dyDescent="0.45">
      <c r="B40" s="14" t="s">
        <v>2618</v>
      </c>
      <c r="C40" s="14" t="s">
        <v>117</v>
      </c>
      <c r="D40" s="15" t="s">
        <v>2619</v>
      </c>
      <c r="E40" s="16" t="s">
        <v>1414</v>
      </c>
      <c r="F40" s="14" t="s">
        <v>2590</v>
      </c>
      <c r="G40" s="17"/>
      <c r="H40" s="129" t="str">
        <f>Settings!$B$3&amp;".mit.pp.frt.ure.no.1"</f>
        <v>egy.mit.pp.frt.ure.no.1</v>
      </c>
      <c r="K40" s="140"/>
      <c r="L40" s="141">
        <f>Mitigation_Industry!$F$315*L$14+Mitigation_Industry!$G$315*L$13</f>
        <v>0</v>
      </c>
      <c r="M40" s="141">
        <f>Mitigation_Industry!$F$315*M$14+Mitigation_Industry!$G$315*M$13</f>
        <v>0</v>
      </c>
      <c r="N40" s="141">
        <f>Mitigation_Industry!$F$315*N$14+Mitigation_Industry!$G$315*N$13</f>
        <v>0</v>
      </c>
      <c r="O40" s="141">
        <f>Mitigation_Industry!$F$315*O$14+Mitigation_Industry!$G$315*O$13</f>
        <v>0</v>
      </c>
      <c r="P40" s="141">
        <f>Mitigation_Industry!$F$315*P$14+Mitigation_Industry!$G$315*P$13</f>
        <v>0</v>
      </c>
      <c r="Q40" s="141">
        <f>Mitigation_Industry!$F$315*Q$14+Mitigation_Industry!$G$315*Q$13</f>
        <v>0</v>
      </c>
      <c r="R40" s="141">
        <f>Mitigation_Industry!$F$315*R$14+Mitigation_Industry!$G$315*R$13</f>
        <v>0</v>
      </c>
      <c r="S40" s="141">
        <f>Mitigation_Industry!$F$315*S$14+Mitigation_Industry!$G$315*S$13</f>
        <v>0</v>
      </c>
      <c r="T40" s="141">
        <f>Mitigation_Industry!$F$315*T$14+Mitigation_Industry!$G$315*T$13</f>
        <v>0</v>
      </c>
      <c r="U40" s="141">
        <f>Mitigation_Industry!$F$315*U$14+Mitigation_Industry!$G$315*U$13</f>
        <v>0</v>
      </c>
      <c r="V40" s="141">
        <f>Mitigation_Industry!$F$315*V$14+Mitigation_Industry!$G$315*V$13</f>
        <v>0</v>
      </c>
      <c r="W40" s="141">
        <f>Mitigation_Industry!$F$315*W$14+Mitigation_Industry!$G$315*W$13</f>
        <v>0</v>
      </c>
      <c r="X40" s="141">
        <f>Mitigation_Industry!$F$315*X$14+Mitigation_Industry!$G$315*X$13</f>
        <v>0</v>
      </c>
      <c r="Y40" s="141">
        <f>Mitigation_Industry!$F$315*Y$14+Mitigation_Industry!$G$315*Y$13</f>
        <v>0</v>
      </c>
      <c r="Z40" s="141">
        <f>Mitigation_Industry!$F$315*Z$14+Mitigation_Industry!$G$315*Z$13</f>
        <v>0</v>
      </c>
      <c r="AA40" s="141">
        <f>Mitigation_Industry!$F$315*AA$14+Mitigation_Industry!$G$315*AA$13</f>
        <v>0</v>
      </c>
      <c r="AB40" s="141">
        <f>Mitigation_Industry!$F$315*AB$14+Mitigation_Industry!$G$315*AB$13</f>
        <v>0</v>
      </c>
      <c r="AC40" s="141">
        <f>Mitigation_Industry!$F$315*AC$14+Mitigation_Industry!$G$315*AC$13</f>
        <v>0</v>
      </c>
      <c r="AD40" s="141">
        <f>Mitigation_Industry!$F$315*AD$14+Mitigation_Industry!$G$315*AD$13</f>
        <v>0</v>
      </c>
      <c r="AE40" s="141">
        <f>Mitigation_Industry!$F$315*AE$14+Mitigation_Industry!$G$315*AE$13</f>
        <v>0</v>
      </c>
      <c r="AF40" s="142"/>
      <c r="AG40" s="142"/>
      <c r="AH40" s="142"/>
      <c r="AI40" s="142"/>
    </row>
    <row r="41" spans="1:35" customFormat="1" ht="14.25" x14ac:dyDescent="0.45">
      <c r="B41" s="14" t="s">
        <v>2620</v>
      </c>
      <c r="C41" s="14" t="s">
        <v>117</v>
      </c>
      <c r="D41" s="15" t="s">
        <v>2621</v>
      </c>
      <c r="E41" s="16" t="s">
        <v>1414</v>
      </c>
      <c r="F41" s="14" t="s">
        <v>2590</v>
      </c>
      <c r="G41" s="17"/>
      <c r="H41" s="129" t="str">
        <f>Settings!$B$3&amp;".mit.pp.frt.nit.no.1"</f>
        <v>egy.mit.pp.frt.nit.no.1</v>
      </c>
      <c r="K41" s="140"/>
      <c r="L41" s="141">
        <f>Mitigation_Industry!$F$316*L$14+Mitigation_Industry!$G$316*L$13</f>
        <v>0</v>
      </c>
      <c r="M41" s="141">
        <f>Mitigation_Industry!$F$316*M$14+Mitigation_Industry!$G$316*M$13</f>
        <v>0</v>
      </c>
      <c r="N41" s="141">
        <f>Mitigation_Industry!$F$316*N$14+Mitigation_Industry!$G$316*N$13</f>
        <v>0</v>
      </c>
      <c r="O41" s="141">
        <f>Mitigation_Industry!$F$316*O$14+Mitigation_Industry!$G$316*O$13</f>
        <v>0</v>
      </c>
      <c r="P41" s="141">
        <f>Mitigation_Industry!$F$316*P$14+Mitigation_Industry!$G$316*P$13</f>
        <v>0</v>
      </c>
      <c r="Q41" s="141">
        <f>Mitigation_Industry!$F$316*Q$14+Mitigation_Industry!$G$316*Q$13</f>
        <v>0</v>
      </c>
      <c r="R41" s="141">
        <f>Mitigation_Industry!$F$316*R$14+Mitigation_Industry!$G$316*R$13</f>
        <v>0</v>
      </c>
      <c r="S41" s="141">
        <f>Mitigation_Industry!$F$316*S$14+Mitigation_Industry!$G$316*S$13</f>
        <v>0</v>
      </c>
      <c r="T41" s="141">
        <f>Mitigation_Industry!$F$316*T$14+Mitigation_Industry!$G$316*T$13</f>
        <v>0</v>
      </c>
      <c r="U41" s="141">
        <f>Mitigation_Industry!$F$316*U$14+Mitigation_Industry!$G$316*U$13</f>
        <v>0</v>
      </c>
      <c r="V41" s="141">
        <f>Mitigation_Industry!$F$316*V$14+Mitigation_Industry!$G$316*V$13</f>
        <v>0</v>
      </c>
      <c r="W41" s="141">
        <f>Mitigation_Industry!$F$316*W$14+Mitigation_Industry!$G$316*W$13</f>
        <v>0</v>
      </c>
      <c r="X41" s="141">
        <f>Mitigation_Industry!$F$316*X$14+Mitigation_Industry!$G$316*X$13</f>
        <v>0</v>
      </c>
      <c r="Y41" s="141">
        <f>Mitigation_Industry!$F$316*Y$14+Mitigation_Industry!$G$316*Y$13</f>
        <v>0</v>
      </c>
      <c r="Z41" s="141">
        <f>Mitigation_Industry!$F$316*Z$14+Mitigation_Industry!$G$316*Z$13</f>
        <v>0</v>
      </c>
      <c r="AA41" s="141">
        <f>Mitigation_Industry!$F$316*AA$14+Mitigation_Industry!$G$316*AA$13</f>
        <v>0</v>
      </c>
      <c r="AB41" s="141">
        <f>Mitigation_Industry!$F$316*AB$14+Mitigation_Industry!$G$316*AB$13</f>
        <v>0</v>
      </c>
      <c r="AC41" s="141">
        <f>Mitigation_Industry!$F$316*AC$14+Mitigation_Industry!$G$316*AC$13</f>
        <v>0</v>
      </c>
      <c r="AD41" s="141">
        <f>Mitigation_Industry!$F$316*AD$14+Mitigation_Industry!$G$316*AD$13</f>
        <v>0</v>
      </c>
      <c r="AE41" s="141">
        <f>Mitigation_Industry!$F$316*AE$14+Mitigation_Industry!$G$316*AE$13</f>
        <v>0</v>
      </c>
      <c r="AF41" s="142"/>
      <c r="AG41" s="142"/>
      <c r="AH41" s="142"/>
      <c r="AI41" s="142"/>
    </row>
    <row r="42" spans="1:35" customFormat="1" ht="14.25" x14ac:dyDescent="0.45">
      <c r="B42" s="14" t="s">
        <v>2622</v>
      </c>
      <c r="C42" s="14" t="s">
        <v>115</v>
      </c>
      <c r="D42" s="15" t="s">
        <v>2623</v>
      </c>
      <c r="E42" s="16" t="s">
        <v>1414</v>
      </c>
      <c r="F42" s="14" t="s">
        <v>2590</v>
      </c>
      <c r="G42" s="17"/>
      <c r="H42" s="129" t="str">
        <f>Settings!$B$3&amp;".mit.pp.alu.prp.no.1"</f>
        <v>egy.mit.pp.alu.prp.no.1</v>
      </c>
      <c r="K42" s="140"/>
      <c r="L42" s="141">
        <f>Mitigation_Industry!$F$317*L$14+Mitigation_Industry!$G$317*L$13</f>
        <v>0</v>
      </c>
      <c r="M42" s="141">
        <f>Mitigation_Industry!$F$317*M$14+Mitigation_Industry!$G$317*M$13</f>
        <v>0</v>
      </c>
      <c r="N42" s="141">
        <f>Mitigation_Industry!$F$317*N$14+Mitigation_Industry!$G$317*N$13</f>
        <v>0</v>
      </c>
      <c r="O42" s="141">
        <f>Mitigation_Industry!$F$317*O$14+Mitigation_Industry!$G$317*O$13</f>
        <v>0</v>
      </c>
      <c r="P42" s="141">
        <f>Mitigation_Industry!$F$317*P$14+Mitigation_Industry!$G$317*P$13</f>
        <v>0</v>
      </c>
      <c r="Q42" s="141">
        <f>Mitigation_Industry!$F$317*Q$14+Mitigation_Industry!$G$317*Q$13</f>
        <v>0</v>
      </c>
      <c r="R42" s="141">
        <f>Mitigation_Industry!$F$317*R$14+Mitigation_Industry!$G$317*R$13</f>
        <v>0</v>
      </c>
      <c r="S42" s="141">
        <f>Mitigation_Industry!$F$317*S$14+Mitigation_Industry!$G$317*S$13</f>
        <v>0</v>
      </c>
      <c r="T42" s="141">
        <f>Mitigation_Industry!$F$317*T$14+Mitigation_Industry!$G$317*T$13</f>
        <v>0</v>
      </c>
      <c r="U42" s="141">
        <f>Mitigation_Industry!$F$317*U$14+Mitigation_Industry!$G$317*U$13</f>
        <v>0</v>
      </c>
      <c r="V42" s="141">
        <f>Mitigation_Industry!$F$317*V$14+Mitigation_Industry!$G$317*V$13</f>
        <v>0</v>
      </c>
      <c r="W42" s="141">
        <f>Mitigation_Industry!$F$317*W$14+Mitigation_Industry!$G$317*W$13</f>
        <v>0</v>
      </c>
      <c r="X42" s="141">
        <f>Mitigation_Industry!$F$317*X$14+Mitigation_Industry!$G$317*X$13</f>
        <v>0</v>
      </c>
      <c r="Y42" s="141">
        <f>Mitigation_Industry!$F$317*Y$14+Mitigation_Industry!$G$317*Y$13</f>
        <v>0</v>
      </c>
      <c r="Z42" s="141">
        <f>Mitigation_Industry!$F$317*Z$14+Mitigation_Industry!$G$317*Z$13</f>
        <v>0</v>
      </c>
      <c r="AA42" s="141">
        <f>Mitigation_Industry!$F$317*AA$14+Mitigation_Industry!$G$317*AA$13</f>
        <v>0</v>
      </c>
      <c r="AB42" s="141">
        <f>Mitigation_Industry!$F$317*AB$14+Mitigation_Industry!$G$317*AB$13</f>
        <v>0</v>
      </c>
      <c r="AC42" s="141">
        <f>Mitigation_Industry!$F$317*AC$14+Mitigation_Industry!$G$317*AC$13</f>
        <v>0</v>
      </c>
      <c r="AD42" s="141">
        <f>Mitigation_Industry!$F$317*AD$14+Mitigation_Industry!$G$317*AD$13</f>
        <v>0</v>
      </c>
      <c r="AE42" s="141">
        <f>Mitigation_Industry!$F$317*AE$14+Mitigation_Industry!$G$317*AE$13</f>
        <v>0</v>
      </c>
      <c r="AF42" s="142"/>
      <c r="AG42" s="142"/>
      <c r="AH42" s="142"/>
      <c r="AI42" s="142"/>
    </row>
    <row r="43" spans="1:35" x14ac:dyDescent="0.35"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</row>
    <row r="44" spans="1:35" customFormat="1" ht="14.25" x14ac:dyDescent="0.45">
      <c r="A44" s="11"/>
      <c r="B44" s="6"/>
      <c r="C44" s="7" t="s">
        <v>2624</v>
      </c>
      <c r="D44" s="6" t="s">
        <v>1504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8">
        <v>2021</v>
      </c>
      <c r="L44" s="139">
        <v>2022</v>
      </c>
      <c r="M44" s="138">
        <v>2023</v>
      </c>
      <c r="N44" s="138">
        <v>2024</v>
      </c>
      <c r="O44" s="138">
        <v>2025</v>
      </c>
      <c r="P44" s="138">
        <v>2026</v>
      </c>
      <c r="Q44" s="138">
        <v>2027</v>
      </c>
      <c r="R44" s="138">
        <v>2028</v>
      </c>
      <c r="S44" s="138">
        <v>2029</v>
      </c>
      <c r="T44" s="138">
        <v>2030</v>
      </c>
      <c r="U44" s="138">
        <v>2031</v>
      </c>
      <c r="V44" s="138">
        <v>2032</v>
      </c>
      <c r="W44" s="138">
        <v>2033</v>
      </c>
      <c r="X44" s="138">
        <v>2034</v>
      </c>
      <c r="Y44" s="138">
        <v>2035</v>
      </c>
      <c r="Z44" s="138">
        <v>2036</v>
      </c>
      <c r="AA44" s="138">
        <v>2037</v>
      </c>
      <c r="AB44" s="138">
        <v>2038</v>
      </c>
      <c r="AC44" s="138">
        <v>2039</v>
      </c>
      <c r="AD44" s="138">
        <v>2040</v>
      </c>
      <c r="AE44" s="138">
        <v>2041</v>
      </c>
      <c r="AF44" s="138">
        <v>2042</v>
      </c>
      <c r="AG44" s="138">
        <v>2043</v>
      </c>
      <c r="AH44" s="138">
        <v>2044</v>
      </c>
      <c r="AI44" s="138">
        <v>2045</v>
      </c>
    </row>
    <row r="45" spans="1:35" customFormat="1" ht="14.25" x14ac:dyDescent="0.45">
      <c r="B45" s="14" t="s">
        <v>1451</v>
      </c>
      <c r="C45" s="14" t="s">
        <v>43</v>
      </c>
      <c r="D45" s="15" t="s">
        <v>2625</v>
      </c>
      <c r="E45" s="16" t="s">
        <v>2094</v>
      </c>
      <c r="F45" s="14" t="s">
        <v>2624</v>
      </c>
      <c r="G45" s="17"/>
      <c r="H45" s="129" t="str">
        <f>Settings!$B$3&amp;".mit.wf.stl.drg.1"</f>
        <v>egy.mit.wf.stl.drg.1</v>
      </c>
      <c r="I45" t="s">
        <v>2626</v>
      </c>
      <c r="K45" s="140"/>
      <c r="L45" s="141">
        <f>Mitigation_Industry!L$330</f>
        <v>3.2287703131193024</v>
      </c>
      <c r="M45" s="141">
        <f>Mitigation_Industry!M$330</f>
        <v>3.3708362068965516</v>
      </c>
      <c r="N45" s="141">
        <f>Mitigation_Industry!N$330</f>
        <v>3.5191530000000002</v>
      </c>
      <c r="O45" s="141">
        <f>Mitigation_Industry!O$330</f>
        <v>3.6739957320000007</v>
      </c>
      <c r="P45" s="141">
        <f>Mitigation_Industry!P$330</f>
        <v>3.8356515442080004</v>
      </c>
      <c r="Q45" s="141">
        <f>Mitigation_Industry!Q$330</f>
        <v>4.0044202121531534</v>
      </c>
      <c r="R45" s="141">
        <f>Mitigation_Industry!R$330</f>
        <v>4.1806147014878912</v>
      </c>
      <c r="S45" s="141">
        <f>Mitigation_Industry!S$330</f>
        <v>4.3645617483533581</v>
      </c>
      <c r="T45" s="141">
        <f>Mitigation_Industry!T$330</f>
        <v>4.5566024652809061</v>
      </c>
      <c r="U45" s="141">
        <f>Mitigation_Industry!U$330</f>
        <v>4.7570929737532666</v>
      </c>
      <c r="V45" s="141">
        <f>Mitigation_Industry!V$330</f>
        <v>4.9664050645984101</v>
      </c>
      <c r="W45" s="141">
        <f>Mitigation_Industry!W$330</f>
        <v>5.1849268874407404</v>
      </c>
      <c r="X45" s="141">
        <f>Mitigation_Industry!X$330</f>
        <v>5.4130636704881336</v>
      </c>
      <c r="Y45" s="141">
        <f>Mitigation_Industry!Y$330</f>
        <v>5.651238471989612</v>
      </c>
      <c r="Z45" s="141">
        <f>Mitigation_Industry!Z$330</f>
        <v>5.8998929647571536</v>
      </c>
      <c r="AA45" s="141">
        <f>Mitigation_Industry!AA$330</f>
        <v>6.159488255206468</v>
      </c>
      <c r="AB45" s="141">
        <f>Mitigation_Industry!AB$330</f>
        <v>6.4305057384355537</v>
      </c>
      <c r="AC45" s="141">
        <f>Mitigation_Industry!AC$330</f>
        <v>6.713447990926718</v>
      </c>
      <c r="AD45" s="141">
        <f>Mitigation_Industry!AD$330</f>
        <v>7.0088397025274931</v>
      </c>
      <c r="AE45" s="141">
        <f>Mitigation_Industry!AE$330</f>
        <v>7.3172286494387029</v>
      </c>
      <c r="AF45" s="142"/>
      <c r="AG45" s="142"/>
      <c r="AH45" s="142"/>
      <c r="AI45" s="142"/>
    </row>
    <row r="46" spans="1:35" customFormat="1" ht="14.25" x14ac:dyDescent="0.45">
      <c r="B46" s="14" t="s">
        <v>1454</v>
      </c>
      <c r="C46" s="14" t="s">
        <v>43</v>
      </c>
      <c r="D46" s="15" t="s">
        <v>2627</v>
      </c>
      <c r="E46" s="16" t="s">
        <v>2094</v>
      </c>
      <c r="F46" s="14" t="s">
        <v>2624</v>
      </c>
      <c r="G46" s="17"/>
      <c r="H46" s="129" t="str">
        <f>Settings!$B$3&amp;".mit.wf.stl.scr.1"</f>
        <v>egy.mit.wf.stl.scr.1</v>
      </c>
      <c r="K46" s="140"/>
      <c r="L46" s="141">
        <f>Mitigation_Industry!L$331</f>
        <v>0.61765094464262127</v>
      </c>
      <c r="M46" s="141">
        <f>Mitigation_Industry!M$331</f>
        <v>0.64482758620689662</v>
      </c>
      <c r="N46" s="141">
        <f>Mitigation_Industry!N$331</f>
        <v>0.67320000000000002</v>
      </c>
      <c r="O46" s="141">
        <f>Mitigation_Industry!O$331</f>
        <v>0.70282080000000002</v>
      </c>
      <c r="P46" s="141">
        <f>Mitigation_Industry!P$331</f>
        <v>0.73374491520000007</v>
      </c>
      <c r="Q46" s="141">
        <f>Mitigation_Industry!Q$331</f>
        <v>0.76602969146880018</v>
      </c>
      <c r="R46" s="141">
        <f>Mitigation_Industry!R$331</f>
        <v>0.79973499789342728</v>
      </c>
      <c r="S46" s="141">
        <f>Mitigation_Industry!S$331</f>
        <v>0.83492333780073813</v>
      </c>
      <c r="T46" s="141">
        <f>Mitigation_Industry!T$331</f>
        <v>0.87165996466397067</v>
      </c>
      <c r="U46" s="141">
        <f>Mitigation_Industry!U$331</f>
        <v>0.91001300310918554</v>
      </c>
      <c r="V46" s="141">
        <f>Mitigation_Industry!V$331</f>
        <v>0.95005357524598955</v>
      </c>
      <c r="W46" s="141">
        <f>Mitigation_Industry!W$331</f>
        <v>0.99185593255681315</v>
      </c>
      <c r="X46" s="141">
        <f>Mitigation_Industry!X$331</f>
        <v>1.0354975935893131</v>
      </c>
      <c r="Y46" s="141">
        <f>Mitigation_Industry!Y$331</f>
        <v>1.0810594877072428</v>
      </c>
      <c r="Z46" s="141">
        <f>Mitigation_Industry!Z$331</f>
        <v>1.1286261051663613</v>
      </c>
      <c r="AA46" s="141">
        <f>Mitigation_Industry!AA$331</f>
        <v>1.1782856537936812</v>
      </c>
      <c r="AB46" s="141">
        <f>Mitigation_Industry!AB$331</f>
        <v>1.2301302225606034</v>
      </c>
      <c r="AC46" s="141">
        <f>Mitigation_Industry!AC$331</f>
        <v>1.2842559523532699</v>
      </c>
      <c r="AD46" s="141">
        <f>Mitigation_Industry!AD$331</f>
        <v>1.3407632142568138</v>
      </c>
      <c r="AE46" s="141">
        <f>Mitigation_Industry!AE$331</f>
        <v>1.3997567956841135</v>
      </c>
      <c r="AF46" s="142"/>
      <c r="AG46" s="142"/>
      <c r="AH46" s="142"/>
      <c r="AI46" s="142"/>
    </row>
    <row r="47" spans="1:35" customFormat="1" ht="14.25" x14ac:dyDescent="0.45">
      <c r="B47" s="14" t="s">
        <v>1457</v>
      </c>
      <c r="C47" s="14" t="s">
        <v>43</v>
      </c>
      <c r="D47" s="15" t="s">
        <v>2628</v>
      </c>
      <c r="E47" s="16" t="s">
        <v>2094</v>
      </c>
      <c r="F47" s="14" t="s">
        <v>2624</v>
      </c>
      <c r="G47" s="17"/>
      <c r="H47" s="129" t="str">
        <f>Settings!$B$3&amp;".mit.wf.stl.bof.1"</f>
        <v>egy.mit.wf.stl.bof.1</v>
      </c>
      <c r="K47" s="140"/>
      <c r="L47" s="141">
        <f>Mitigation_Industry!L$332</f>
        <v>0</v>
      </c>
      <c r="M47" s="141">
        <f>Mitigation_Industry!M$332</f>
        <v>0</v>
      </c>
      <c r="N47" s="141">
        <f>Mitigation_Industry!N$332</f>
        <v>0</v>
      </c>
      <c r="O47" s="141">
        <f>Mitigation_Industry!O$332</f>
        <v>0</v>
      </c>
      <c r="P47" s="141">
        <f>Mitigation_Industry!P$332</f>
        <v>0</v>
      </c>
      <c r="Q47" s="141">
        <f>Mitigation_Industry!Q$332</f>
        <v>0</v>
      </c>
      <c r="R47" s="141">
        <f>Mitigation_Industry!R$332</f>
        <v>0</v>
      </c>
      <c r="S47" s="141">
        <f>Mitigation_Industry!S$332</f>
        <v>0</v>
      </c>
      <c r="T47" s="141">
        <f>Mitigation_Industry!T$332</f>
        <v>0</v>
      </c>
      <c r="U47" s="141">
        <f>Mitigation_Industry!U$332</f>
        <v>0</v>
      </c>
      <c r="V47" s="141">
        <f>Mitigation_Industry!V$332</f>
        <v>0</v>
      </c>
      <c r="W47" s="141">
        <f>Mitigation_Industry!W$332</f>
        <v>0</v>
      </c>
      <c r="X47" s="141">
        <f>Mitigation_Industry!X$332</f>
        <v>0</v>
      </c>
      <c r="Y47" s="141">
        <f>Mitigation_Industry!Y$332</f>
        <v>0</v>
      </c>
      <c r="Z47" s="141">
        <f>Mitigation_Industry!Z$332</f>
        <v>0</v>
      </c>
      <c r="AA47" s="141">
        <f>Mitigation_Industry!AA$332</f>
        <v>0</v>
      </c>
      <c r="AB47" s="141">
        <f>Mitigation_Industry!AB$332</f>
        <v>0</v>
      </c>
      <c r="AC47" s="141">
        <f>Mitigation_Industry!AC$332</f>
        <v>0</v>
      </c>
      <c r="AD47" s="141">
        <f>Mitigation_Industry!AD$332</f>
        <v>0</v>
      </c>
      <c r="AE47" s="141">
        <f>Mitigation_Industry!AE$332</f>
        <v>0</v>
      </c>
      <c r="AF47" s="142"/>
      <c r="AG47" s="142"/>
      <c r="AH47" s="142"/>
      <c r="AI47" s="142"/>
    </row>
    <row r="48" spans="1:35" customFormat="1" ht="14.25" x14ac:dyDescent="0.45">
      <c r="B48" s="14" t="s">
        <v>1460</v>
      </c>
      <c r="C48" s="14" t="s">
        <v>113</v>
      </c>
      <c r="D48" s="15" t="s">
        <v>2629</v>
      </c>
      <c r="E48" s="16" t="s">
        <v>2094</v>
      </c>
      <c r="F48" s="14" t="s">
        <v>2624</v>
      </c>
      <c r="G48" s="17"/>
      <c r="H48" s="129" t="str">
        <f>Settings!$B$3&amp;".mit.wf.cmt.dry.1"</f>
        <v>egy.mit.wf.cmt.dry.1</v>
      </c>
      <c r="K48" s="140"/>
      <c r="L48" s="141">
        <f>Mitigation_Industry!L$333</f>
        <v>13.508713893592759</v>
      </c>
      <c r="M48" s="141">
        <f>Mitigation_Industry!M$333</f>
        <v>13.954501452081319</v>
      </c>
      <c r="N48" s="141">
        <f>Mitigation_Industry!N$333</f>
        <v>14.414999999999999</v>
      </c>
      <c r="O48" s="141">
        <f>Mitigation_Industry!O$333</f>
        <v>14.890694999999997</v>
      </c>
      <c r="P48" s="141">
        <f>Mitigation_Industry!P$333</f>
        <v>15.382087934999998</v>
      </c>
      <c r="Q48" s="141">
        <f>Mitigation_Industry!Q$333</f>
        <v>15.889696836854995</v>
      </c>
      <c r="R48" s="141">
        <f>Mitigation_Industry!R$333</f>
        <v>16.414056832471207</v>
      </c>
      <c r="S48" s="141">
        <f>Mitigation_Industry!S$333</f>
        <v>16.955720707942756</v>
      </c>
      <c r="T48" s="141">
        <f>Mitigation_Industry!T$333</f>
        <v>17.515259491304867</v>
      </c>
      <c r="U48" s="141">
        <f>Mitigation_Industry!U$333</f>
        <v>18.093263054517923</v>
      </c>
      <c r="V48" s="141">
        <f>Mitigation_Industry!V$333</f>
        <v>18.690340735317012</v>
      </c>
      <c r="W48" s="141">
        <f>Mitigation_Industry!W$333</f>
        <v>19.307121979582472</v>
      </c>
      <c r="X48" s="141">
        <f>Mitigation_Industry!X$333</f>
        <v>19.944257004908685</v>
      </c>
      <c r="Y48" s="141">
        <f>Mitigation_Industry!Y$333</f>
        <v>20.602417486070678</v>
      </c>
      <c r="Z48" s="141">
        <f>Mitigation_Industry!Z$333</f>
        <v>21.282297263111005</v>
      </c>
      <c r="AA48" s="141">
        <f>Mitigation_Industry!AA$333</f>
        <v>21.984613072793667</v>
      </c>
      <c r="AB48" s="141">
        <f>Mitigation_Industry!AB$333</f>
        <v>22.710105304195856</v>
      </c>
      <c r="AC48" s="141">
        <f>Mitigation_Industry!AC$333</f>
        <v>23.459538779234315</v>
      </c>
      <c r="AD48" s="141">
        <f>Mitigation_Industry!AD$333</f>
        <v>24.233703558949045</v>
      </c>
      <c r="AE48" s="141">
        <f>Mitigation_Industry!AE$333</f>
        <v>25.03341577639436</v>
      </c>
      <c r="AF48" s="142"/>
      <c r="AG48" s="142"/>
      <c r="AH48" s="142"/>
      <c r="AI48" s="142"/>
    </row>
    <row r="49" spans="1:35" customFormat="1" ht="14.25" x14ac:dyDescent="0.45">
      <c r="B49" s="14" t="s">
        <v>1463</v>
      </c>
      <c r="C49" s="14" t="s">
        <v>117</v>
      </c>
      <c r="D49" s="15" t="s">
        <v>2630</v>
      </c>
      <c r="E49" s="16" t="s">
        <v>2094</v>
      </c>
      <c r="F49" s="14" t="s">
        <v>2624</v>
      </c>
      <c r="G49" s="17"/>
      <c r="H49" s="129" t="str">
        <f>Settings!$B$3&amp;".mit.wf.frt.amc.1"</f>
        <v>egy.mit.wf.frt.amc.1</v>
      </c>
      <c r="K49" s="140"/>
      <c r="L49" s="141">
        <f>Mitigation_Industry!L$334</f>
        <v>3.1638306570517116</v>
      </c>
      <c r="M49" s="141">
        <f>Mitigation_Industry!M$334</f>
        <v>3.2334349315068494</v>
      </c>
      <c r="N49" s="141">
        <f>Mitigation_Industry!N$334</f>
        <v>3.3045704999999996</v>
      </c>
      <c r="O49" s="141">
        <f>Mitigation_Industry!O$334</f>
        <v>3.3772710509999997</v>
      </c>
      <c r="P49" s="141">
        <f>Mitigation_Industry!P$334</f>
        <v>3.4515710141219995</v>
      </c>
      <c r="Q49" s="141">
        <f>Mitigation_Industry!Q$334</f>
        <v>3.5275055764326839</v>
      </c>
      <c r="R49" s="141">
        <f>Mitigation_Industry!R$334</f>
        <v>3.6051106991142032</v>
      </c>
      <c r="S49" s="141">
        <f>Mitigation_Industry!S$334</f>
        <v>3.6844231344947156</v>
      </c>
      <c r="T49" s="141">
        <f>Mitigation_Industry!T$334</f>
        <v>3.7654804434535989</v>
      </c>
      <c r="U49" s="141">
        <f>Mitigation_Industry!U$334</f>
        <v>3.8483210132095782</v>
      </c>
      <c r="V49" s="141">
        <f>Mitigation_Industry!V$334</f>
        <v>3.9329840755001899</v>
      </c>
      <c r="W49" s="141">
        <f>Mitigation_Industry!W$334</f>
        <v>4.0195097251611935</v>
      </c>
      <c r="X49" s="141">
        <f>Mitigation_Industry!X$334</f>
        <v>4.1079389391147396</v>
      </c>
      <c r="Y49" s="141">
        <f>Mitigation_Industry!Y$334</f>
        <v>4.1983135957752644</v>
      </c>
      <c r="Z49" s="141">
        <f>Mitigation_Industry!Z$334</f>
        <v>4.2906764948823204</v>
      </c>
      <c r="AA49" s="141">
        <f>Mitigation_Industry!AA$334</f>
        <v>4.385071377769731</v>
      </c>
      <c r="AB49" s="141">
        <f>Mitigation_Industry!AB$334</f>
        <v>4.4815429480806639</v>
      </c>
      <c r="AC49" s="141">
        <f>Mitigation_Industry!AC$334</f>
        <v>4.5801368929384401</v>
      </c>
      <c r="AD49" s="141">
        <f>Mitigation_Industry!AD$334</f>
        <v>4.680899904583085</v>
      </c>
      <c r="AE49" s="141">
        <f>Mitigation_Industry!AE$334</f>
        <v>4.7838797024839135</v>
      </c>
      <c r="AF49" s="142"/>
      <c r="AG49" s="142"/>
      <c r="AH49" s="142"/>
      <c r="AI49" s="142"/>
    </row>
    <row r="50" spans="1:35" customFormat="1" ht="14.25" x14ac:dyDescent="0.45">
      <c r="B50" s="14" t="s">
        <v>1466</v>
      </c>
      <c r="C50" s="14" t="s">
        <v>117</v>
      </c>
      <c r="D50" s="15" t="s">
        <v>2631</v>
      </c>
      <c r="E50" s="16" t="s">
        <v>2094</v>
      </c>
      <c r="F50" s="14" t="s">
        <v>2624</v>
      </c>
      <c r="G50" s="17"/>
      <c r="H50" s="129" t="str">
        <f>Settings!$B$3&amp;".mit.wf.frt.ure.1"</f>
        <v>egy.mit.wf.frt.ure.1</v>
      </c>
      <c r="K50" s="140"/>
      <c r="L50" s="141">
        <f>Mitigation_Industry!L$335</f>
        <v>0.30078009811543305</v>
      </c>
      <c r="M50" s="141">
        <f>Mitigation_Industry!M$335</f>
        <v>0.30739726027397257</v>
      </c>
      <c r="N50" s="141">
        <f>Mitigation_Industry!N$335</f>
        <v>0.31415999999999999</v>
      </c>
      <c r="O50" s="141">
        <f>Mitigation_Industry!O$335</f>
        <v>0.32107151999999994</v>
      </c>
      <c r="P50" s="141">
        <f>Mitigation_Industry!P$335</f>
        <v>0.32813509343999991</v>
      </c>
      <c r="Q50" s="141">
        <f>Mitigation_Industry!Q$335</f>
        <v>0.33535406549567992</v>
      </c>
      <c r="R50" s="141">
        <f>Mitigation_Industry!R$335</f>
        <v>0.34273185493658498</v>
      </c>
      <c r="S50" s="141">
        <f>Mitigation_Industry!S$335</f>
        <v>0.35027195574518982</v>
      </c>
      <c r="T50" s="141">
        <f>Mitigation_Industry!T$335</f>
        <v>0.3579779387715839</v>
      </c>
      <c r="U50" s="141">
        <f>Mitigation_Industry!U$335</f>
        <v>0.36585345342455883</v>
      </c>
      <c r="V50" s="141">
        <f>Mitigation_Industry!V$335</f>
        <v>0.37390222939989914</v>
      </c>
      <c r="W50" s="141">
        <f>Mitigation_Industry!W$335</f>
        <v>0.38212807844669694</v>
      </c>
      <c r="X50" s="141">
        <f>Mitigation_Industry!X$335</f>
        <v>0.39053489617252429</v>
      </c>
      <c r="Y50" s="141">
        <f>Mitigation_Industry!Y$335</f>
        <v>0.39912666388831985</v>
      </c>
      <c r="Z50" s="141">
        <f>Mitigation_Industry!Z$335</f>
        <v>0.4079074504938629</v>
      </c>
      <c r="AA50" s="141">
        <f>Mitigation_Industry!AA$335</f>
        <v>0.41688141440472787</v>
      </c>
      <c r="AB50" s="141">
        <f>Mitigation_Industry!AB$335</f>
        <v>0.42605280552163183</v>
      </c>
      <c r="AC50" s="141">
        <f>Mitigation_Industry!AC$335</f>
        <v>0.43542596724310778</v>
      </c>
      <c r="AD50" s="141">
        <f>Mitigation_Industry!AD$335</f>
        <v>0.44500533852245616</v>
      </c>
      <c r="AE50" s="141">
        <f>Mitigation_Industry!AE$335</f>
        <v>0.45479545596995019</v>
      </c>
      <c r="AF50" s="142"/>
      <c r="AG50" s="142"/>
      <c r="AH50" s="142"/>
      <c r="AI50" s="142"/>
    </row>
    <row r="51" spans="1:35" customFormat="1" ht="14.25" x14ac:dyDescent="0.45">
      <c r="B51" s="14" t="s">
        <v>1469</v>
      </c>
      <c r="C51" s="14" t="s">
        <v>117</v>
      </c>
      <c r="D51" s="15" t="s">
        <v>2632</v>
      </c>
      <c r="E51" s="16" t="s">
        <v>2094</v>
      </c>
      <c r="F51" s="14" t="s">
        <v>2624</v>
      </c>
      <c r="G51" s="17"/>
      <c r="H51" s="129" t="str">
        <f>Settings!$B$3&amp;".mit.wf.frt.nit.1"</f>
        <v>egy.mit.wf.frt.nit.1</v>
      </c>
      <c r="K51" s="140"/>
      <c r="L51" s="141">
        <f>Mitigation_Industry!L$336</f>
        <v>6.4452878167592806E-2</v>
      </c>
      <c r="M51" s="141">
        <f>Mitigation_Industry!M$336</f>
        <v>6.5870841487279841E-2</v>
      </c>
      <c r="N51" s="141">
        <f>Mitigation_Industry!N$336</f>
        <v>6.7319999999999991E-2</v>
      </c>
      <c r="O51" s="141">
        <f>Mitigation_Industry!O$336</f>
        <v>6.8801039999999994E-2</v>
      </c>
      <c r="P51" s="141">
        <f>Mitigation_Industry!P$336</f>
        <v>7.031466287999999E-2</v>
      </c>
      <c r="Q51" s="141">
        <f>Mitigation_Industry!Q$336</f>
        <v>7.1861585463359995E-2</v>
      </c>
      <c r="R51" s="141">
        <f>Mitigation_Industry!R$336</f>
        <v>7.3442540343553922E-2</v>
      </c>
      <c r="S51" s="141">
        <f>Mitigation_Industry!S$336</f>
        <v>7.5058276231112109E-2</v>
      </c>
      <c r="T51" s="141">
        <f>Mitigation_Industry!T$336</f>
        <v>7.6709558308196563E-2</v>
      </c>
      <c r="U51" s="141">
        <f>Mitigation_Industry!U$336</f>
        <v>7.8397168590976896E-2</v>
      </c>
      <c r="V51" s="141">
        <f>Mitigation_Industry!V$336</f>
        <v>8.012190629997841E-2</v>
      </c>
      <c r="W51" s="141">
        <f>Mitigation_Industry!W$336</f>
        <v>8.1884588238577902E-2</v>
      </c>
      <c r="X51" s="141">
        <f>Mitigation_Industry!X$336</f>
        <v>8.3686049179826624E-2</v>
      </c>
      <c r="Y51" s="141">
        <f>Mitigation_Industry!Y$336</f>
        <v>8.5527142261782832E-2</v>
      </c>
      <c r="Z51" s="141">
        <f>Mitigation_Industry!Z$336</f>
        <v>8.7408739391542062E-2</v>
      </c>
      <c r="AA51" s="141">
        <f>Mitigation_Industry!AA$336</f>
        <v>8.9331731658155972E-2</v>
      </c>
      <c r="AB51" s="141">
        <f>Mitigation_Industry!AB$336</f>
        <v>9.1297029754635384E-2</v>
      </c>
      <c r="AC51" s="141">
        <f>Mitigation_Industry!AC$336</f>
        <v>9.3305564409237374E-2</v>
      </c>
      <c r="AD51" s="141">
        <f>Mitigation_Industry!AD$336</f>
        <v>9.5358286826240604E-2</v>
      </c>
      <c r="AE51" s="141">
        <f>Mitigation_Industry!AE$336</f>
        <v>9.74561691364179E-2</v>
      </c>
      <c r="AF51" s="142"/>
      <c r="AG51" s="142"/>
      <c r="AH51" s="142"/>
      <c r="AI51" s="142"/>
    </row>
    <row r="52" spans="1:35" customFormat="1" ht="14.25" x14ac:dyDescent="0.45">
      <c r="B52" s="14" t="s">
        <v>1472</v>
      </c>
      <c r="C52" s="14" t="s">
        <v>115</v>
      </c>
      <c r="D52" s="15" t="s">
        <v>2633</v>
      </c>
      <c r="E52" s="16" t="s">
        <v>2094</v>
      </c>
      <c r="F52" s="14" t="s">
        <v>2624</v>
      </c>
      <c r="G52" s="17"/>
      <c r="H52" s="129" t="str">
        <f>Settings!$B$3&amp;".mit.wf.alu.prp.1"</f>
        <v>egy.mit.wf.alu.prp.1</v>
      </c>
      <c r="K52" s="140"/>
      <c r="L52" s="141">
        <f>Mitigation_Industry!L$337</f>
        <v>4.2047573055412055E-2</v>
      </c>
      <c r="M52" s="141">
        <f>Mitigation_Industry!M$337</f>
        <v>4.4360189573459712E-2</v>
      </c>
      <c r="N52" s="141">
        <f>Mitigation_Industry!N$337</f>
        <v>4.6799999999999994E-2</v>
      </c>
      <c r="O52" s="141">
        <f>Mitigation_Industry!O$337</f>
        <v>4.9374000000000001E-2</v>
      </c>
      <c r="P52" s="141">
        <f>Mitigation_Industry!P$337</f>
        <v>5.2089569999999995E-2</v>
      </c>
      <c r="Q52" s="141">
        <f>Mitigation_Industry!Q$337</f>
        <v>5.4954496349999986E-2</v>
      </c>
      <c r="R52" s="141">
        <f>Mitigation_Industry!R$337</f>
        <v>5.7976993649249998E-2</v>
      </c>
      <c r="S52" s="141">
        <f>Mitigation_Industry!S$337</f>
        <v>6.1165728299958734E-2</v>
      </c>
      <c r="T52" s="141">
        <f>Mitigation_Industry!T$337</f>
        <v>6.4529843356456465E-2</v>
      </c>
      <c r="U52" s="141">
        <f>Mitigation_Industry!U$337</f>
        <v>6.8078984741061555E-2</v>
      </c>
      <c r="V52" s="141">
        <f>Mitigation_Industry!V$337</f>
        <v>7.1823328901819944E-2</v>
      </c>
      <c r="W52" s="141">
        <f>Mitigation_Industry!W$337</f>
        <v>7.5773611991420048E-2</v>
      </c>
      <c r="X52" s="141">
        <f>Mitigation_Industry!X$337</f>
        <v>7.9941160650948154E-2</v>
      </c>
      <c r="Y52" s="141">
        <f>Mitigation_Industry!Y$337</f>
        <v>8.4337924486750301E-2</v>
      </c>
      <c r="Z52" s="141">
        <f>Mitigation_Industry!Z$337</f>
        <v>8.8976510333521566E-2</v>
      </c>
      <c r="AA52" s="141">
        <f>Mitigation_Industry!AA$337</f>
        <v>9.3870218401865227E-2</v>
      </c>
      <c r="AB52" s="141">
        <f>Mitigation_Industry!AB$337</f>
        <v>9.9033080413967828E-2</v>
      </c>
      <c r="AC52" s="141">
        <f>Mitigation_Industry!AC$337</f>
        <v>0.10447989983673604</v>
      </c>
      <c r="AD52" s="141">
        <f>Mitigation_Industry!AD$337</f>
        <v>0.11022629432775652</v>
      </c>
      <c r="AE52" s="141">
        <f>Mitigation_Industry!AE$337</f>
        <v>0.11628874051578311</v>
      </c>
      <c r="AF52" s="142"/>
      <c r="AG52" s="142"/>
      <c r="AH52" s="142"/>
      <c r="AI52" s="142"/>
    </row>
    <row r="53" spans="1:35" x14ac:dyDescent="0.35"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</row>
    <row r="54" spans="1:35" customFormat="1" ht="14.25" x14ac:dyDescent="0.45">
      <c r="A54" s="11"/>
      <c r="B54" s="6"/>
      <c r="C54" s="7" t="s">
        <v>2634</v>
      </c>
      <c r="D54" s="6" t="s">
        <v>1504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8">
        <v>2021</v>
      </c>
      <c r="L54" s="139">
        <v>2022</v>
      </c>
      <c r="M54" s="138">
        <v>2023</v>
      </c>
      <c r="N54" s="138">
        <v>2024</v>
      </c>
      <c r="O54" s="138">
        <v>2025</v>
      </c>
      <c r="P54" s="138">
        <v>2026</v>
      </c>
      <c r="Q54" s="138">
        <v>2027</v>
      </c>
      <c r="R54" s="138">
        <v>2028</v>
      </c>
      <c r="S54" s="138">
        <v>2029</v>
      </c>
      <c r="T54" s="138">
        <v>2030</v>
      </c>
      <c r="U54" s="138">
        <v>2031</v>
      </c>
      <c r="V54" s="138">
        <v>2032</v>
      </c>
      <c r="W54" s="138">
        <v>2033</v>
      </c>
      <c r="X54" s="138">
        <v>2034</v>
      </c>
      <c r="Y54" s="138">
        <v>2035</v>
      </c>
      <c r="Z54" s="138">
        <v>2036</v>
      </c>
      <c r="AA54" s="138">
        <v>2037</v>
      </c>
      <c r="AB54" s="138">
        <v>2038</v>
      </c>
      <c r="AC54" s="138">
        <v>2039</v>
      </c>
      <c r="AD54" s="138">
        <v>2040</v>
      </c>
      <c r="AE54" s="138">
        <v>2041</v>
      </c>
      <c r="AF54" s="138">
        <v>2042</v>
      </c>
      <c r="AG54" s="138">
        <v>2043</v>
      </c>
      <c r="AH54" s="138">
        <v>2044</v>
      </c>
      <c r="AI54" s="138">
        <v>2045</v>
      </c>
    </row>
    <row r="55" spans="1:35" customFormat="1" ht="14.25" x14ac:dyDescent="0.45">
      <c r="B55" s="14" t="s">
        <v>1451</v>
      </c>
      <c r="C55" s="14" t="s">
        <v>43</v>
      </c>
      <c r="D55" s="15" t="s">
        <v>2635</v>
      </c>
      <c r="E55" s="16" t="s">
        <v>2636</v>
      </c>
      <c r="F55" s="14" t="s">
        <v>2634</v>
      </c>
      <c r="G55" s="17"/>
      <c r="H55" s="129" t="str">
        <f>Settings!$B$3&amp;".mit.bf.stl.drg.1"</f>
        <v>egy.mit.bf.stl.drg.1</v>
      </c>
      <c r="I55" t="s">
        <v>2637</v>
      </c>
      <c r="K55" s="140"/>
      <c r="L55" s="143">
        <f>Mitigation_Industry!$E$352</f>
        <v>1.0536051565782599E-3</v>
      </c>
      <c r="M55" s="143">
        <f>Mitigation_Industry!$E$352</f>
        <v>1.0536051565782599E-3</v>
      </c>
      <c r="N55" s="143">
        <f>Mitigation_Industry!$E$352</f>
        <v>1.0536051565782599E-3</v>
      </c>
      <c r="O55" s="143">
        <f>Mitigation_Industry!$E$352</f>
        <v>1.0536051565782599E-3</v>
      </c>
      <c r="P55" s="143">
        <f>Mitigation_Industry!$E$352</f>
        <v>1.0536051565782599E-3</v>
      </c>
      <c r="Q55" s="143">
        <f>Mitigation_Industry!$E$352</f>
        <v>1.0536051565782599E-3</v>
      </c>
      <c r="R55" s="143">
        <f>Mitigation_Industry!$E$352</f>
        <v>1.0536051565782599E-3</v>
      </c>
      <c r="S55" s="143">
        <f>Mitigation_Industry!$E$352</f>
        <v>1.0536051565782599E-3</v>
      </c>
      <c r="T55" s="143">
        <f>Mitigation_Industry!$E$352</f>
        <v>1.0536051565782599E-3</v>
      </c>
      <c r="U55" s="143">
        <f>Mitigation_Industry!$E$352</f>
        <v>1.0536051565782599E-3</v>
      </c>
      <c r="V55" s="143">
        <f>Mitigation_Industry!$E$352</f>
        <v>1.0536051565782599E-3</v>
      </c>
      <c r="W55" s="143">
        <f>Mitigation_Industry!$E$352</f>
        <v>1.0536051565782599E-3</v>
      </c>
      <c r="X55" s="143">
        <f>Mitigation_Industry!$E$352</f>
        <v>1.0536051565782599E-3</v>
      </c>
      <c r="Y55" s="143">
        <f>Mitigation_Industry!$E$352</f>
        <v>1.0536051565782599E-3</v>
      </c>
      <c r="Z55" s="143">
        <f>Mitigation_Industry!$E$352</f>
        <v>1.0536051565782599E-3</v>
      </c>
      <c r="AA55" s="143">
        <f>Mitigation_Industry!$E$352</f>
        <v>1.0536051565782599E-3</v>
      </c>
      <c r="AB55" s="143">
        <f>Mitigation_Industry!$E$352</f>
        <v>1.0536051565782599E-3</v>
      </c>
      <c r="AC55" s="143">
        <f>Mitigation_Industry!$E$352</f>
        <v>1.0536051565782599E-3</v>
      </c>
      <c r="AD55" s="143">
        <f>Mitigation_Industry!$E$352</f>
        <v>1.0536051565782599E-3</v>
      </c>
      <c r="AE55" s="143">
        <f>Mitigation_Industry!$E$352</f>
        <v>1.0536051565782599E-3</v>
      </c>
      <c r="AF55" s="142"/>
      <c r="AG55" s="142"/>
      <c r="AH55" s="142"/>
      <c r="AI55" s="142"/>
    </row>
    <row r="56" spans="1:35" customFormat="1" ht="14.25" x14ac:dyDescent="0.45">
      <c r="B56" s="14" t="s">
        <v>1454</v>
      </c>
      <c r="C56" s="14" t="s">
        <v>43</v>
      </c>
      <c r="D56" s="15" t="s">
        <v>2638</v>
      </c>
      <c r="E56" s="16" t="s">
        <v>2636</v>
      </c>
      <c r="F56" s="14" t="s">
        <v>2634</v>
      </c>
      <c r="G56" s="17"/>
      <c r="H56" s="129" t="str">
        <f>Settings!$B$3&amp;".mit.bf.stl.scr.1"</f>
        <v>egy.mit.bf.stl.scr.1</v>
      </c>
      <c r="K56" s="140"/>
      <c r="L56" s="143">
        <f>Mitigation_Industry!$E$353</f>
        <v>2.0202707317519501E-4</v>
      </c>
      <c r="M56" s="143">
        <f>Mitigation_Industry!$E$353</f>
        <v>2.0202707317519501E-4</v>
      </c>
      <c r="N56" s="143">
        <f>Mitigation_Industry!$E$353</f>
        <v>2.0202707317519501E-4</v>
      </c>
      <c r="O56" s="143">
        <f>Mitigation_Industry!$E$353</f>
        <v>2.0202707317519501E-4</v>
      </c>
      <c r="P56" s="143">
        <f>Mitigation_Industry!$E$353</f>
        <v>2.0202707317519501E-4</v>
      </c>
      <c r="Q56" s="143">
        <f>Mitigation_Industry!$E$353</f>
        <v>2.0202707317519501E-4</v>
      </c>
      <c r="R56" s="143">
        <f>Mitigation_Industry!$E$353</f>
        <v>2.0202707317519501E-4</v>
      </c>
      <c r="S56" s="143">
        <f>Mitigation_Industry!$E$353</f>
        <v>2.0202707317519501E-4</v>
      </c>
      <c r="T56" s="143">
        <f>Mitigation_Industry!$E$353</f>
        <v>2.0202707317519501E-4</v>
      </c>
      <c r="U56" s="143">
        <f>Mitigation_Industry!$E$353</f>
        <v>2.0202707317519501E-4</v>
      </c>
      <c r="V56" s="143">
        <f>Mitigation_Industry!$E$353</f>
        <v>2.0202707317519501E-4</v>
      </c>
      <c r="W56" s="143">
        <f>Mitigation_Industry!$E$353</f>
        <v>2.0202707317519501E-4</v>
      </c>
      <c r="X56" s="143">
        <f>Mitigation_Industry!$E$353</f>
        <v>2.0202707317519501E-4</v>
      </c>
      <c r="Y56" s="143">
        <f>Mitigation_Industry!$E$353</f>
        <v>2.0202707317519501E-4</v>
      </c>
      <c r="Z56" s="143">
        <f>Mitigation_Industry!$E$353</f>
        <v>2.0202707317519501E-4</v>
      </c>
      <c r="AA56" s="143">
        <f>Mitigation_Industry!$E$353</f>
        <v>2.0202707317519501E-4</v>
      </c>
      <c r="AB56" s="143">
        <f>Mitigation_Industry!$E$353</f>
        <v>2.0202707317519501E-4</v>
      </c>
      <c r="AC56" s="143">
        <f>Mitigation_Industry!$E$353</f>
        <v>2.0202707317519501E-4</v>
      </c>
      <c r="AD56" s="143">
        <f>Mitigation_Industry!$E$353</f>
        <v>2.0202707317519501E-4</v>
      </c>
      <c r="AE56" s="143">
        <f>Mitigation_Industry!$E$353</f>
        <v>2.0202707317519501E-4</v>
      </c>
      <c r="AF56" s="142"/>
      <c r="AG56" s="142"/>
      <c r="AH56" s="142"/>
      <c r="AI56" s="142"/>
    </row>
    <row r="57" spans="1:35" customFormat="1" ht="14.25" x14ac:dyDescent="0.45">
      <c r="B57" s="14" t="s">
        <v>1457</v>
      </c>
      <c r="C57" s="14" t="s">
        <v>43</v>
      </c>
      <c r="D57" s="15" t="s">
        <v>2639</v>
      </c>
      <c r="E57" s="16" t="s">
        <v>2636</v>
      </c>
      <c r="F57" s="14" t="s">
        <v>2634</v>
      </c>
      <c r="G57" s="17"/>
      <c r="H57" s="129" t="str">
        <f>Settings!$B$3&amp;".mit.bf.stl.bof.1"</f>
        <v>egy.mit.bf.stl.bof.1</v>
      </c>
      <c r="K57" s="140"/>
      <c r="L57" s="143">
        <f>Mitigation_Industry!$E$354</f>
        <v>5.1293294387550598E-4</v>
      </c>
      <c r="M57" s="143">
        <f>Mitigation_Industry!$E$354</f>
        <v>5.1293294387550598E-4</v>
      </c>
      <c r="N57" s="143">
        <f>Mitigation_Industry!$E$354</f>
        <v>5.1293294387550598E-4</v>
      </c>
      <c r="O57" s="143">
        <f>Mitigation_Industry!$E$354</f>
        <v>5.1293294387550598E-4</v>
      </c>
      <c r="P57" s="143">
        <f>Mitigation_Industry!$E$354</f>
        <v>5.1293294387550598E-4</v>
      </c>
      <c r="Q57" s="143">
        <f>Mitigation_Industry!$E$354</f>
        <v>5.1293294387550598E-4</v>
      </c>
      <c r="R57" s="143">
        <f>Mitigation_Industry!$E$354</f>
        <v>5.1293294387550598E-4</v>
      </c>
      <c r="S57" s="143">
        <f>Mitigation_Industry!$E$354</f>
        <v>5.1293294387550598E-4</v>
      </c>
      <c r="T57" s="143">
        <f>Mitigation_Industry!$E$354</f>
        <v>5.1293294387550598E-4</v>
      </c>
      <c r="U57" s="143">
        <f>Mitigation_Industry!$E$354</f>
        <v>5.1293294387550598E-4</v>
      </c>
      <c r="V57" s="143">
        <f>Mitigation_Industry!$E$354</f>
        <v>5.1293294387550598E-4</v>
      </c>
      <c r="W57" s="143">
        <f>Mitigation_Industry!$E$354</f>
        <v>5.1293294387550598E-4</v>
      </c>
      <c r="X57" s="143">
        <f>Mitigation_Industry!$E$354</f>
        <v>5.1293294387550598E-4</v>
      </c>
      <c r="Y57" s="143">
        <f>Mitigation_Industry!$E$354</f>
        <v>5.1293294387550598E-4</v>
      </c>
      <c r="Z57" s="143">
        <f>Mitigation_Industry!$E$354</f>
        <v>5.1293294387550598E-4</v>
      </c>
      <c r="AA57" s="143">
        <f>Mitigation_Industry!$E$354</f>
        <v>5.1293294387550598E-4</v>
      </c>
      <c r="AB57" s="143">
        <f>Mitigation_Industry!$E$354</f>
        <v>5.1293294387550598E-4</v>
      </c>
      <c r="AC57" s="143">
        <f>Mitigation_Industry!$E$354</f>
        <v>5.1293294387550598E-4</v>
      </c>
      <c r="AD57" s="143">
        <f>Mitigation_Industry!$E$354</f>
        <v>5.1293294387550598E-4</v>
      </c>
      <c r="AE57" s="143">
        <f>Mitigation_Industry!$E$354</f>
        <v>5.1293294387550598E-4</v>
      </c>
      <c r="AF57" s="142"/>
      <c r="AG57" s="142"/>
      <c r="AH57" s="142"/>
      <c r="AI57" s="142"/>
    </row>
    <row r="58" spans="1:35" customFormat="1" ht="14.25" x14ac:dyDescent="0.45">
      <c r="B58" s="14" t="s">
        <v>1460</v>
      </c>
      <c r="C58" s="14" t="s">
        <v>113</v>
      </c>
      <c r="D58" s="15" t="s">
        <v>2640</v>
      </c>
      <c r="E58" s="16" t="s">
        <v>2636</v>
      </c>
      <c r="F58" s="14" t="s">
        <v>2634</v>
      </c>
      <c r="G58" s="17"/>
      <c r="H58" s="129" t="str">
        <f>Settings!$B$3&amp;".mit.bf.cmt.dry.1"</f>
        <v>egy.mit.bf.cmt.dry.1</v>
      </c>
      <c r="K58" s="140"/>
      <c r="L58" s="143">
        <f>Mitigation_Industry!$E$355</f>
        <v>8.3381608939051E-4</v>
      </c>
      <c r="M58" s="143">
        <f>Mitigation_Industry!$E$355</f>
        <v>8.3381608939051E-4</v>
      </c>
      <c r="N58" s="143">
        <f>Mitigation_Industry!$E$355</f>
        <v>8.3381608939051E-4</v>
      </c>
      <c r="O58" s="143">
        <f>Mitigation_Industry!$E$355</f>
        <v>8.3381608939051E-4</v>
      </c>
      <c r="P58" s="143">
        <f>Mitigation_Industry!$E$355</f>
        <v>8.3381608939051E-4</v>
      </c>
      <c r="Q58" s="143">
        <f>Mitigation_Industry!$E$355</f>
        <v>8.3381608939051E-4</v>
      </c>
      <c r="R58" s="143">
        <f>Mitigation_Industry!$E$355</f>
        <v>8.3381608939051E-4</v>
      </c>
      <c r="S58" s="143">
        <f>Mitigation_Industry!$E$355</f>
        <v>8.3381608939051E-4</v>
      </c>
      <c r="T58" s="143">
        <f>Mitigation_Industry!$E$355</f>
        <v>8.3381608939051E-4</v>
      </c>
      <c r="U58" s="143">
        <f>Mitigation_Industry!$E$355</f>
        <v>8.3381608939051E-4</v>
      </c>
      <c r="V58" s="143">
        <f>Mitigation_Industry!$E$355</f>
        <v>8.3381608939051E-4</v>
      </c>
      <c r="W58" s="143">
        <f>Mitigation_Industry!$E$355</f>
        <v>8.3381608939051E-4</v>
      </c>
      <c r="X58" s="143">
        <f>Mitigation_Industry!$E$355</f>
        <v>8.3381608939051E-4</v>
      </c>
      <c r="Y58" s="143">
        <f>Mitigation_Industry!$E$355</f>
        <v>8.3381608939051E-4</v>
      </c>
      <c r="Z58" s="143">
        <f>Mitigation_Industry!$E$355</f>
        <v>8.3381608939051E-4</v>
      </c>
      <c r="AA58" s="143">
        <f>Mitigation_Industry!$E$355</f>
        <v>8.3381608939051E-4</v>
      </c>
      <c r="AB58" s="143">
        <f>Mitigation_Industry!$E$355</f>
        <v>8.3381608939051E-4</v>
      </c>
      <c r="AC58" s="143">
        <f>Mitigation_Industry!$E$355</f>
        <v>8.3381608939051E-4</v>
      </c>
      <c r="AD58" s="143">
        <f>Mitigation_Industry!$E$355</f>
        <v>8.3381608939051E-4</v>
      </c>
      <c r="AE58" s="143">
        <f>Mitigation_Industry!$E$355</f>
        <v>8.3381608939051E-4</v>
      </c>
      <c r="AF58" s="142"/>
      <c r="AG58" s="142"/>
      <c r="AH58" s="142"/>
      <c r="AI58" s="142"/>
    </row>
    <row r="59" spans="1:35" customFormat="1" ht="14.25" x14ac:dyDescent="0.45">
      <c r="B59" s="14" t="s">
        <v>1463</v>
      </c>
      <c r="C59" s="14" t="s">
        <v>117</v>
      </c>
      <c r="D59" s="15" t="s">
        <v>2641</v>
      </c>
      <c r="E59" s="16" t="s">
        <v>2636</v>
      </c>
      <c r="F59" s="14" t="s">
        <v>2634</v>
      </c>
      <c r="G59" s="17"/>
      <c r="H59" s="129" t="str">
        <f>Settings!$B$3&amp;".mit.bf.frt.amc.1"</f>
        <v>egy.mit.bf.frt.amc.1</v>
      </c>
      <c r="K59" s="140"/>
      <c r="L59" s="143">
        <f>Mitigation_Industry!$E$356</f>
        <v>1.98450938723838E-3</v>
      </c>
      <c r="M59" s="143">
        <f>Mitigation_Industry!$E$356</f>
        <v>1.98450938723838E-3</v>
      </c>
      <c r="N59" s="143">
        <f>Mitigation_Industry!$E$356</f>
        <v>1.98450938723838E-3</v>
      </c>
      <c r="O59" s="143">
        <f>Mitigation_Industry!$E$356</f>
        <v>1.98450938723838E-3</v>
      </c>
      <c r="P59" s="143">
        <f>Mitigation_Industry!$E$356</f>
        <v>1.98450938723838E-3</v>
      </c>
      <c r="Q59" s="143">
        <f>Mitigation_Industry!$E$356</f>
        <v>1.98450938723838E-3</v>
      </c>
      <c r="R59" s="143">
        <f>Mitigation_Industry!$E$356</f>
        <v>1.98450938723838E-3</v>
      </c>
      <c r="S59" s="143">
        <f>Mitigation_Industry!$E$356</f>
        <v>1.98450938723838E-3</v>
      </c>
      <c r="T59" s="143">
        <f>Mitigation_Industry!$E$356</f>
        <v>1.98450938723838E-3</v>
      </c>
      <c r="U59" s="143">
        <f>Mitigation_Industry!$E$356</f>
        <v>1.98450938723838E-3</v>
      </c>
      <c r="V59" s="143">
        <f>Mitigation_Industry!$E$356</f>
        <v>1.98450938723838E-3</v>
      </c>
      <c r="W59" s="143">
        <f>Mitigation_Industry!$E$356</f>
        <v>1.98450938723838E-3</v>
      </c>
      <c r="X59" s="143">
        <f>Mitigation_Industry!$E$356</f>
        <v>1.98450938723838E-3</v>
      </c>
      <c r="Y59" s="143">
        <f>Mitigation_Industry!$E$356</f>
        <v>1.98450938723838E-3</v>
      </c>
      <c r="Z59" s="143">
        <f>Mitigation_Industry!$E$356</f>
        <v>1.98450938723838E-3</v>
      </c>
      <c r="AA59" s="143">
        <f>Mitigation_Industry!$E$356</f>
        <v>1.98450938723838E-3</v>
      </c>
      <c r="AB59" s="143">
        <f>Mitigation_Industry!$E$356</f>
        <v>1.98450938723838E-3</v>
      </c>
      <c r="AC59" s="143">
        <f>Mitigation_Industry!$E$356</f>
        <v>1.98450938723838E-3</v>
      </c>
      <c r="AD59" s="143">
        <f>Mitigation_Industry!$E$356</f>
        <v>1.98450938723838E-3</v>
      </c>
      <c r="AE59" s="143">
        <f>Mitigation_Industry!$E$356</f>
        <v>1.98450938723838E-3</v>
      </c>
      <c r="AF59" s="142"/>
      <c r="AG59" s="142"/>
      <c r="AH59" s="142"/>
      <c r="AI59" s="142"/>
    </row>
    <row r="60" spans="1:35" customFormat="1" ht="14.25" x14ac:dyDescent="0.45">
      <c r="B60" s="14" t="s">
        <v>1466</v>
      </c>
      <c r="C60" s="14" t="s">
        <v>117</v>
      </c>
      <c r="D60" s="15" t="s">
        <v>2642</v>
      </c>
      <c r="E60" s="16" t="s">
        <v>2636</v>
      </c>
      <c r="F60" s="14" t="s">
        <v>2634</v>
      </c>
      <c r="G60" s="17"/>
      <c r="H60" s="129" t="str">
        <f>Settings!$B$3&amp;".mit.bf.frt.ure.1"</f>
        <v>egy.mit.bf.frt.ure.1</v>
      </c>
      <c r="K60" s="140"/>
      <c r="L60" s="143">
        <f>Mitigation_Industry!$E$357</f>
        <v>0</v>
      </c>
      <c r="M60" s="143">
        <f>Mitigation_Industry!$E$357</f>
        <v>0</v>
      </c>
      <c r="N60" s="143">
        <f>Mitigation_Industry!$E$357</f>
        <v>0</v>
      </c>
      <c r="O60" s="143">
        <f>Mitigation_Industry!$E$357</f>
        <v>0</v>
      </c>
      <c r="P60" s="143">
        <f>Mitigation_Industry!$E$357</f>
        <v>0</v>
      </c>
      <c r="Q60" s="143">
        <f>Mitigation_Industry!$E$357</f>
        <v>0</v>
      </c>
      <c r="R60" s="143">
        <f>Mitigation_Industry!$E$357</f>
        <v>0</v>
      </c>
      <c r="S60" s="143">
        <f>Mitigation_Industry!$E$357</f>
        <v>0</v>
      </c>
      <c r="T60" s="143">
        <f>Mitigation_Industry!$E$357</f>
        <v>0</v>
      </c>
      <c r="U60" s="143">
        <f>Mitigation_Industry!$E$357</f>
        <v>0</v>
      </c>
      <c r="V60" s="143">
        <f>Mitigation_Industry!$E$357</f>
        <v>0</v>
      </c>
      <c r="W60" s="143">
        <f>Mitigation_Industry!$E$357</f>
        <v>0</v>
      </c>
      <c r="X60" s="143">
        <f>Mitigation_Industry!$E$357</f>
        <v>0</v>
      </c>
      <c r="Y60" s="143">
        <f>Mitigation_Industry!$E$357</f>
        <v>0</v>
      </c>
      <c r="Z60" s="143">
        <f>Mitigation_Industry!$E$357</f>
        <v>0</v>
      </c>
      <c r="AA60" s="143">
        <f>Mitigation_Industry!$E$357</f>
        <v>0</v>
      </c>
      <c r="AB60" s="143">
        <f>Mitigation_Industry!$E$357</f>
        <v>0</v>
      </c>
      <c r="AC60" s="143">
        <f>Mitigation_Industry!$E$357</f>
        <v>0</v>
      </c>
      <c r="AD60" s="143">
        <f>Mitigation_Industry!$E$357</f>
        <v>0</v>
      </c>
      <c r="AE60" s="143">
        <f>Mitigation_Industry!$E$357</f>
        <v>0</v>
      </c>
      <c r="AF60" s="142"/>
      <c r="AG60" s="142"/>
      <c r="AH60" s="142"/>
      <c r="AI60" s="142"/>
    </row>
    <row r="61" spans="1:35" customFormat="1" ht="14.25" x14ac:dyDescent="0.45">
      <c r="B61" s="14" t="s">
        <v>1469</v>
      </c>
      <c r="C61" s="14" t="s">
        <v>117</v>
      </c>
      <c r="D61" s="15" t="s">
        <v>2643</v>
      </c>
      <c r="E61" s="16" t="s">
        <v>2636</v>
      </c>
      <c r="F61" s="14" t="s">
        <v>2634</v>
      </c>
      <c r="G61" s="17"/>
      <c r="H61" s="129" t="str">
        <f>Settings!$B$3&amp;".mit.bf.frt.nit.1"</f>
        <v>egy.mit.bf.frt.nit.1</v>
      </c>
      <c r="K61" s="140"/>
      <c r="L61" s="143">
        <f>Mitigation_Industry!$E$358</f>
        <v>1.04982212449868E-2</v>
      </c>
      <c r="M61" s="143">
        <f>Mitigation_Industry!$E$358</f>
        <v>1.04982212449868E-2</v>
      </c>
      <c r="N61" s="143">
        <f>Mitigation_Industry!$E$358</f>
        <v>1.04982212449868E-2</v>
      </c>
      <c r="O61" s="143">
        <f>Mitigation_Industry!$E$358</f>
        <v>1.04982212449868E-2</v>
      </c>
      <c r="P61" s="143">
        <f>Mitigation_Industry!$E$358</f>
        <v>1.04982212449868E-2</v>
      </c>
      <c r="Q61" s="143">
        <f>Mitigation_Industry!$E$358</f>
        <v>1.04982212449868E-2</v>
      </c>
      <c r="R61" s="143">
        <f>Mitigation_Industry!$E$358</f>
        <v>1.04982212449868E-2</v>
      </c>
      <c r="S61" s="143">
        <f>Mitigation_Industry!$E$358</f>
        <v>1.04982212449868E-2</v>
      </c>
      <c r="T61" s="143">
        <f>Mitigation_Industry!$E$358</f>
        <v>1.04982212449868E-2</v>
      </c>
      <c r="U61" s="143">
        <f>Mitigation_Industry!$E$358</f>
        <v>1.04982212449868E-2</v>
      </c>
      <c r="V61" s="143">
        <f>Mitigation_Industry!$E$358</f>
        <v>1.04982212449868E-2</v>
      </c>
      <c r="W61" s="143">
        <f>Mitigation_Industry!$E$358</f>
        <v>1.04982212449868E-2</v>
      </c>
      <c r="X61" s="143">
        <f>Mitigation_Industry!$E$358</f>
        <v>1.04982212449868E-2</v>
      </c>
      <c r="Y61" s="143">
        <f>Mitigation_Industry!$E$358</f>
        <v>1.04982212449868E-2</v>
      </c>
      <c r="Z61" s="143">
        <f>Mitigation_Industry!$E$358</f>
        <v>1.04982212449868E-2</v>
      </c>
      <c r="AA61" s="143">
        <f>Mitigation_Industry!$E$358</f>
        <v>1.04982212449868E-2</v>
      </c>
      <c r="AB61" s="143">
        <f>Mitigation_Industry!$E$358</f>
        <v>1.04982212449868E-2</v>
      </c>
      <c r="AC61" s="143">
        <f>Mitigation_Industry!$E$358</f>
        <v>1.04982212449868E-2</v>
      </c>
      <c r="AD61" s="143">
        <f>Mitigation_Industry!$E$358</f>
        <v>1.04982212449868E-2</v>
      </c>
      <c r="AE61" s="143">
        <f>Mitigation_Industry!$E$358</f>
        <v>1.04982212449868E-2</v>
      </c>
      <c r="AF61" s="142"/>
      <c r="AG61" s="142"/>
      <c r="AH61" s="142"/>
      <c r="AI61" s="142"/>
    </row>
    <row r="62" spans="1:35" customFormat="1" ht="14.25" x14ac:dyDescent="0.45">
      <c r="B62" s="14" t="s">
        <v>1472</v>
      </c>
      <c r="C62" s="14" t="s">
        <v>115</v>
      </c>
      <c r="D62" s="15" t="s">
        <v>2644</v>
      </c>
      <c r="E62" s="16" t="s">
        <v>2636</v>
      </c>
      <c r="F62" s="14" t="s">
        <v>2634</v>
      </c>
      <c r="G62" s="17"/>
      <c r="H62" s="129" t="str">
        <f>Settings!$B$3&amp;".mit.bf.alu.prp.1"</f>
        <v>egy.mit.bf.alu.prp.1</v>
      </c>
      <c r="K62" s="140"/>
      <c r="L62" s="143">
        <f>Mitigation_Industry!$E$359</f>
        <v>8.3381608939051E-4</v>
      </c>
      <c r="M62" s="143">
        <f>Mitigation_Industry!$E$359</f>
        <v>8.3381608939051E-4</v>
      </c>
      <c r="N62" s="143">
        <f>Mitigation_Industry!$E$359</f>
        <v>8.3381608939051E-4</v>
      </c>
      <c r="O62" s="143">
        <f>Mitigation_Industry!$E$359</f>
        <v>8.3381608939051E-4</v>
      </c>
      <c r="P62" s="143">
        <f>Mitigation_Industry!$E$359</f>
        <v>8.3381608939051E-4</v>
      </c>
      <c r="Q62" s="143">
        <f>Mitigation_Industry!$E$359</f>
        <v>8.3381608939051E-4</v>
      </c>
      <c r="R62" s="143">
        <f>Mitigation_Industry!$E$359</f>
        <v>8.3381608939051E-4</v>
      </c>
      <c r="S62" s="143">
        <f>Mitigation_Industry!$E$359</f>
        <v>8.3381608939051E-4</v>
      </c>
      <c r="T62" s="143">
        <f>Mitigation_Industry!$E$359</f>
        <v>8.3381608939051E-4</v>
      </c>
      <c r="U62" s="143">
        <f>Mitigation_Industry!$E$359</f>
        <v>8.3381608939051E-4</v>
      </c>
      <c r="V62" s="143">
        <f>Mitigation_Industry!$E$359</f>
        <v>8.3381608939051E-4</v>
      </c>
      <c r="W62" s="143">
        <f>Mitigation_Industry!$E$359</f>
        <v>8.3381608939051E-4</v>
      </c>
      <c r="X62" s="143">
        <f>Mitigation_Industry!$E$359</f>
        <v>8.3381608939051E-4</v>
      </c>
      <c r="Y62" s="143">
        <f>Mitigation_Industry!$E$359</f>
        <v>8.3381608939051E-4</v>
      </c>
      <c r="Z62" s="143">
        <f>Mitigation_Industry!$E$359</f>
        <v>8.3381608939051E-4</v>
      </c>
      <c r="AA62" s="143">
        <f>Mitigation_Industry!$E$359</f>
        <v>8.3381608939051E-4</v>
      </c>
      <c r="AB62" s="143">
        <f>Mitigation_Industry!$E$359</f>
        <v>8.3381608939051E-4</v>
      </c>
      <c r="AC62" s="143">
        <f>Mitigation_Industry!$E$359</f>
        <v>8.3381608939051E-4</v>
      </c>
      <c r="AD62" s="143">
        <f>Mitigation_Industry!$E$359</f>
        <v>8.3381608939051E-4</v>
      </c>
      <c r="AE62" s="143">
        <f>Mitigation_Industry!$E$359</f>
        <v>8.3381608939051E-4</v>
      </c>
      <c r="AF62" s="142"/>
      <c r="AG62" s="142"/>
      <c r="AH62" s="142"/>
      <c r="AI62" s="142"/>
    </row>
    <row r="63" spans="1:35" x14ac:dyDescent="0.35"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</row>
    <row r="64" spans="1:35" customFormat="1" ht="14.25" x14ac:dyDescent="0.45">
      <c r="A64" s="11"/>
      <c r="B64" s="6"/>
      <c r="C64" s="7" t="s">
        <v>2645</v>
      </c>
      <c r="D64" s="6" t="s">
        <v>1504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8">
        <v>2021</v>
      </c>
      <c r="L64" s="139">
        <v>2022</v>
      </c>
      <c r="M64" s="138">
        <v>2023</v>
      </c>
      <c r="N64" s="138">
        <v>2024</v>
      </c>
      <c r="O64" s="138">
        <v>2025</v>
      </c>
      <c r="P64" s="138">
        <v>2026</v>
      </c>
      <c r="Q64" s="138">
        <v>2027</v>
      </c>
      <c r="R64" s="138">
        <v>2028</v>
      </c>
      <c r="S64" s="138">
        <v>2029</v>
      </c>
      <c r="T64" s="138">
        <v>2030</v>
      </c>
      <c r="U64" s="138">
        <v>2031</v>
      </c>
      <c r="V64" s="138">
        <v>2032</v>
      </c>
      <c r="W64" s="138">
        <v>2033</v>
      </c>
      <c r="X64" s="138">
        <v>2034</v>
      </c>
      <c r="Y64" s="138">
        <v>2035</v>
      </c>
      <c r="Z64" s="138">
        <v>2036</v>
      </c>
      <c r="AA64" s="138">
        <v>2037</v>
      </c>
      <c r="AB64" s="138">
        <v>2038</v>
      </c>
      <c r="AC64" s="138">
        <v>2039</v>
      </c>
      <c r="AD64" s="138">
        <v>2040</v>
      </c>
      <c r="AE64" s="138">
        <v>2041</v>
      </c>
      <c r="AF64" s="138">
        <v>2042</v>
      </c>
      <c r="AG64" s="138">
        <v>2043</v>
      </c>
      <c r="AH64" s="138">
        <v>2044</v>
      </c>
      <c r="AI64" s="138">
        <v>2045</v>
      </c>
    </row>
    <row r="65" spans="2:35" customFormat="1" ht="14.25" x14ac:dyDescent="0.45">
      <c r="B65" s="14" t="s">
        <v>2591</v>
      </c>
      <c r="C65" s="14" t="s">
        <v>43</v>
      </c>
      <c r="D65" s="15" t="s">
        <v>2646</v>
      </c>
      <c r="E65" s="16" t="s">
        <v>2636</v>
      </c>
      <c r="F65" s="14" t="s">
        <v>2645</v>
      </c>
      <c r="G65" s="17"/>
      <c r="H65" s="129" t="str">
        <f>Settings!$B$3&amp;".mit.bp.stl.drg.np.1"</f>
        <v>egy.mit.bp.stl.drg.np.1</v>
      </c>
      <c r="I65" t="s">
        <v>2647</v>
      </c>
      <c r="K65" s="140"/>
      <c r="L65" s="143">
        <f>Mitigation_Industry!$E$363</f>
        <v>1.0536051565782627E-3</v>
      </c>
      <c r="M65" s="143">
        <f>Mitigation_Industry!$E$363</f>
        <v>1.0536051565782627E-3</v>
      </c>
      <c r="N65" s="143">
        <f>Mitigation_Industry!$E$363</f>
        <v>1.0536051565782627E-3</v>
      </c>
      <c r="O65" s="143">
        <f>Mitigation_Industry!$E$363</f>
        <v>1.0536051565782627E-3</v>
      </c>
      <c r="P65" s="143">
        <f>Mitigation_Industry!$E$363</f>
        <v>1.0536051565782627E-3</v>
      </c>
      <c r="Q65" s="143">
        <f>Mitigation_Industry!$E$363</f>
        <v>1.0536051565782627E-3</v>
      </c>
      <c r="R65" s="143">
        <f>Mitigation_Industry!$E$363</f>
        <v>1.0536051565782627E-3</v>
      </c>
      <c r="S65" s="143">
        <f>Mitigation_Industry!$E$363</f>
        <v>1.0536051565782627E-3</v>
      </c>
      <c r="T65" s="143">
        <f>Mitigation_Industry!$E$363</f>
        <v>1.0536051565782627E-3</v>
      </c>
      <c r="U65" s="143">
        <f>Mitigation_Industry!$E$363</f>
        <v>1.0536051565782627E-3</v>
      </c>
      <c r="V65" s="143">
        <f>Mitigation_Industry!$E$363</f>
        <v>1.0536051565782627E-3</v>
      </c>
      <c r="W65" s="143">
        <f>Mitigation_Industry!$E$363</f>
        <v>1.0536051565782627E-3</v>
      </c>
      <c r="X65" s="143">
        <f>Mitigation_Industry!$E$363</f>
        <v>1.0536051565782627E-3</v>
      </c>
      <c r="Y65" s="143">
        <f>Mitigation_Industry!$E$363</f>
        <v>1.0536051565782627E-3</v>
      </c>
      <c r="Z65" s="143">
        <f>Mitigation_Industry!$E$363</f>
        <v>1.0536051565782627E-3</v>
      </c>
      <c r="AA65" s="143">
        <f>Mitigation_Industry!$E$363</f>
        <v>1.0536051565782627E-3</v>
      </c>
      <c r="AB65" s="143">
        <f>Mitigation_Industry!$E$363</f>
        <v>1.0536051565782627E-3</v>
      </c>
      <c r="AC65" s="143">
        <f>Mitigation_Industry!$E$363</f>
        <v>1.0536051565782627E-3</v>
      </c>
      <c r="AD65" s="143">
        <f>Mitigation_Industry!$E$363</f>
        <v>1.0536051565782627E-3</v>
      </c>
      <c r="AE65" s="143">
        <f>Mitigation_Industry!$E$363</f>
        <v>1.0536051565782627E-3</v>
      </c>
      <c r="AF65" s="142"/>
      <c r="AG65" s="142"/>
      <c r="AH65" s="142"/>
      <c r="AI65" s="142"/>
    </row>
    <row r="66" spans="2:35" customFormat="1" ht="14.25" x14ac:dyDescent="0.45">
      <c r="B66" s="14" t="s">
        <v>2594</v>
      </c>
      <c r="C66" s="14" t="s">
        <v>43</v>
      </c>
      <c r="D66" s="15" t="s">
        <v>2648</v>
      </c>
      <c r="E66" s="16" t="s">
        <v>2636</v>
      </c>
      <c r="F66" s="14" t="s">
        <v>2645</v>
      </c>
      <c r="G66" s="17"/>
      <c r="H66" s="129" t="str">
        <f>Settings!$B$3&amp;".mit.bp.stl.scr.np.1"</f>
        <v>egy.mit.bp.stl.scr.np.1</v>
      </c>
      <c r="K66" s="140"/>
      <c r="L66" s="143">
        <f>Mitigation_Industry!$E$364</f>
        <v>2.0202707317519466E-4</v>
      </c>
      <c r="M66" s="143">
        <f>Mitigation_Industry!$E$364</f>
        <v>2.0202707317519466E-4</v>
      </c>
      <c r="N66" s="143">
        <f>Mitigation_Industry!$E$364</f>
        <v>2.0202707317519466E-4</v>
      </c>
      <c r="O66" s="143">
        <f>Mitigation_Industry!$E$364</f>
        <v>2.0202707317519466E-4</v>
      </c>
      <c r="P66" s="143">
        <f>Mitigation_Industry!$E$364</f>
        <v>2.0202707317519466E-4</v>
      </c>
      <c r="Q66" s="143">
        <f>Mitigation_Industry!$E$364</f>
        <v>2.0202707317519466E-4</v>
      </c>
      <c r="R66" s="143">
        <f>Mitigation_Industry!$E$364</f>
        <v>2.0202707317519466E-4</v>
      </c>
      <c r="S66" s="143">
        <f>Mitigation_Industry!$E$364</f>
        <v>2.0202707317519466E-4</v>
      </c>
      <c r="T66" s="143">
        <f>Mitigation_Industry!$E$364</f>
        <v>2.0202707317519466E-4</v>
      </c>
      <c r="U66" s="143">
        <f>Mitigation_Industry!$E$364</f>
        <v>2.0202707317519466E-4</v>
      </c>
      <c r="V66" s="143">
        <f>Mitigation_Industry!$E$364</f>
        <v>2.0202707317519466E-4</v>
      </c>
      <c r="W66" s="143">
        <f>Mitigation_Industry!$E$364</f>
        <v>2.0202707317519466E-4</v>
      </c>
      <c r="X66" s="143">
        <f>Mitigation_Industry!$E$364</f>
        <v>2.0202707317519466E-4</v>
      </c>
      <c r="Y66" s="143">
        <f>Mitigation_Industry!$E$364</f>
        <v>2.0202707317519466E-4</v>
      </c>
      <c r="Z66" s="143">
        <f>Mitigation_Industry!$E$364</f>
        <v>2.0202707317519466E-4</v>
      </c>
      <c r="AA66" s="143">
        <f>Mitigation_Industry!$E$364</f>
        <v>2.0202707317519466E-4</v>
      </c>
      <c r="AB66" s="143">
        <f>Mitigation_Industry!$E$364</f>
        <v>2.0202707317519466E-4</v>
      </c>
      <c r="AC66" s="143">
        <f>Mitigation_Industry!$E$364</f>
        <v>2.0202707317519466E-4</v>
      </c>
      <c r="AD66" s="143">
        <f>Mitigation_Industry!$E$364</f>
        <v>2.0202707317519466E-4</v>
      </c>
      <c r="AE66" s="143">
        <f>Mitigation_Industry!$E$364</f>
        <v>2.0202707317519466E-4</v>
      </c>
      <c r="AF66" s="142"/>
      <c r="AG66" s="142"/>
      <c r="AH66" s="142"/>
      <c r="AI66" s="142"/>
    </row>
    <row r="67" spans="2:35" customFormat="1" ht="14.25" x14ac:dyDescent="0.45">
      <c r="B67" s="14" t="s">
        <v>2596</v>
      </c>
      <c r="C67" s="14" t="s">
        <v>43</v>
      </c>
      <c r="D67" s="15" t="s">
        <v>2649</v>
      </c>
      <c r="E67" s="16" t="s">
        <v>2636</v>
      </c>
      <c r="F67" s="14" t="s">
        <v>2645</v>
      </c>
      <c r="G67" s="17"/>
      <c r="H67" s="129" t="str">
        <f>Settings!$B$3&amp;".mit.bp.stl.bof.np.1"</f>
        <v>egy.mit.bp.stl.bof.np.1</v>
      </c>
      <c r="K67" s="140"/>
      <c r="L67" s="143">
        <f>Mitigation_Industry!$E$365</f>
        <v>5.1293294387550576E-4</v>
      </c>
      <c r="M67" s="143">
        <f>Mitigation_Industry!$E$365</f>
        <v>5.1293294387550576E-4</v>
      </c>
      <c r="N67" s="143">
        <f>Mitigation_Industry!$E$365</f>
        <v>5.1293294387550576E-4</v>
      </c>
      <c r="O67" s="143">
        <f>Mitigation_Industry!$E$365</f>
        <v>5.1293294387550576E-4</v>
      </c>
      <c r="P67" s="143">
        <f>Mitigation_Industry!$E$365</f>
        <v>5.1293294387550576E-4</v>
      </c>
      <c r="Q67" s="143">
        <f>Mitigation_Industry!$E$365</f>
        <v>5.1293294387550576E-4</v>
      </c>
      <c r="R67" s="143">
        <f>Mitigation_Industry!$E$365</f>
        <v>5.1293294387550576E-4</v>
      </c>
      <c r="S67" s="143">
        <f>Mitigation_Industry!$E$365</f>
        <v>5.1293294387550576E-4</v>
      </c>
      <c r="T67" s="143">
        <f>Mitigation_Industry!$E$365</f>
        <v>5.1293294387550576E-4</v>
      </c>
      <c r="U67" s="143">
        <f>Mitigation_Industry!$E$365</f>
        <v>5.1293294387550576E-4</v>
      </c>
      <c r="V67" s="143">
        <f>Mitigation_Industry!$E$365</f>
        <v>5.1293294387550576E-4</v>
      </c>
      <c r="W67" s="143">
        <f>Mitigation_Industry!$E$365</f>
        <v>5.1293294387550576E-4</v>
      </c>
      <c r="X67" s="143">
        <f>Mitigation_Industry!$E$365</f>
        <v>5.1293294387550576E-4</v>
      </c>
      <c r="Y67" s="143">
        <f>Mitigation_Industry!$E$365</f>
        <v>5.1293294387550576E-4</v>
      </c>
      <c r="Z67" s="143">
        <f>Mitigation_Industry!$E$365</f>
        <v>5.1293294387550576E-4</v>
      </c>
      <c r="AA67" s="143">
        <f>Mitigation_Industry!$E$365</f>
        <v>5.1293294387550576E-4</v>
      </c>
      <c r="AB67" s="143">
        <f>Mitigation_Industry!$E$365</f>
        <v>5.1293294387550576E-4</v>
      </c>
      <c r="AC67" s="143">
        <f>Mitigation_Industry!$E$365</f>
        <v>5.1293294387550576E-4</v>
      </c>
      <c r="AD67" s="143">
        <f>Mitigation_Industry!$E$365</f>
        <v>5.1293294387550576E-4</v>
      </c>
      <c r="AE67" s="143">
        <f>Mitigation_Industry!$E$365</f>
        <v>5.1293294387550576E-4</v>
      </c>
      <c r="AF67" s="142"/>
      <c r="AG67" s="142"/>
      <c r="AH67" s="142"/>
      <c r="AI67" s="142"/>
    </row>
    <row r="68" spans="2:35" customFormat="1" ht="14.25" x14ac:dyDescent="0.45">
      <c r="B68" s="14" t="s">
        <v>2598</v>
      </c>
      <c r="C68" s="14" t="s">
        <v>113</v>
      </c>
      <c r="D68" s="15" t="s">
        <v>2650</v>
      </c>
      <c r="E68" s="16" t="s">
        <v>2636</v>
      </c>
      <c r="F68" s="14" t="s">
        <v>2645</v>
      </c>
      <c r="G68" s="17"/>
      <c r="H68" s="129" t="str">
        <f>Settings!$B$3&amp;".mit.bp.cmt.dry.np.1"</f>
        <v>egy.mit.bp.cmt.dry.np.1</v>
      </c>
      <c r="K68" s="140"/>
      <c r="L68" s="143">
        <f>Mitigation_Industry!$E$366</f>
        <v>8.338160893905101E-4</v>
      </c>
      <c r="M68" s="143">
        <f>Mitigation_Industry!$E$366</f>
        <v>8.338160893905101E-4</v>
      </c>
      <c r="N68" s="143">
        <f>Mitigation_Industry!$E$366</f>
        <v>8.338160893905101E-4</v>
      </c>
      <c r="O68" s="143">
        <f>Mitigation_Industry!$E$366</f>
        <v>8.338160893905101E-4</v>
      </c>
      <c r="P68" s="143">
        <f>Mitigation_Industry!$E$366</f>
        <v>8.338160893905101E-4</v>
      </c>
      <c r="Q68" s="143">
        <f>Mitigation_Industry!$E$366</f>
        <v>8.338160893905101E-4</v>
      </c>
      <c r="R68" s="143">
        <f>Mitigation_Industry!$E$366</f>
        <v>8.338160893905101E-4</v>
      </c>
      <c r="S68" s="143">
        <f>Mitigation_Industry!$E$366</f>
        <v>8.338160893905101E-4</v>
      </c>
      <c r="T68" s="143">
        <f>Mitigation_Industry!$E$366</f>
        <v>8.338160893905101E-4</v>
      </c>
      <c r="U68" s="143">
        <f>Mitigation_Industry!$E$366</f>
        <v>8.338160893905101E-4</v>
      </c>
      <c r="V68" s="143">
        <f>Mitigation_Industry!$E$366</f>
        <v>8.338160893905101E-4</v>
      </c>
      <c r="W68" s="143">
        <f>Mitigation_Industry!$E$366</f>
        <v>8.338160893905101E-4</v>
      </c>
      <c r="X68" s="143">
        <f>Mitigation_Industry!$E$366</f>
        <v>8.338160893905101E-4</v>
      </c>
      <c r="Y68" s="143">
        <f>Mitigation_Industry!$E$366</f>
        <v>8.338160893905101E-4</v>
      </c>
      <c r="Z68" s="143">
        <f>Mitigation_Industry!$E$366</f>
        <v>8.338160893905101E-4</v>
      </c>
      <c r="AA68" s="143">
        <f>Mitigation_Industry!$E$366</f>
        <v>8.338160893905101E-4</v>
      </c>
      <c r="AB68" s="143">
        <f>Mitigation_Industry!$E$366</f>
        <v>8.338160893905101E-4</v>
      </c>
      <c r="AC68" s="143">
        <f>Mitigation_Industry!$E$366</f>
        <v>8.338160893905101E-4</v>
      </c>
      <c r="AD68" s="143">
        <f>Mitigation_Industry!$E$366</f>
        <v>8.338160893905101E-4</v>
      </c>
      <c r="AE68" s="143">
        <f>Mitigation_Industry!$E$366</f>
        <v>8.338160893905101E-4</v>
      </c>
      <c r="AF68" s="142"/>
      <c r="AG68" s="142"/>
      <c r="AH68" s="142"/>
      <c r="AI68" s="142"/>
    </row>
    <row r="69" spans="2:35" customFormat="1" ht="14.25" x14ac:dyDescent="0.45">
      <c r="B69" s="14" t="s">
        <v>2600</v>
      </c>
      <c r="C69" s="14" t="s">
        <v>117</v>
      </c>
      <c r="D69" s="15" t="s">
        <v>2651</v>
      </c>
      <c r="E69" s="16" t="s">
        <v>2636</v>
      </c>
      <c r="F69" s="14" t="s">
        <v>2645</v>
      </c>
      <c r="G69" s="17"/>
      <c r="H69" s="129" t="str">
        <f>Settings!$B$3&amp;".mit.bp.frt.amc.np.1"</f>
        <v>egy.mit.bp.frt.amc.np.1</v>
      </c>
      <c r="K69" s="140"/>
      <c r="L69" s="143">
        <f>Mitigation_Industry!$E$367</f>
        <v>1.9845093872383817E-3</v>
      </c>
      <c r="M69" s="143">
        <f>Mitigation_Industry!$E$367</f>
        <v>1.9845093872383817E-3</v>
      </c>
      <c r="N69" s="143">
        <f>Mitigation_Industry!$E$367</f>
        <v>1.9845093872383817E-3</v>
      </c>
      <c r="O69" s="143">
        <f>Mitigation_Industry!$E$367</f>
        <v>1.9845093872383817E-3</v>
      </c>
      <c r="P69" s="143">
        <f>Mitigation_Industry!$E$367</f>
        <v>1.9845093872383817E-3</v>
      </c>
      <c r="Q69" s="143">
        <f>Mitigation_Industry!$E$367</f>
        <v>1.9845093872383817E-3</v>
      </c>
      <c r="R69" s="143">
        <f>Mitigation_Industry!$E$367</f>
        <v>1.9845093872383817E-3</v>
      </c>
      <c r="S69" s="143">
        <f>Mitigation_Industry!$E$367</f>
        <v>1.9845093872383817E-3</v>
      </c>
      <c r="T69" s="143">
        <f>Mitigation_Industry!$E$367</f>
        <v>1.9845093872383817E-3</v>
      </c>
      <c r="U69" s="143">
        <f>Mitigation_Industry!$E$367</f>
        <v>1.9845093872383817E-3</v>
      </c>
      <c r="V69" s="143">
        <f>Mitigation_Industry!$E$367</f>
        <v>1.9845093872383817E-3</v>
      </c>
      <c r="W69" s="143">
        <f>Mitigation_Industry!$E$367</f>
        <v>1.9845093872383817E-3</v>
      </c>
      <c r="X69" s="143">
        <f>Mitigation_Industry!$E$367</f>
        <v>1.9845093872383817E-3</v>
      </c>
      <c r="Y69" s="143">
        <f>Mitigation_Industry!$E$367</f>
        <v>1.9845093872383817E-3</v>
      </c>
      <c r="Z69" s="143">
        <f>Mitigation_Industry!$E$367</f>
        <v>1.9845093872383817E-3</v>
      </c>
      <c r="AA69" s="143">
        <f>Mitigation_Industry!$E$367</f>
        <v>1.9845093872383817E-3</v>
      </c>
      <c r="AB69" s="143">
        <f>Mitigation_Industry!$E$367</f>
        <v>1.9845093872383817E-3</v>
      </c>
      <c r="AC69" s="143">
        <f>Mitigation_Industry!$E$367</f>
        <v>1.9845093872383817E-3</v>
      </c>
      <c r="AD69" s="143">
        <f>Mitigation_Industry!$E$367</f>
        <v>1.9845093872383817E-3</v>
      </c>
      <c r="AE69" s="143">
        <f>Mitigation_Industry!$E$367</f>
        <v>1.9845093872383817E-3</v>
      </c>
      <c r="AF69" s="142"/>
      <c r="AG69" s="142"/>
      <c r="AH69" s="142"/>
      <c r="AI69" s="142"/>
    </row>
    <row r="70" spans="2:35" customFormat="1" ht="14.25" x14ac:dyDescent="0.45">
      <c r="B70" s="14" t="s">
        <v>2602</v>
      </c>
      <c r="C70" s="14" t="s">
        <v>117</v>
      </c>
      <c r="D70" s="15" t="s">
        <v>2652</v>
      </c>
      <c r="E70" s="16" t="s">
        <v>2636</v>
      </c>
      <c r="F70" s="14" t="s">
        <v>2645</v>
      </c>
      <c r="G70" s="17"/>
      <c r="H70" s="129" t="str">
        <f>Settings!$B$3&amp;".mit.bp.frt.ure.np.1"</f>
        <v>egy.mit.bp.frt.ure.np.1</v>
      </c>
      <c r="K70" s="140"/>
      <c r="L70" s="143">
        <f>Mitigation_Industry!$E$368</f>
        <v>0</v>
      </c>
      <c r="M70" s="143">
        <f>Mitigation_Industry!$E$368</f>
        <v>0</v>
      </c>
      <c r="N70" s="143">
        <f>Mitigation_Industry!$E$368</f>
        <v>0</v>
      </c>
      <c r="O70" s="143">
        <f>Mitigation_Industry!$E$368</f>
        <v>0</v>
      </c>
      <c r="P70" s="143">
        <f>Mitigation_Industry!$E$368</f>
        <v>0</v>
      </c>
      <c r="Q70" s="143">
        <f>Mitigation_Industry!$E$368</f>
        <v>0</v>
      </c>
      <c r="R70" s="143">
        <f>Mitigation_Industry!$E$368</f>
        <v>0</v>
      </c>
      <c r="S70" s="143">
        <f>Mitigation_Industry!$E$368</f>
        <v>0</v>
      </c>
      <c r="T70" s="143">
        <f>Mitigation_Industry!$E$368</f>
        <v>0</v>
      </c>
      <c r="U70" s="143">
        <f>Mitigation_Industry!$E$368</f>
        <v>0</v>
      </c>
      <c r="V70" s="143">
        <f>Mitigation_Industry!$E$368</f>
        <v>0</v>
      </c>
      <c r="W70" s="143">
        <f>Mitigation_Industry!$E$368</f>
        <v>0</v>
      </c>
      <c r="X70" s="143">
        <f>Mitigation_Industry!$E$368</f>
        <v>0</v>
      </c>
      <c r="Y70" s="143">
        <f>Mitigation_Industry!$E$368</f>
        <v>0</v>
      </c>
      <c r="Z70" s="143">
        <f>Mitigation_Industry!$E$368</f>
        <v>0</v>
      </c>
      <c r="AA70" s="143">
        <f>Mitigation_Industry!$E$368</f>
        <v>0</v>
      </c>
      <c r="AB70" s="143">
        <f>Mitigation_Industry!$E$368</f>
        <v>0</v>
      </c>
      <c r="AC70" s="143">
        <f>Mitigation_Industry!$E$368</f>
        <v>0</v>
      </c>
      <c r="AD70" s="143">
        <f>Mitigation_Industry!$E$368</f>
        <v>0</v>
      </c>
      <c r="AE70" s="143">
        <f>Mitigation_Industry!$E$368</f>
        <v>0</v>
      </c>
      <c r="AF70" s="142"/>
      <c r="AG70" s="142"/>
      <c r="AH70" s="142"/>
      <c r="AI70" s="142"/>
    </row>
    <row r="71" spans="2:35" customFormat="1" ht="14.25" x14ac:dyDescent="0.45">
      <c r="B71" s="14" t="s">
        <v>2604</v>
      </c>
      <c r="C71" s="14" t="s">
        <v>117</v>
      </c>
      <c r="D71" s="15" t="s">
        <v>2653</v>
      </c>
      <c r="E71" s="16" t="s">
        <v>2636</v>
      </c>
      <c r="F71" s="14" t="s">
        <v>2645</v>
      </c>
      <c r="G71" s="17"/>
      <c r="H71" s="129" t="str">
        <f>Settings!$B$3&amp;".mit.bp.frt.nit.np.1"</f>
        <v>egy.mit.bp.frt.nit.np.1</v>
      </c>
      <c r="K71" s="140"/>
      <c r="L71" s="143">
        <f>Mitigation_Industry!$E$369</f>
        <v>1.0498221244986778E-2</v>
      </c>
      <c r="M71" s="143">
        <f>Mitigation_Industry!$E$369</f>
        <v>1.0498221244986778E-2</v>
      </c>
      <c r="N71" s="143">
        <f>Mitigation_Industry!$E$369</f>
        <v>1.0498221244986778E-2</v>
      </c>
      <c r="O71" s="143">
        <f>Mitigation_Industry!$E$369</f>
        <v>1.0498221244986778E-2</v>
      </c>
      <c r="P71" s="143">
        <f>Mitigation_Industry!$E$369</f>
        <v>1.0498221244986778E-2</v>
      </c>
      <c r="Q71" s="143">
        <f>Mitigation_Industry!$E$369</f>
        <v>1.0498221244986778E-2</v>
      </c>
      <c r="R71" s="143">
        <f>Mitigation_Industry!$E$369</f>
        <v>1.0498221244986778E-2</v>
      </c>
      <c r="S71" s="143">
        <f>Mitigation_Industry!$E$369</f>
        <v>1.0498221244986778E-2</v>
      </c>
      <c r="T71" s="143">
        <f>Mitigation_Industry!$E$369</f>
        <v>1.0498221244986778E-2</v>
      </c>
      <c r="U71" s="143">
        <f>Mitigation_Industry!$E$369</f>
        <v>1.0498221244986778E-2</v>
      </c>
      <c r="V71" s="143">
        <f>Mitigation_Industry!$E$369</f>
        <v>1.0498221244986778E-2</v>
      </c>
      <c r="W71" s="143">
        <f>Mitigation_Industry!$E$369</f>
        <v>1.0498221244986778E-2</v>
      </c>
      <c r="X71" s="143">
        <f>Mitigation_Industry!$E$369</f>
        <v>1.0498221244986778E-2</v>
      </c>
      <c r="Y71" s="143">
        <f>Mitigation_Industry!$E$369</f>
        <v>1.0498221244986778E-2</v>
      </c>
      <c r="Z71" s="143">
        <f>Mitigation_Industry!$E$369</f>
        <v>1.0498221244986778E-2</v>
      </c>
      <c r="AA71" s="143">
        <f>Mitigation_Industry!$E$369</f>
        <v>1.0498221244986778E-2</v>
      </c>
      <c r="AB71" s="143">
        <f>Mitigation_Industry!$E$369</f>
        <v>1.0498221244986778E-2</v>
      </c>
      <c r="AC71" s="143">
        <f>Mitigation_Industry!$E$369</f>
        <v>1.0498221244986778E-2</v>
      </c>
      <c r="AD71" s="143">
        <f>Mitigation_Industry!$E$369</f>
        <v>1.0498221244986778E-2</v>
      </c>
      <c r="AE71" s="143">
        <f>Mitigation_Industry!$E$369</f>
        <v>1.0498221244986778E-2</v>
      </c>
      <c r="AF71" s="142"/>
      <c r="AG71" s="142"/>
      <c r="AH71" s="142"/>
      <c r="AI71" s="142"/>
    </row>
    <row r="72" spans="2:35" customFormat="1" ht="14.25" x14ac:dyDescent="0.45">
      <c r="B72" s="14" t="s">
        <v>2606</v>
      </c>
      <c r="C72" s="14" t="s">
        <v>115</v>
      </c>
      <c r="D72" s="15" t="s">
        <v>2654</v>
      </c>
      <c r="E72" s="16" t="s">
        <v>2636</v>
      </c>
      <c r="F72" s="14" t="s">
        <v>2645</v>
      </c>
      <c r="G72" s="17"/>
      <c r="H72" s="129" t="str">
        <f>Settings!$B$3&amp;".mit.bp.alu.prp.np.1"</f>
        <v>egy.mit.bp.alu.prp.np.1</v>
      </c>
      <c r="K72" s="140"/>
      <c r="L72" s="143">
        <f>Mitigation_Industry!$E$370</f>
        <v>8.338160893905101E-4</v>
      </c>
      <c r="M72" s="143">
        <f>Mitigation_Industry!$E$370</f>
        <v>8.338160893905101E-4</v>
      </c>
      <c r="N72" s="143">
        <f>Mitigation_Industry!$E$370</f>
        <v>8.338160893905101E-4</v>
      </c>
      <c r="O72" s="143">
        <f>Mitigation_Industry!$E$370</f>
        <v>8.338160893905101E-4</v>
      </c>
      <c r="P72" s="143">
        <f>Mitigation_Industry!$E$370</f>
        <v>8.338160893905101E-4</v>
      </c>
      <c r="Q72" s="143">
        <f>Mitigation_Industry!$E$370</f>
        <v>8.338160893905101E-4</v>
      </c>
      <c r="R72" s="143">
        <f>Mitigation_Industry!$E$370</f>
        <v>8.338160893905101E-4</v>
      </c>
      <c r="S72" s="143">
        <f>Mitigation_Industry!$E$370</f>
        <v>8.338160893905101E-4</v>
      </c>
      <c r="T72" s="143">
        <f>Mitigation_Industry!$E$370</f>
        <v>8.338160893905101E-4</v>
      </c>
      <c r="U72" s="143">
        <f>Mitigation_Industry!$E$370</f>
        <v>8.338160893905101E-4</v>
      </c>
      <c r="V72" s="143">
        <f>Mitigation_Industry!$E$370</f>
        <v>8.338160893905101E-4</v>
      </c>
      <c r="W72" s="143">
        <f>Mitigation_Industry!$E$370</f>
        <v>8.338160893905101E-4</v>
      </c>
      <c r="X72" s="143">
        <f>Mitigation_Industry!$E$370</f>
        <v>8.338160893905101E-4</v>
      </c>
      <c r="Y72" s="143">
        <f>Mitigation_Industry!$E$370</f>
        <v>8.338160893905101E-4</v>
      </c>
      <c r="Z72" s="143">
        <f>Mitigation_Industry!$E$370</f>
        <v>8.338160893905101E-4</v>
      </c>
      <c r="AA72" s="143">
        <f>Mitigation_Industry!$E$370</f>
        <v>8.338160893905101E-4</v>
      </c>
      <c r="AB72" s="143">
        <f>Mitigation_Industry!$E$370</f>
        <v>8.338160893905101E-4</v>
      </c>
      <c r="AC72" s="143">
        <f>Mitigation_Industry!$E$370</f>
        <v>8.338160893905101E-4</v>
      </c>
      <c r="AD72" s="143">
        <f>Mitigation_Industry!$E$370</f>
        <v>8.338160893905101E-4</v>
      </c>
      <c r="AE72" s="143">
        <f>Mitigation_Industry!$E$370</f>
        <v>8.338160893905101E-4</v>
      </c>
      <c r="AF72" s="142"/>
      <c r="AG72" s="142"/>
      <c r="AH72" s="142"/>
      <c r="AI72" s="142"/>
    </row>
    <row r="73" spans="2:35" customFormat="1" ht="14.25" x14ac:dyDescent="0.45">
      <c r="B73" s="14" t="s">
        <v>2608</v>
      </c>
      <c r="C73" s="14" t="s">
        <v>43</v>
      </c>
      <c r="D73" s="15" t="s">
        <v>2655</v>
      </c>
      <c r="E73" s="16" t="s">
        <v>2636</v>
      </c>
      <c r="F73" s="14" t="s">
        <v>2645</v>
      </c>
      <c r="G73" s="17"/>
      <c r="H73" s="129" t="str">
        <f>Settings!$B$3&amp;".mit.bp.stl.drg.no.1"</f>
        <v>egy.mit.bp.stl.drg.no.1</v>
      </c>
      <c r="K73" s="140"/>
      <c r="L73" s="143">
        <f>Mitigation_Industry!$G$363</f>
        <v>1.0536051565782627E-3</v>
      </c>
      <c r="M73" s="143">
        <f>Mitigation_Industry!$G$363</f>
        <v>1.0536051565782627E-3</v>
      </c>
      <c r="N73" s="143">
        <f>Mitigation_Industry!$G$363</f>
        <v>1.0536051565782627E-3</v>
      </c>
      <c r="O73" s="143">
        <f>Mitigation_Industry!$G$363</f>
        <v>1.0536051565782627E-3</v>
      </c>
      <c r="P73" s="143">
        <f>Mitigation_Industry!$G$363</f>
        <v>1.0536051565782627E-3</v>
      </c>
      <c r="Q73" s="143">
        <f>Mitigation_Industry!$G$363</f>
        <v>1.0536051565782627E-3</v>
      </c>
      <c r="R73" s="143">
        <f>Mitigation_Industry!$G$363</f>
        <v>1.0536051565782627E-3</v>
      </c>
      <c r="S73" s="143">
        <f>Mitigation_Industry!$G$363</f>
        <v>1.0536051565782627E-3</v>
      </c>
      <c r="T73" s="143">
        <f>Mitigation_Industry!$G$363</f>
        <v>1.0536051565782627E-3</v>
      </c>
      <c r="U73" s="143">
        <f>Mitigation_Industry!$G$363</f>
        <v>1.0536051565782627E-3</v>
      </c>
      <c r="V73" s="143">
        <f>Mitigation_Industry!$G$363</f>
        <v>1.0536051565782627E-3</v>
      </c>
      <c r="W73" s="143">
        <f>Mitigation_Industry!$G$363</f>
        <v>1.0536051565782627E-3</v>
      </c>
      <c r="X73" s="143">
        <f>Mitigation_Industry!$G$363</f>
        <v>1.0536051565782627E-3</v>
      </c>
      <c r="Y73" s="143">
        <f>Mitigation_Industry!$G$363</f>
        <v>1.0536051565782627E-3</v>
      </c>
      <c r="Z73" s="143">
        <f>Mitigation_Industry!$G$363</f>
        <v>1.0536051565782627E-3</v>
      </c>
      <c r="AA73" s="143">
        <f>Mitigation_Industry!$G$363</f>
        <v>1.0536051565782627E-3</v>
      </c>
      <c r="AB73" s="143">
        <f>Mitigation_Industry!$G$363</f>
        <v>1.0536051565782627E-3</v>
      </c>
      <c r="AC73" s="143">
        <f>Mitigation_Industry!$G$363</f>
        <v>1.0536051565782627E-3</v>
      </c>
      <c r="AD73" s="143">
        <f>Mitigation_Industry!$G$363</f>
        <v>1.0536051565782627E-3</v>
      </c>
      <c r="AE73" s="143">
        <f>Mitigation_Industry!$G$363</f>
        <v>1.0536051565782627E-3</v>
      </c>
      <c r="AF73" s="142"/>
      <c r="AG73" s="142"/>
      <c r="AH73" s="142"/>
      <c r="AI73" s="142"/>
    </row>
    <row r="74" spans="2:35" customFormat="1" ht="14.25" x14ac:dyDescent="0.45">
      <c r="B74" s="14" t="s">
        <v>2610</v>
      </c>
      <c r="C74" s="14" t="s">
        <v>43</v>
      </c>
      <c r="D74" s="15" t="s">
        <v>2656</v>
      </c>
      <c r="E74" s="16" t="s">
        <v>2636</v>
      </c>
      <c r="F74" s="14" t="s">
        <v>2645</v>
      </c>
      <c r="G74" s="17"/>
      <c r="H74" s="129" t="str">
        <f>Settings!$B$3&amp;".mit.bp.stl.scr.no.1"</f>
        <v>egy.mit.bp.stl.scr.no.1</v>
      </c>
      <c r="K74" s="140"/>
      <c r="L74" s="143">
        <f>Mitigation_Industry!$G$364</f>
        <v>2.0202707317519466E-4</v>
      </c>
      <c r="M74" s="143">
        <f>Mitigation_Industry!$G$364</f>
        <v>2.0202707317519466E-4</v>
      </c>
      <c r="N74" s="143">
        <f>Mitigation_Industry!$G$364</f>
        <v>2.0202707317519466E-4</v>
      </c>
      <c r="O74" s="143">
        <f>Mitigation_Industry!$G$364</f>
        <v>2.0202707317519466E-4</v>
      </c>
      <c r="P74" s="143">
        <f>Mitigation_Industry!$G$364</f>
        <v>2.0202707317519466E-4</v>
      </c>
      <c r="Q74" s="143">
        <f>Mitigation_Industry!$G$364</f>
        <v>2.0202707317519466E-4</v>
      </c>
      <c r="R74" s="143">
        <f>Mitigation_Industry!$G$364</f>
        <v>2.0202707317519466E-4</v>
      </c>
      <c r="S74" s="143">
        <f>Mitigation_Industry!$G$364</f>
        <v>2.0202707317519466E-4</v>
      </c>
      <c r="T74" s="143">
        <f>Mitigation_Industry!$G$364</f>
        <v>2.0202707317519466E-4</v>
      </c>
      <c r="U74" s="143">
        <f>Mitigation_Industry!$G$364</f>
        <v>2.0202707317519466E-4</v>
      </c>
      <c r="V74" s="143">
        <f>Mitigation_Industry!$G$364</f>
        <v>2.0202707317519466E-4</v>
      </c>
      <c r="W74" s="143">
        <f>Mitigation_Industry!$G$364</f>
        <v>2.0202707317519466E-4</v>
      </c>
      <c r="X74" s="143">
        <f>Mitigation_Industry!$G$364</f>
        <v>2.0202707317519466E-4</v>
      </c>
      <c r="Y74" s="143">
        <f>Mitigation_Industry!$G$364</f>
        <v>2.0202707317519466E-4</v>
      </c>
      <c r="Z74" s="143">
        <f>Mitigation_Industry!$G$364</f>
        <v>2.0202707317519466E-4</v>
      </c>
      <c r="AA74" s="143">
        <f>Mitigation_Industry!$G$364</f>
        <v>2.0202707317519466E-4</v>
      </c>
      <c r="AB74" s="143">
        <f>Mitigation_Industry!$G$364</f>
        <v>2.0202707317519466E-4</v>
      </c>
      <c r="AC74" s="143">
        <f>Mitigation_Industry!$G$364</f>
        <v>2.0202707317519466E-4</v>
      </c>
      <c r="AD74" s="143">
        <f>Mitigation_Industry!$G$364</f>
        <v>2.0202707317519466E-4</v>
      </c>
      <c r="AE74" s="143">
        <f>Mitigation_Industry!$G$364</f>
        <v>2.0202707317519466E-4</v>
      </c>
      <c r="AF74" s="142"/>
      <c r="AG74" s="142"/>
      <c r="AH74" s="142"/>
      <c r="AI74" s="142"/>
    </row>
    <row r="75" spans="2:35" customFormat="1" ht="14.25" x14ac:dyDescent="0.45">
      <c r="B75" s="14" t="s">
        <v>2612</v>
      </c>
      <c r="C75" s="14" t="s">
        <v>43</v>
      </c>
      <c r="D75" s="15" t="s">
        <v>2657</v>
      </c>
      <c r="E75" s="16" t="s">
        <v>2636</v>
      </c>
      <c r="F75" s="14" t="s">
        <v>2645</v>
      </c>
      <c r="G75" s="17"/>
      <c r="H75" s="129" t="str">
        <f>Settings!$B$3&amp;".mit.bp.stl.bof.no.1"</f>
        <v>egy.mit.bp.stl.bof.no.1</v>
      </c>
      <c r="K75" s="140"/>
      <c r="L75" s="143">
        <f>Mitigation_Industry!$G$365</f>
        <v>5.1293294387550576E-4</v>
      </c>
      <c r="M75" s="143">
        <f>Mitigation_Industry!$G$365</f>
        <v>5.1293294387550576E-4</v>
      </c>
      <c r="N75" s="143">
        <f>Mitigation_Industry!$G$365</f>
        <v>5.1293294387550576E-4</v>
      </c>
      <c r="O75" s="143">
        <f>Mitigation_Industry!$G$365</f>
        <v>5.1293294387550576E-4</v>
      </c>
      <c r="P75" s="143">
        <f>Mitigation_Industry!$G$365</f>
        <v>5.1293294387550576E-4</v>
      </c>
      <c r="Q75" s="143">
        <f>Mitigation_Industry!$G$365</f>
        <v>5.1293294387550576E-4</v>
      </c>
      <c r="R75" s="143">
        <f>Mitigation_Industry!$G$365</f>
        <v>5.1293294387550576E-4</v>
      </c>
      <c r="S75" s="143">
        <f>Mitigation_Industry!$G$365</f>
        <v>5.1293294387550576E-4</v>
      </c>
      <c r="T75" s="143">
        <f>Mitigation_Industry!$G$365</f>
        <v>5.1293294387550576E-4</v>
      </c>
      <c r="U75" s="143">
        <f>Mitigation_Industry!$G$365</f>
        <v>5.1293294387550576E-4</v>
      </c>
      <c r="V75" s="143">
        <f>Mitigation_Industry!$G$365</f>
        <v>5.1293294387550576E-4</v>
      </c>
      <c r="W75" s="143">
        <f>Mitigation_Industry!$G$365</f>
        <v>5.1293294387550576E-4</v>
      </c>
      <c r="X75" s="143">
        <f>Mitigation_Industry!$G$365</f>
        <v>5.1293294387550576E-4</v>
      </c>
      <c r="Y75" s="143">
        <f>Mitigation_Industry!$G$365</f>
        <v>5.1293294387550576E-4</v>
      </c>
      <c r="Z75" s="143">
        <f>Mitigation_Industry!$G$365</f>
        <v>5.1293294387550576E-4</v>
      </c>
      <c r="AA75" s="143">
        <f>Mitigation_Industry!$G$365</f>
        <v>5.1293294387550576E-4</v>
      </c>
      <c r="AB75" s="143">
        <f>Mitigation_Industry!$G$365</f>
        <v>5.1293294387550576E-4</v>
      </c>
      <c r="AC75" s="143">
        <f>Mitigation_Industry!$G$365</f>
        <v>5.1293294387550576E-4</v>
      </c>
      <c r="AD75" s="143">
        <f>Mitigation_Industry!$G$365</f>
        <v>5.1293294387550576E-4</v>
      </c>
      <c r="AE75" s="143">
        <f>Mitigation_Industry!$G$365</f>
        <v>5.1293294387550576E-4</v>
      </c>
      <c r="AF75" s="142"/>
      <c r="AG75" s="142"/>
      <c r="AH75" s="142"/>
      <c r="AI75" s="142"/>
    </row>
    <row r="76" spans="2:35" customFormat="1" ht="14.25" x14ac:dyDescent="0.45">
      <c r="B76" s="14" t="s">
        <v>2614</v>
      </c>
      <c r="C76" s="14" t="s">
        <v>113</v>
      </c>
      <c r="D76" s="15" t="s">
        <v>2658</v>
      </c>
      <c r="E76" s="16" t="s">
        <v>2636</v>
      </c>
      <c r="F76" s="14" t="s">
        <v>2645</v>
      </c>
      <c r="G76" s="17"/>
      <c r="H76" s="129" t="str">
        <f>Settings!$B$3&amp;".mit.bp.cmt.dry.no.1"</f>
        <v>egy.mit.bp.cmt.dry.no.1</v>
      </c>
      <c r="K76" s="140"/>
      <c r="L76" s="143">
        <f>Mitigation_Industry!$G$366</f>
        <v>8.338160893905101E-4</v>
      </c>
      <c r="M76" s="143">
        <f>Mitigation_Industry!$G$366</f>
        <v>8.338160893905101E-4</v>
      </c>
      <c r="N76" s="143">
        <f>Mitigation_Industry!$G$366</f>
        <v>8.338160893905101E-4</v>
      </c>
      <c r="O76" s="143">
        <f>Mitigation_Industry!$G$366</f>
        <v>8.338160893905101E-4</v>
      </c>
      <c r="P76" s="143">
        <f>Mitigation_Industry!$G$366</f>
        <v>8.338160893905101E-4</v>
      </c>
      <c r="Q76" s="143">
        <f>Mitigation_Industry!$G$366</f>
        <v>8.338160893905101E-4</v>
      </c>
      <c r="R76" s="143">
        <f>Mitigation_Industry!$G$366</f>
        <v>8.338160893905101E-4</v>
      </c>
      <c r="S76" s="143">
        <f>Mitigation_Industry!$G$366</f>
        <v>8.338160893905101E-4</v>
      </c>
      <c r="T76" s="143">
        <f>Mitigation_Industry!$G$366</f>
        <v>8.338160893905101E-4</v>
      </c>
      <c r="U76" s="143">
        <f>Mitigation_Industry!$G$366</f>
        <v>8.338160893905101E-4</v>
      </c>
      <c r="V76" s="143">
        <f>Mitigation_Industry!$G$366</f>
        <v>8.338160893905101E-4</v>
      </c>
      <c r="W76" s="143">
        <f>Mitigation_Industry!$G$366</f>
        <v>8.338160893905101E-4</v>
      </c>
      <c r="X76" s="143">
        <f>Mitigation_Industry!$G$366</f>
        <v>8.338160893905101E-4</v>
      </c>
      <c r="Y76" s="143">
        <f>Mitigation_Industry!$G$366</f>
        <v>8.338160893905101E-4</v>
      </c>
      <c r="Z76" s="143">
        <f>Mitigation_Industry!$G$366</f>
        <v>8.338160893905101E-4</v>
      </c>
      <c r="AA76" s="143">
        <f>Mitigation_Industry!$G$366</f>
        <v>8.338160893905101E-4</v>
      </c>
      <c r="AB76" s="143">
        <f>Mitigation_Industry!$G$366</f>
        <v>8.338160893905101E-4</v>
      </c>
      <c r="AC76" s="143">
        <f>Mitigation_Industry!$G$366</f>
        <v>8.338160893905101E-4</v>
      </c>
      <c r="AD76" s="143">
        <f>Mitigation_Industry!$G$366</f>
        <v>8.338160893905101E-4</v>
      </c>
      <c r="AE76" s="143">
        <f>Mitigation_Industry!$G$366</f>
        <v>8.338160893905101E-4</v>
      </c>
      <c r="AF76" s="142"/>
      <c r="AG76" s="142"/>
      <c r="AH76" s="142"/>
      <c r="AI76" s="142"/>
    </row>
    <row r="77" spans="2:35" customFormat="1" ht="14.25" x14ac:dyDescent="0.45">
      <c r="B77" s="14" t="s">
        <v>2616</v>
      </c>
      <c r="C77" s="14" t="s">
        <v>117</v>
      </c>
      <c r="D77" s="15" t="s">
        <v>2659</v>
      </c>
      <c r="E77" s="16" t="s">
        <v>2636</v>
      </c>
      <c r="F77" s="14" t="s">
        <v>2645</v>
      </c>
      <c r="G77" s="17"/>
      <c r="H77" s="129" t="str">
        <f>Settings!$B$3&amp;".mit.bp.frt.amc.no.1"</f>
        <v>egy.mit.bp.frt.amc.no.1</v>
      </c>
      <c r="K77" s="140"/>
      <c r="L77" s="143">
        <f>Mitigation_Industry!$G$367</f>
        <v>1.9845093872383817E-3</v>
      </c>
      <c r="M77" s="143">
        <f>Mitigation_Industry!$G$367</f>
        <v>1.9845093872383817E-3</v>
      </c>
      <c r="N77" s="143">
        <f>Mitigation_Industry!$G$367</f>
        <v>1.9845093872383817E-3</v>
      </c>
      <c r="O77" s="143">
        <f>Mitigation_Industry!$G$367</f>
        <v>1.9845093872383817E-3</v>
      </c>
      <c r="P77" s="143">
        <f>Mitigation_Industry!$G$367</f>
        <v>1.9845093872383817E-3</v>
      </c>
      <c r="Q77" s="143">
        <f>Mitigation_Industry!$G$367</f>
        <v>1.9845093872383817E-3</v>
      </c>
      <c r="R77" s="143">
        <f>Mitigation_Industry!$G$367</f>
        <v>1.9845093872383817E-3</v>
      </c>
      <c r="S77" s="143">
        <f>Mitigation_Industry!$G$367</f>
        <v>1.9845093872383817E-3</v>
      </c>
      <c r="T77" s="143">
        <f>Mitigation_Industry!$G$367</f>
        <v>1.9845093872383817E-3</v>
      </c>
      <c r="U77" s="143">
        <f>Mitigation_Industry!$G$367</f>
        <v>1.9845093872383817E-3</v>
      </c>
      <c r="V77" s="143">
        <f>Mitigation_Industry!$G$367</f>
        <v>1.9845093872383817E-3</v>
      </c>
      <c r="W77" s="143">
        <f>Mitigation_Industry!$G$367</f>
        <v>1.9845093872383817E-3</v>
      </c>
      <c r="X77" s="143">
        <f>Mitigation_Industry!$G$367</f>
        <v>1.9845093872383817E-3</v>
      </c>
      <c r="Y77" s="143">
        <f>Mitigation_Industry!$G$367</f>
        <v>1.9845093872383817E-3</v>
      </c>
      <c r="Z77" s="143">
        <f>Mitigation_Industry!$G$367</f>
        <v>1.9845093872383817E-3</v>
      </c>
      <c r="AA77" s="143">
        <f>Mitigation_Industry!$G$367</f>
        <v>1.9845093872383817E-3</v>
      </c>
      <c r="AB77" s="143">
        <f>Mitigation_Industry!$G$367</f>
        <v>1.9845093872383817E-3</v>
      </c>
      <c r="AC77" s="143">
        <f>Mitigation_Industry!$G$367</f>
        <v>1.9845093872383817E-3</v>
      </c>
      <c r="AD77" s="143">
        <f>Mitigation_Industry!$G$367</f>
        <v>1.9845093872383817E-3</v>
      </c>
      <c r="AE77" s="143">
        <f>Mitigation_Industry!$G$367</f>
        <v>1.9845093872383817E-3</v>
      </c>
      <c r="AF77" s="142"/>
      <c r="AG77" s="142"/>
      <c r="AH77" s="142"/>
      <c r="AI77" s="142"/>
    </row>
    <row r="78" spans="2:35" customFormat="1" ht="14.25" x14ac:dyDescent="0.45">
      <c r="B78" s="14" t="s">
        <v>2618</v>
      </c>
      <c r="C78" s="14" t="s">
        <v>117</v>
      </c>
      <c r="D78" s="15" t="s">
        <v>2660</v>
      </c>
      <c r="E78" s="16" t="s">
        <v>2636</v>
      </c>
      <c r="F78" s="14" t="s">
        <v>2645</v>
      </c>
      <c r="G78" s="17"/>
      <c r="H78" s="129" t="str">
        <f>Settings!$B$3&amp;".mit.bp.frt.ure.no.1"</f>
        <v>egy.mit.bp.frt.ure.no.1</v>
      </c>
      <c r="K78" s="140"/>
      <c r="L78" s="143">
        <f>Mitigation_Industry!$G$368</f>
        <v>0</v>
      </c>
      <c r="M78" s="143">
        <f>Mitigation_Industry!$G$368</f>
        <v>0</v>
      </c>
      <c r="N78" s="143">
        <f>Mitigation_Industry!$G$368</f>
        <v>0</v>
      </c>
      <c r="O78" s="143">
        <f>Mitigation_Industry!$G$368</f>
        <v>0</v>
      </c>
      <c r="P78" s="143">
        <f>Mitigation_Industry!$G$368</f>
        <v>0</v>
      </c>
      <c r="Q78" s="143">
        <f>Mitigation_Industry!$G$368</f>
        <v>0</v>
      </c>
      <c r="R78" s="143">
        <f>Mitigation_Industry!$G$368</f>
        <v>0</v>
      </c>
      <c r="S78" s="143">
        <f>Mitigation_Industry!$G$368</f>
        <v>0</v>
      </c>
      <c r="T78" s="143">
        <f>Mitigation_Industry!$G$368</f>
        <v>0</v>
      </c>
      <c r="U78" s="143">
        <f>Mitigation_Industry!$G$368</f>
        <v>0</v>
      </c>
      <c r="V78" s="143">
        <f>Mitigation_Industry!$G$368</f>
        <v>0</v>
      </c>
      <c r="W78" s="143">
        <f>Mitigation_Industry!$G$368</f>
        <v>0</v>
      </c>
      <c r="X78" s="143">
        <f>Mitigation_Industry!$G$368</f>
        <v>0</v>
      </c>
      <c r="Y78" s="143">
        <f>Mitigation_Industry!$G$368</f>
        <v>0</v>
      </c>
      <c r="Z78" s="143">
        <f>Mitigation_Industry!$G$368</f>
        <v>0</v>
      </c>
      <c r="AA78" s="143">
        <f>Mitigation_Industry!$G$368</f>
        <v>0</v>
      </c>
      <c r="AB78" s="143">
        <f>Mitigation_Industry!$G$368</f>
        <v>0</v>
      </c>
      <c r="AC78" s="143">
        <f>Mitigation_Industry!$G$368</f>
        <v>0</v>
      </c>
      <c r="AD78" s="143">
        <f>Mitigation_Industry!$G$368</f>
        <v>0</v>
      </c>
      <c r="AE78" s="143">
        <f>Mitigation_Industry!$G$368</f>
        <v>0</v>
      </c>
      <c r="AF78" s="142"/>
      <c r="AG78" s="142"/>
      <c r="AH78" s="142"/>
      <c r="AI78" s="142"/>
    </row>
    <row r="79" spans="2:35" customFormat="1" ht="14.25" x14ac:dyDescent="0.45">
      <c r="B79" s="14" t="s">
        <v>2620</v>
      </c>
      <c r="C79" s="14" t="s">
        <v>117</v>
      </c>
      <c r="D79" s="15" t="s">
        <v>2661</v>
      </c>
      <c r="E79" s="16" t="s">
        <v>2636</v>
      </c>
      <c r="F79" s="14" t="s">
        <v>2645</v>
      </c>
      <c r="G79" s="17"/>
      <c r="H79" s="129" t="str">
        <f>Settings!$B$3&amp;".mit.bp.frt.nit.no.1"</f>
        <v>egy.mit.bp.frt.nit.no.1</v>
      </c>
      <c r="K79" s="140"/>
      <c r="L79" s="143">
        <f>Mitigation_Industry!$G$369</f>
        <v>1.0498221244986778E-2</v>
      </c>
      <c r="M79" s="143">
        <f>Mitigation_Industry!$G$369</f>
        <v>1.0498221244986778E-2</v>
      </c>
      <c r="N79" s="143">
        <f>Mitigation_Industry!$G$369</f>
        <v>1.0498221244986778E-2</v>
      </c>
      <c r="O79" s="143">
        <f>Mitigation_Industry!$G$369</f>
        <v>1.0498221244986778E-2</v>
      </c>
      <c r="P79" s="143">
        <f>Mitigation_Industry!$G$369</f>
        <v>1.0498221244986778E-2</v>
      </c>
      <c r="Q79" s="143">
        <f>Mitigation_Industry!$G$369</f>
        <v>1.0498221244986778E-2</v>
      </c>
      <c r="R79" s="143">
        <f>Mitigation_Industry!$G$369</f>
        <v>1.0498221244986778E-2</v>
      </c>
      <c r="S79" s="143">
        <f>Mitigation_Industry!$G$369</f>
        <v>1.0498221244986778E-2</v>
      </c>
      <c r="T79" s="143">
        <f>Mitigation_Industry!$G$369</f>
        <v>1.0498221244986778E-2</v>
      </c>
      <c r="U79" s="143">
        <f>Mitigation_Industry!$G$369</f>
        <v>1.0498221244986778E-2</v>
      </c>
      <c r="V79" s="143">
        <f>Mitigation_Industry!$G$369</f>
        <v>1.0498221244986778E-2</v>
      </c>
      <c r="W79" s="143">
        <f>Mitigation_Industry!$G$369</f>
        <v>1.0498221244986778E-2</v>
      </c>
      <c r="X79" s="143">
        <f>Mitigation_Industry!$G$369</f>
        <v>1.0498221244986778E-2</v>
      </c>
      <c r="Y79" s="143">
        <f>Mitigation_Industry!$G$369</f>
        <v>1.0498221244986778E-2</v>
      </c>
      <c r="Z79" s="143">
        <f>Mitigation_Industry!$G$369</f>
        <v>1.0498221244986778E-2</v>
      </c>
      <c r="AA79" s="143">
        <f>Mitigation_Industry!$G$369</f>
        <v>1.0498221244986778E-2</v>
      </c>
      <c r="AB79" s="143">
        <f>Mitigation_Industry!$G$369</f>
        <v>1.0498221244986778E-2</v>
      </c>
      <c r="AC79" s="143">
        <f>Mitigation_Industry!$G$369</f>
        <v>1.0498221244986778E-2</v>
      </c>
      <c r="AD79" s="143">
        <f>Mitigation_Industry!$G$369</f>
        <v>1.0498221244986778E-2</v>
      </c>
      <c r="AE79" s="143">
        <f>Mitigation_Industry!$G$369</f>
        <v>1.0498221244986778E-2</v>
      </c>
      <c r="AF79" s="142"/>
      <c r="AG79" s="142"/>
      <c r="AH79" s="142"/>
      <c r="AI79" s="142"/>
    </row>
    <row r="80" spans="2:35" customFormat="1" ht="14.25" x14ac:dyDescent="0.45">
      <c r="B80" s="14" t="s">
        <v>2622</v>
      </c>
      <c r="C80" s="14" t="s">
        <v>115</v>
      </c>
      <c r="D80" s="15" t="s">
        <v>2662</v>
      </c>
      <c r="E80" s="16" t="s">
        <v>2636</v>
      </c>
      <c r="F80" s="14" t="s">
        <v>2645</v>
      </c>
      <c r="G80" s="17"/>
      <c r="H80" s="129" t="str">
        <f>Settings!$B$3&amp;".mit.bp.alu.prp.no.1"</f>
        <v>egy.mit.bp.alu.prp.no.1</v>
      </c>
      <c r="K80" s="140"/>
      <c r="L80" s="143">
        <f>Mitigation_Industry!$G$370</f>
        <v>8.338160893905101E-4</v>
      </c>
      <c r="M80" s="143">
        <f>Mitigation_Industry!$G$370</f>
        <v>8.338160893905101E-4</v>
      </c>
      <c r="N80" s="143">
        <f>Mitigation_Industry!$G$370</f>
        <v>8.338160893905101E-4</v>
      </c>
      <c r="O80" s="143">
        <f>Mitigation_Industry!$G$370</f>
        <v>8.338160893905101E-4</v>
      </c>
      <c r="P80" s="143">
        <f>Mitigation_Industry!$G$370</f>
        <v>8.338160893905101E-4</v>
      </c>
      <c r="Q80" s="143">
        <f>Mitigation_Industry!$G$370</f>
        <v>8.338160893905101E-4</v>
      </c>
      <c r="R80" s="143">
        <f>Mitigation_Industry!$G$370</f>
        <v>8.338160893905101E-4</v>
      </c>
      <c r="S80" s="143">
        <f>Mitigation_Industry!$G$370</f>
        <v>8.338160893905101E-4</v>
      </c>
      <c r="T80" s="143">
        <f>Mitigation_Industry!$G$370</f>
        <v>8.338160893905101E-4</v>
      </c>
      <c r="U80" s="143">
        <f>Mitigation_Industry!$G$370</f>
        <v>8.338160893905101E-4</v>
      </c>
      <c r="V80" s="143">
        <f>Mitigation_Industry!$G$370</f>
        <v>8.338160893905101E-4</v>
      </c>
      <c r="W80" s="143">
        <f>Mitigation_Industry!$G$370</f>
        <v>8.338160893905101E-4</v>
      </c>
      <c r="X80" s="143">
        <f>Mitigation_Industry!$G$370</f>
        <v>8.338160893905101E-4</v>
      </c>
      <c r="Y80" s="143">
        <f>Mitigation_Industry!$G$370</f>
        <v>8.338160893905101E-4</v>
      </c>
      <c r="Z80" s="143">
        <f>Mitigation_Industry!$G$370</f>
        <v>8.338160893905101E-4</v>
      </c>
      <c r="AA80" s="143">
        <f>Mitigation_Industry!$G$370</f>
        <v>8.338160893905101E-4</v>
      </c>
      <c r="AB80" s="143">
        <f>Mitigation_Industry!$G$370</f>
        <v>8.338160893905101E-4</v>
      </c>
      <c r="AC80" s="143">
        <f>Mitigation_Industry!$G$370</f>
        <v>8.338160893905101E-4</v>
      </c>
      <c r="AD80" s="143">
        <f>Mitigation_Industry!$G$370</f>
        <v>8.338160893905101E-4</v>
      </c>
      <c r="AE80" s="143">
        <f>Mitigation_Industry!$G$370</f>
        <v>8.338160893905101E-4</v>
      </c>
      <c r="AF80" s="142"/>
      <c r="AG80" s="142"/>
      <c r="AH80" s="142"/>
      <c r="AI80" s="142"/>
    </row>
    <row r="81" spans="1:35" x14ac:dyDescent="0.35"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</row>
    <row r="82" spans="1:35" customFormat="1" ht="14.25" x14ac:dyDescent="0.45">
      <c r="A82" s="11"/>
      <c r="B82" s="6"/>
      <c r="C82" s="7" t="s">
        <v>2663</v>
      </c>
      <c r="D82" s="6" t="s">
        <v>1504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8">
        <v>2021</v>
      </c>
      <c r="L82" s="139">
        <v>2022</v>
      </c>
      <c r="M82" s="138">
        <v>2023</v>
      </c>
      <c r="N82" s="138">
        <v>2024</v>
      </c>
      <c r="O82" s="138">
        <v>2025</v>
      </c>
      <c r="P82" s="138">
        <v>2026</v>
      </c>
      <c r="Q82" s="138">
        <v>2027</v>
      </c>
      <c r="R82" s="138">
        <v>2028</v>
      </c>
      <c r="S82" s="138">
        <v>2029</v>
      </c>
      <c r="T82" s="138">
        <v>2030</v>
      </c>
      <c r="U82" s="138">
        <v>2031</v>
      </c>
      <c r="V82" s="138">
        <v>2032</v>
      </c>
      <c r="W82" s="138">
        <v>2033</v>
      </c>
      <c r="X82" s="138">
        <v>2034</v>
      </c>
      <c r="Y82" s="138">
        <v>2035</v>
      </c>
      <c r="Z82" s="138">
        <v>2036</v>
      </c>
      <c r="AA82" s="138">
        <v>2037</v>
      </c>
      <c r="AB82" s="138">
        <v>2038</v>
      </c>
      <c r="AC82" s="138">
        <v>2039</v>
      </c>
      <c r="AD82" s="138">
        <v>2040</v>
      </c>
      <c r="AE82" s="138">
        <v>2041</v>
      </c>
      <c r="AF82" s="138">
        <v>2042</v>
      </c>
      <c r="AG82" s="138">
        <v>2043</v>
      </c>
      <c r="AH82" s="138">
        <v>2044</v>
      </c>
      <c r="AI82" s="138">
        <v>2045</v>
      </c>
    </row>
    <row r="83" spans="1:35" customFormat="1" ht="14.25" x14ac:dyDescent="0.45">
      <c r="B83" s="14" t="s">
        <v>2591</v>
      </c>
      <c r="C83" s="14" t="s">
        <v>43</v>
      </c>
      <c r="D83" s="15" t="s">
        <v>2664</v>
      </c>
      <c r="E83" s="16" t="s">
        <v>2094</v>
      </c>
      <c r="F83" s="14" t="s">
        <v>2663</v>
      </c>
      <c r="G83" s="17"/>
      <c r="H83" s="129" t="str">
        <f>Settings!$B$3&amp;".mit.wm.stl.drg.np.1"</f>
        <v>egy.mit.wm.stl.drg.np.1</v>
      </c>
      <c r="I83" t="s">
        <v>2665</v>
      </c>
      <c r="K83" s="140"/>
      <c r="L83" s="141">
        <f>Mitigation_Industry!L$276*Mitigation_Industry!$J$273*MAX(Mitigation_Industry!$J$264,0)*Mitigation_Industry!$F$363/1000</f>
        <v>0.18716695292200644</v>
      </c>
      <c r="M83" s="141">
        <f>Mitigation_Industry!M$276*Mitigation_Industry!$J$273*MAX(Mitigation_Industry!$J$264,0)*Mitigation_Industry!$F$363/1000</f>
        <v>0.1954022988505747</v>
      </c>
      <c r="N83" s="141">
        <f>Mitigation_Industry!N$276*Mitigation_Industry!$J$273*MAX(Mitigation_Industry!$J$264,0)*Mitigation_Industry!$F$363/1000</f>
        <v>0.20399999999999999</v>
      </c>
      <c r="O83" s="141">
        <f>Mitigation_Industry!O$276*Mitigation_Industry!$J$273*MAX(Mitigation_Industry!$J$264,0)*Mitigation_Industry!$F$363/1000</f>
        <v>0.21297600000000003</v>
      </c>
      <c r="P83" s="141">
        <f>Mitigation_Industry!P$276*Mitigation_Industry!$J$273*MAX(Mitigation_Industry!$J$264,0)*Mitigation_Industry!$F$363/1000</f>
        <v>0.22234694400000002</v>
      </c>
      <c r="Q83" s="141">
        <f>Mitigation_Industry!Q$276*Mitigation_Industry!$J$273*MAX(Mitigation_Industry!$J$264,0)*Mitigation_Industry!$F$363/1000</f>
        <v>0.23213020953600005</v>
      </c>
      <c r="R83" s="141">
        <f>Mitigation_Industry!R$276*Mitigation_Industry!$J$273*MAX(Mitigation_Industry!$J$264,0)*Mitigation_Industry!$F$363/1000</f>
        <v>0.24234393875558402</v>
      </c>
      <c r="S83" s="141">
        <f>Mitigation_Industry!S$276*Mitigation_Industry!$J$273*MAX(Mitigation_Industry!$J$264,0)*Mitigation_Industry!$F$363/1000</f>
        <v>0.25300707206082967</v>
      </c>
      <c r="T83" s="141">
        <f>Mitigation_Industry!T$276*Mitigation_Industry!$J$273*MAX(Mitigation_Industry!$J$264,0)*Mitigation_Industry!$F$363/1000</f>
        <v>0.26413938323150626</v>
      </c>
      <c r="U83" s="141">
        <f>Mitigation_Industry!U$276*Mitigation_Industry!$J$273*MAX(Mitigation_Industry!$J$264,0)*Mitigation_Industry!$F$363/1000</f>
        <v>0.27576151609369254</v>
      </c>
      <c r="V83" s="141">
        <f>Mitigation_Industry!V$276*Mitigation_Industry!$J$273*MAX(Mitigation_Industry!$J$264,0)*Mitigation_Industry!$F$363/1000</f>
        <v>0.287895022801815</v>
      </c>
      <c r="W83" s="141">
        <f>Mitigation_Industry!W$276*Mitigation_Industry!$J$273*MAX(Mitigation_Industry!$J$264,0)*Mitigation_Industry!$F$363/1000</f>
        <v>0.30056240380509491</v>
      </c>
      <c r="X83" s="141">
        <f>Mitigation_Industry!X$276*Mitigation_Industry!$J$273*MAX(Mitigation_Industry!$J$264,0)*Mitigation_Industry!$F$363/1000</f>
        <v>0.31378714957251908</v>
      </c>
      <c r="Y83" s="141">
        <f>Mitigation_Industry!Y$276*Mitigation_Industry!$J$273*MAX(Mitigation_Industry!$J$264,0)*Mitigation_Industry!$F$363/1000</f>
        <v>0.32759378415370993</v>
      </c>
      <c r="Z83" s="141">
        <f>Mitigation_Industry!Z$276*Mitigation_Industry!$J$273*MAX(Mitigation_Industry!$J$264,0)*Mitigation_Industry!$F$363/1000</f>
        <v>0.34200791065647307</v>
      </c>
      <c r="AA83" s="141">
        <f>Mitigation_Industry!AA$276*Mitigation_Industry!$J$273*MAX(Mitigation_Industry!$J$264,0)*Mitigation_Industry!$F$363/1000</f>
        <v>0.3570562587253579</v>
      </c>
      <c r="AB83" s="141">
        <f>Mitigation_Industry!AB$276*Mitigation_Industry!$J$273*MAX(Mitigation_Industry!$J$264,0)*Mitigation_Industry!$F$363/1000</f>
        <v>0.37276673410927375</v>
      </c>
      <c r="AC83" s="141">
        <f>Mitigation_Industry!AC$276*Mitigation_Industry!$J$273*MAX(Mitigation_Industry!$J$264,0)*Mitigation_Industry!$F$363/1000</f>
        <v>0.38916847041008179</v>
      </c>
      <c r="AD83" s="141">
        <f>Mitigation_Industry!AD$276*Mitigation_Industry!$J$273*MAX(Mitigation_Industry!$J$264,0)*Mitigation_Industry!$F$363/1000</f>
        <v>0.40629188310812531</v>
      </c>
      <c r="AE83" s="141">
        <f>Mitigation_Industry!AE$276*Mitigation_Industry!$J$273*MAX(Mitigation_Industry!$J$264,0)*Mitigation_Industry!$F$363/1000</f>
        <v>0.42416872596488286</v>
      </c>
      <c r="AF83" s="142"/>
      <c r="AG83" s="142"/>
      <c r="AH83" s="142"/>
      <c r="AI83" s="142"/>
    </row>
    <row r="84" spans="1:35" customFormat="1" ht="14.25" x14ac:dyDescent="0.45">
      <c r="B84" s="14" t="s">
        <v>2594</v>
      </c>
      <c r="C84" s="14" t="s">
        <v>43</v>
      </c>
      <c r="D84" s="15" t="s">
        <v>2666</v>
      </c>
      <c r="E84" s="16" t="s">
        <v>2094</v>
      </c>
      <c r="F84" s="14" t="s">
        <v>2663</v>
      </c>
      <c r="G84" s="17"/>
      <c r="H84" s="129" t="str">
        <f>Settings!$B$3&amp;".mit.wm.stl.scr.np.1"</f>
        <v>egy.mit.wm.stl.scr.np.1</v>
      </c>
      <c r="K84" s="140"/>
      <c r="L84" s="141">
        <f>Mitigation_Industry!L$277*Mitigation_Industry!$J$273*MAX(Mitigation_Industry!$J$265,0)*Mitigation_Industry!$F$364/1000</f>
        <v>6.6058924560708152E-2</v>
      </c>
      <c r="M84" s="141">
        <f>Mitigation_Industry!M$277*Mitigation_Industry!$J$273*MAX(Mitigation_Industry!$J$265,0)*Mitigation_Industry!$F$364/1000</f>
        <v>6.8965517241379309E-2</v>
      </c>
      <c r="N84" s="141">
        <f>Mitigation_Industry!N$277*Mitigation_Industry!$J$273*MAX(Mitigation_Industry!$J$265,0)*Mitigation_Industry!$F$364/1000</f>
        <v>7.1999999999999995E-2</v>
      </c>
      <c r="O84" s="141">
        <f>Mitigation_Industry!O$277*Mitigation_Industry!$J$273*MAX(Mitigation_Industry!$J$265,0)*Mitigation_Industry!$F$364/1000</f>
        <v>7.5167999999999999E-2</v>
      </c>
      <c r="P84" s="141">
        <f>Mitigation_Industry!P$277*Mitigation_Industry!$J$273*MAX(Mitigation_Industry!$J$265,0)*Mitigation_Industry!$F$364/1000</f>
        <v>7.8475392000000005E-2</v>
      </c>
      <c r="Q84" s="141">
        <f>Mitigation_Industry!Q$277*Mitigation_Industry!$J$273*MAX(Mitigation_Industry!$J$265,0)*Mitigation_Industry!$F$364/1000</f>
        <v>8.1928309248E-2</v>
      </c>
      <c r="R84" s="141">
        <f>Mitigation_Industry!R$277*Mitigation_Industry!$J$273*MAX(Mitigation_Industry!$J$265,0)*Mitigation_Industry!$F$364/1000</f>
        <v>8.5533154854912002E-2</v>
      </c>
      <c r="S84" s="141">
        <f>Mitigation_Industry!S$277*Mitigation_Industry!$J$273*MAX(Mitigation_Industry!$J$265,0)*Mitigation_Industry!$F$364/1000</f>
        <v>8.9296613668528119E-2</v>
      </c>
      <c r="T84" s="141">
        <f>Mitigation_Industry!T$277*Mitigation_Industry!$J$273*MAX(Mitigation_Industry!$J$265,0)*Mitigation_Industry!$F$364/1000</f>
        <v>9.3225664669943364E-2</v>
      </c>
      <c r="U84" s="141">
        <f>Mitigation_Industry!U$277*Mitigation_Industry!$J$273*MAX(Mitigation_Industry!$J$265,0)*Mitigation_Industry!$F$364/1000</f>
        <v>9.732759391542091E-2</v>
      </c>
      <c r="V84" s="141">
        <f>Mitigation_Industry!V$277*Mitigation_Industry!$J$273*MAX(Mitigation_Industry!$J$265,0)*Mitigation_Industry!$F$364/1000</f>
        <v>0.10161000804769942</v>
      </c>
      <c r="W84" s="141">
        <f>Mitigation_Industry!W$277*Mitigation_Industry!$J$273*MAX(Mitigation_Industry!$J$265,0)*Mitigation_Industry!$F$364/1000</f>
        <v>0.1060808484017982</v>
      </c>
      <c r="X84" s="141">
        <f>Mitigation_Industry!X$277*Mitigation_Industry!$J$273*MAX(Mitigation_Industry!$J$265,0)*Mitigation_Industry!$F$364/1000</f>
        <v>0.1107484057314773</v>
      </c>
      <c r="Y84" s="141">
        <f>Mitigation_Industry!Y$277*Mitigation_Industry!$J$273*MAX(Mitigation_Industry!$J$265,0)*Mitigation_Industry!$F$364/1000</f>
        <v>0.11562133558366232</v>
      </c>
      <c r="Z84" s="141">
        <f>Mitigation_Industry!Z$277*Mitigation_Industry!$J$273*MAX(Mitigation_Industry!$J$265,0)*Mitigation_Industry!$F$364/1000</f>
        <v>0.12070867434934346</v>
      </c>
      <c r="AA84" s="141">
        <f>Mitigation_Industry!AA$277*Mitigation_Industry!$J$273*MAX(Mitigation_Industry!$J$265,0)*Mitigation_Industry!$F$364/1000</f>
        <v>0.12601985602071455</v>
      </c>
      <c r="AB84" s="141">
        <f>Mitigation_Industry!AB$277*Mitigation_Industry!$J$273*MAX(Mitigation_Industry!$J$265,0)*Mitigation_Industry!$F$364/1000</f>
        <v>0.13156472968562602</v>
      </c>
      <c r="AC84" s="141">
        <f>Mitigation_Industry!AC$277*Mitigation_Industry!$J$273*MAX(Mitigation_Industry!$J$265,0)*Mitigation_Industry!$F$364/1000</f>
        <v>0.13735357779179355</v>
      </c>
      <c r="AD84" s="141">
        <f>Mitigation_Industry!AD$277*Mitigation_Industry!$J$273*MAX(Mitigation_Industry!$J$265,0)*Mitigation_Industry!$F$364/1000</f>
        <v>0.14339713521463246</v>
      </c>
      <c r="AE84" s="141">
        <f>Mitigation_Industry!AE$277*Mitigation_Industry!$J$273*MAX(Mitigation_Industry!$J$265,0)*Mitigation_Industry!$F$364/1000</f>
        <v>0.1497066091640763</v>
      </c>
      <c r="AF84" s="142"/>
      <c r="AG84" s="142"/>
      <c r="AH84" s="142"/>
      <c r="AI84" s="142"/>
    </row>
    <row r="85" spans="1:35" customFormat="1" ht="14.25" x14ac:dyDescent="0.45">
      <c r="B85" s="14" t="s">
        <v>2596</v>
      </c>
      <c r="C85" s="14" t="s">
        <v>43</v>
      </c>
      <c r="D85" s="15" t="s">
        <v>2667</v>
      </c>
      <c r="E85" s="16" t="s">
        <v>2094</v>
      </c>
      <c r="F85" s="14" t="s">
        <v>2663</v>
      </c>
      <c r="G85" s="17"/>
      <c r="H85" s="129" t="str">
        <f>Settings!$B$3&amp;".mit.wm.stl.bof.np.1"</f>
        <v>egy.mit.wm.stl.bof.np.1</v>
      </c>
      <c r="K85" s="140"/>
      <c r="L85" s="141">
        <f>Mitigation_Industry!L$278*Mitigation_Industry!$J$273*MAX(Mitigation_Industry!$J$266,0)*Mitigation_Industry!$F$365/1000</f>
        <v>0</v>
      </c>
      <c r="M85" s="141">
        <f>Mitigation_Industry!M$278*Mitigation_Industry!$J$273*MAX(Mitigation_Industry!$J$266,0)*Mitigation_Industry!$F$365/1000</f>
        <v>0</v>
      </c>
      <c r="N85" s="141">
        <f>Mitigation_Industry!N$278*Mitigation_Industry!$J$273*MAX(Mitigation_Industry!$J$266,0)*Mitigation_Industry!$F$365/1000</f>
        <v>0</v>
      </c>
      <c r="O85" s="141">
        <f>Mitigation_Industry!O$278*Mitigation_Industry!$J$273*MAX(Mitigation_Industry!$J$266,0)*Mitigation_Industry!$F$365/1000</f>
        <v>0</v>
      </c>
      <c r="P85" s="141">
        <f>Mitigation_Industry!P$278*Mitigation_Industry!$J$273*MAX(Mitigation_Industry!$J$266,0)*Mitigation_Industry!$F$365/1000</f>
        <v>0</v>
      </c>
      <c r="Q85" s="141">
        <f>Mitigation_Industry!Q$278*Mitigation_Industry!$J$273*MAX(Mitigation_Industry!$J$266,0)*Mitigation_Industry!$F$365/1000</f>
        <v>0</v>
      </c>
      <c r="R85" s="141">
        <f>Mitigation_Industry!R$278*Mitigation_Industry!$J$273*MAX(Mitigation_Industry!$J$266,0)*Mitigation_Industry!$F$365/1000</f>
        <v>0</v>
      </c>
      <c r="S85" s="141">
        <f>Mitigation_Industry!S$278*Mitigation_Industry!$J$273*MAX(Mitigation_Industry!$J$266,0)*Mitigation_Industry!$F$365/1000</f>
        <v>0</v>
      </c>
      <c r="T85" s="141">
        <f>Mitigation_Industry!T$278*Mitigation_Industry!$J$273*MAX(Mitigation_Industry!$J$266,0)*Mitigation_Industry!$F$365/1000</f>
        <v>0</v>
      </c>
      <c r="U85" s="141">
        <f>Mitigation_Industry!U$278*Mitigation_Industry!$J$273*MAX(Mitigation_Industry!$J$266,0)*Mitigation_Industry!$F$365/1000</f>
        <v>0</v>
      </c>
      <c r="V85" s="141">
        <f>Mitigation_Industry!V$278*Mitigation_Industry!$J$273*MAX(Mitigation_Industry!$J$266,0)*Mitigation_Industry!$F$365/1000</f>
        <v>0</v>
      </c>
      <c r="W85" s="141">
        <f>Mitigation_Industry!W$278*Mitigation_Industry!$J$273*MAX(Mitigation_Industry!$J$266,0)*Mitigation_Industry!$F$365/1000</f>
        <v>0</v>
      </c>
      <c r="X85" s="141">
        <f>Mitigation_Industry!X$278*Mitigation_Industry!$J$273*MAX(Mitigation_Industry!$J$266,0)*Mitigation_Industry!$F$365/1000</f>
        <v>0</v>
      </c>
      <c r="Y85" s="141">
        <f>Mitigation_Industry!Y$278*Mitigation_Industry!$J$273*MAX(Mitigation_Industry!$J$266,0)*Mitigation_Industry!$F$365/1000</f>
        <v>0</v>
      </c>
      <c r="Z85" s="141">
        <f>Mitigation_Industry!Z$278*Mitigation_Industry!$J$273*MAX(Mitigation_Industry!$J$266,0)*Mitigation_Industry!$F$365/1000</f>
        <v>0</v>
      </c>
      <c r="AA85" s="141">
        <f>Mitigation_Industry!AA$278*Mitigation_Industry!$J$273*MAX(Mitigation_Industry!$J$266,0)*Mitigation_Industry!$F$365/1000</f>
        <v>0</v>
      </c>
      <c r="AB85" s="141">
        <f>Mitigation_Industry!AB$278*Mitigation_Industry!$J$273*MAX(Mitigation_Industry!$J$266,0)*Mitigation_Industry!$F$365/1000</f>
        <v>0</v>
      </c>
      <c r="AC85" s="141">
        <f>Mitigation_Industry!AC$278*Mitigation_Industry!$J$273*MAX(Mitigation_Industry!$J$266,0)*Mitigation_Industry!$F$365/1000</f>
        <v>0</v>
      </c>
      <c r="AD85" s="141">
        <f>Mitigation_Industry!AD$278*Mitigation_Industry!$J$273*MAX(Mitigation_Industry!$J$266,0)*Mitigation_Industry!$F$365/1000</f>
        <v>0</v>
      </c>
      <c r="AE85" s="141">
        <f>Mitigation_Industry!AE$278*Mitigation_Industry!$J$273*MAX(Mitigation_Industry!$J$266,0)*Mitigation_Industry!$F$365/1000</f>
        <v>0</v>
      </c>
      <c r="AF85" s="142"/>
      <c r="AG85" s="142"/>
      <c r="AH85" s="142"/>
      <c r="AI85" s="142"/>
    </row>
    <row r="86" spans="1:35" customFormat="1" ht="14.25" x14ac:dyDescent="0.45">
      <c r="B86" s="14" t="s">
        <v>2598</v>
      </c>
      <c r="C86" s="14" t="s">
        <v>113</v>
      </c>
      <c r="D86" s="15" t="s">
        <v>2668</v>
      </c>
      <c r="E86" s="16" t="s">
        <v>2094</v>
      </c>
      <c r="F86" s="14" t="s">
        <v>2663</v>
      </c>
      <c r="G86" s="17"/>
      <c r="H86" s="129" t="str">
        <f>Settings!$B$3&amp;".mit.wm.cmt.dry.np.1"</f>
        <v>egy.mit.wm.cmt.dry.np.1</v>
      </c>
      <c r="K86" s="140"/>
      <c r="L86" s="141">
        <f>Mitigation_Industry!L$279*Mitigation_Industry!$J$273*MAX(Mitigation_Industry!$J$267,0)*Mitigation_Industry!$F$366/1000</f>
        <v>24.646491529759945</v>
      </c>
      <c r="M86" s="141">
        <f>Mitigation_Industry!M$279*Mitigation_Industry!$J$273*MAX(Mitigation_Industry!$J$267,0)*Mitigation_Industry!$F$366/1000</f>
        <v>25.459825750242022</v>
      </c>
      <c r="N86" s="141">
        <f>Mitigation_Industry!N$279*Mitigation_Industry!$J$273*MAX(Mitigation_Industry!$J$267,0)*Mitigation_Industry!$F$366/1000</f>
        <v>26.3</v>
      </c>
      <c r="O86" s="141">
        <f>Mitigation_Industry!O$279*Mitigation_Industry!$J$273*MAX(Mitigation_Industry!$J$267,0)*Mitigation_Industry!$F$366/1000</f>
        <v>27.167899999999999</v>
      </c>
      <c r="P86" s="141">
        <f>Mitigation_Industry!P$279*Mitigation_Industry!$J$273*MAX(Mitigation_Industry!$J$267,0)*Mitigation_Industry!$F$366/1000</f>
        <v>28.064440699999995</v>
      </c>
      <c r="Q86" s="141">
        <f>Mitigation_Industry!Q$279*Mitigation_Industry!$J$273*MAX(Mitigation_Industry!$J$267,0)*Mitigation_Industry!$F$366/1000</f>
        <v>28.990567243099992</v>
      </c>
      <c r="R86" s="141">
        <f>Mitigation_Industry!R$279*Mitigation_Industry!$J$273*MAX(Mitigation_Industry!$J$267,0)*Mitigation_Industry!$F$366/1000</f>
        <v>29.947255962122291</v>
      </c>
      <c r="S86" s="141">
        <f>Mitigation_Industry!S$279*Mitigation_Industry!$J$273*MAX(Mitigation_Industry!$J$267,0)*Mitigation_Industry!$F$366/1000</f>
        <v>30.935515408872323</v>
      </c>
      <c r="T86" s="141">
        <f>Mitigation_Industry!T$279*Mitigation_Industry!$J$273*MAX(Mitigation_Industry!$J$267,0)*Mitigation_Industry!$F$366/1000</f>
        <v>31.956387417365107</v>
      </c>
      <c r="U86" s="141">
        <f>Mitigation_Industry!U$279*Mitigation_Industry!$J$273*MAX(Mitigation_Industry!$J$267,0)*Mitigation_Industry!$F$366/1000</f>
        <v>33.010948202138145</v>
      </c>
      <c r="V86" s="141">
        <f>Mitigation_Industry!V$279*Mitigation_Industry!$J$273*MAX(Mitigation_Industry!$J$267,0)*Mitigation_Industry!$F$366/1000</f>
        <v>34.100309492808698</v>
      </c>
      <c r="W86" s="141">
        <f>Mitigation_Industry!W$279*Mitigation_Industry!$J$273*MAX(Mitigation_Industry!$J$267,0)*Mitigation_Industry!$F$366/1000</f>
        <v>35.225619706071392</v>
      </c>
      <c r="X86" s="141">
        <f>Mitigation_Industry!X$279*Mitigation_Industry!$J$273*MAX(Mitigation_Industry!$J$267,0)*Mitigation_Industry!$F$366/1000</f>
        <v>36.388065156371731</v>
      </c>
      <c r="Y86" s="141">
        <f>Mitigation_Industry!Y$279*Mitigation_Industry!$J$273*MAX(Mitigation_Industry!$J$267,0)*Mitigation_Industry!$F$366/1000</f>
        <v>37.588871306532006</v>
      </c>
      <c r="Z86" s="141">
        <f>Mitigation_Industry!Z$279*Mitigation_Industry!$J$273*MAX(Mitigation_Industry!$J$267,0)*Mitigation_Industry!$F$366/1000</f>
        <v>38.829304059647555</v>
      </c>
      <c r="AA86" s="141">
        <f>Mitigation_Industry!AA$279*Mitigation_Industry!$J$273*MAX(Mitigation_Industry!$J$267,0)*Mitigation_Industry!$F$366/1000</f>
        <v>40.11067109361592</v>
      </c>
      <c r="AB86" s="141">
        <f>Mitigation_Industry!AB$279*Mitigation_Industry!$J$273*MAX(Mitigation_Industry!$J$267,0)*Mitigation_Industry!$F$366/1000</f>
        <v>41.434323239705236</v>
      </c>
      <c r="AC86" s="141">
        <f>Mitigation_Industry!AC$279*Mitigation_Industry!$J$273*MAX(Mitigation_Industry!$J$267,0)*Mitigation_Industry!$F$366/1000</f>
        <v>42.801655906615501</v>
      </c>
      <c r="AD86" s="141">
        <f>Mitigation_Industry!AD$279*Mitigation_Industry!$J$273*MAX(Mitigation_Industry!$J$267,0)*Mitigation_Industry!$F$366/1000</f>
        <v>44.214110551533814</v>
      </c>
      <c r="AE86" s="141">
        <f>Mitigation_Industry!AE$279*Mitigation_Industry!$J$273*MAX(Mitigation_Industry!$J$267,0)*Mitigation_Industry!$F$366/1000</f>
        <v>45.673176199734421</v>
      </c>
      <c r="AF86" s="142"/>
      <c r="AG86" s="142"/>
      <c r="AH86" s="142"/>
      <c r="AI86" s="142"/>
    </row>
    <row r="87" spans="1:35" customFormat="1" ht="14.25" x14ac:dyDescent="0.45">
      <c r="B87" s="14" t="s">
        <v>2600</v>
      </c>
      <c r="C87" s="14" t="s">
        <v>117</v>
      </c>
      <c r="D87" s="15" t="s">
        <v>2669</v>
      </c>
      <c r="E87" s="16" t="s">
        <v>2094</v>
      </c>
      <c r="F87" s="14" t="s">
        <v>2663</v>
      </c>
      <c r="G87" s="17"/>
      <c r="H87" s="129" t="str">
        <f>Settings!$B$3&amp;".mit.wm.frt.amc.np.1"</f>
        <v>egy.mit.wm.frt.amc.np.1</v>
      </c>
      <c r="K87" s="140"/>
      <c r="L87" s="141">
        <f>Mitigation_Industry!L$280*Mitigation_Industry!$J$273*MAX(Mitigation_Industry!$J$268,0)*Mitigation_Industry!$F$367/1000</f>
        <v>0</v>
      </c>
      <c r="M87" s="141">
        <f>Mitigation_Industry!M$280*Mitigation_Industry!$J$273*MAX(Mitigation_Industry!$J$268,0)*Mitigation_Industry!$F$367/1000</f>
        <v>0</v>
      </c>
      <c r="N87" s="141">
        <f>Mitigation_Industry!N$280*Mitigation_Industry!$J$273*MAX(Mitigation_Industry!$J$268,0)*Mitigation_Industry!$F$367/1000</f>
        <v>0</v>
      </c>
      <c r="O87" s="141">
        <f>Mitigation_Industry!O$280*Mitigation_Industry!$J$273*MAX(Mitigation_Industry!$J$268,0)*Mitigation_Industry!$F$367/1000</f>
        <v>0</v>
      </c>
      <c r="P87" s="141">
        <f>Mitigation_Industry!P$280*Mitigation_Industry!$J$273*MAX(Mitigation_Industry!$J$268,0)*Mitigation_Industry!$F$367/1000</f>
        <v>0</v>
      </c>
      <c r="Q87" s="141">
        <f>Mitigation_Industry!Q$280*Mitigation_Industry!$J$273*MAX(Mitigation_Industry!$J$268,0)*Mitigation_Industry!$F$367/1000</f>
        <v>0</v>
      </c>
      <c r="R87" s="141">
        <f>Mitigation_Industry!R$280*Mitigation_Industry!$J$273*MAX(Mitigation_Industry!$J$268,0)*Mitigation_Industry!$F$367/1000</f>
        <v>0</v>
      </c>
      <c r="S87" s="141">
        <f>Mitigation_Industry!S$280*Mitigation_Industry!$J$273*MAX(Mitigation_Industry!$J$268,0)*Mitigation_Industry!$F$367/1000</f>
        <v>0</v>
      </c>
      <c r="T87" s="141">
        <f>Mitigation_Industry!T$280*Mitigation_Industry!$J$273*MAX(Mitigation_Industry!$J$268,0)*Mitigation_Industry!$F$367/1000</f>
        <v>0</v>
      </c>
      <c r="U87" s="141">
        <f>Mitigation_Industry!U$280*Mitigation_Industry!$J$273*MAX(Mitigation_Industry!$J$268,0)*Mitigation_Industry!$F$367/1000</f>
        <v>0</v>
      </c>
      <c r="V87" s="141">
        <f>Mitigation_Industry!V$280*Mitigation_Industry!$J$273*MAX(Mitigation_Industry!$J$268,0)*Mitigation_Industry!$F$367/1000</f>
        <v>0</v>
      </c>
      <c r="W87" s="141">
        <f>Mitigation_Industry!W$280*Mitigation_Industry!$J$273*MAX(Mitigation_Industry!$J$268,0)*Mitigation_Industry!$F$367/1000</f>
        <v>0</v>
      </c>
      <c r="X87" s="141">
        <f>Mitigation_Industry!X$280*Mitigation_Industry!$J$273*MAX(Mitigation_Industry!$J$268,0)*Mitigation_Industry!$F$367/1000</f>
        <v>0</v>
      </c>
      <c r="Y87" s="141">
        <f>Mitigation_Industry!Y$280*Mitigation_Industry!$J$273*MAX(Mitigation_Industry!$J$268,0)*Mitigation_Industry!$F$367/1000</f>
        <v>0</v>
      </c>
      <c r="Z87" s="141">
        <f>Mitigation_Industry!Z$280*Mitigation_Industry!$J$273*MAX(Mitigation_Industry!$J$268,0)*Mitigation_Industry!$F$367/1000</f>
        <v>0</v>
      </c>
      <c r="AA87" s="141">
        <f>Mitigation_Industry!AA$280*Mitigation_Industry!$J$273*MAX(Mitigation_Industry!$J$268,0)*Mitigation_Industry!$F$367/1000</f>
        <v>0</v>
      </c>
      <c r="AB87" s="141">
        <f>Mitigation_Industry!AB$280*Mitigation_Industry!$J$273*MAX(Mitigation_Industry!$J$268,0)*Mitigation_Industry!$F$367/1000</f>
        <v>0</v>
      </c>
      <c r="AC87" s="141">
        <f>Mitigation_Industry!AC$280*Mitigation_Industry!$J$273*MAX(Mitigation_Industry!$J$268,0)*Mitigation_Industry!$F$367/1000</f>
        <v>0</v>
      </c>
      <c r="AD87" s="141">
        <f>Mitigation_Industry!AD$280*Mitigation_Industry!$J$273*MAX(Mitigation_Industry!$J$268,0)*Mitigation_Industry!$F$367/1000</f>
        <v>0</v>
      </c>
      <c r="AE87" s="141">
        <f>Mitigation_Industry!AE$280*Mitigation_Industry!$J$273*MAX(Mitigation_Industry!$J$268,0)*Mitigation_Industry!$F$367/1000</f>
        <v>0</v>
      </c>
      <c r="AF87" s="142"/>
      <c r="AG87" s="142"/>
      <c r="AH87" s="142"/>
      <c r="AI87" s="142"/>
    </row>
    <row r="88" spans="1:35" customFormat="1" ht="14.25" x14ac:dyDescent="0.45">
      <c r="B88" s="14" t="s">
        <v>2602</v>
      </c>
      <c r="C88" s="14" t="s">
        <v>117</v>
      </c>
      <c r="D88" s="15" t="s">
        <v>2670</v>
      </c>
      <c r="E88" s="16" t="s">
        <v>2094</v>
      </c>
      <c r="F88" s="14" t="s">
        <v>2663</v>
      </c>
      <c r="G88" s="17"/>
      <c r="H88" s="129" t="str">
        <f>Settings!$B$3&amp;".mit.wm.frt.ure.np.1"</f>
        <v>egy.mit.wm.frt.ure.np.1</v>
      </c>
      <c r="K88" s="140"/>
      <c r="L88" s="141">
        <f>Mitigation_Industry!L$281*Mitigation_Industry!$J$273*MAX(Mitigation_Industry!$J$269,0)*Mitigation_Industry!$F$368/1000</f>
        <v>0</v>
      </c>
      <c r="M88" s="141">
        <f>Mitigation_Industry!M$281*Mitigation_Industry!$J$273*MAX(Mitigation_Industry!$J$269,0)*Mitigation_Industry!$F$368/1000</f>
        <v>0</v>
      </c>
      <c r="N88" s="141">
        <f>Mitigation_Industry!N$281*Mitigation_Industry!$J$273*MAX(Mitigation_Industry!$J$269,0)*Mitigation_Industry!$F$368/1000</f>
        <v>0</v>
      </c>
      <c r="O88" s="141">
        <f>Mitigation_Industry!O$281*Mitigation_Industry!$J$273*MAX(Mitigation_Industry!$J$269,0)*Mitigation_Industry!$F$368/1000</f>
        <v>0</v>
      </c>
      <c r="P88" s="141">
        <f>Mitigation_Industry!P$281*Mitigation_Industry!$J$273*MAX(Mitigation_Industry!$J$269,0)*Mitigation_Industry!$F$368/1000</f>
        <v>0</v>
      </c>
      <c r="Q88" s="141">
        <f>Mitigation_Industry!Q$281*Mitigation_Industry!$J$273*MAX(Mitigation_Industry!$J$269,0)*Mitigation_Industry!$F$368/1000</f>
        <v>0</v>
      </c>
      <c r="R88" s="141">
        <f>Mitigation_Industry!R$281*Mitigation_Industry!$J$273*MAX(Mitigation_Industry!$J$269,0)*Mitigation_Industry!$F$368/1000</f>
        <v>0</v>
      </c>
      <c r="S88" s="141">
        <f>Mitigation_Industry!S$281*Mitigation_Industry!$J$273*MAX(Mitigation_Industry!$J$269,0)*Mitigation_Industry!$F$368/1000</f>
        <v>0</v>
      </c>
      <c r="T88" s="141">
        <f>Mitigation_Industry!T$281*Mitigation_Industry!$J$273*MAX(Mitigation_Industry!$J$269,0)*Mitigation_Industry!$F$368/1000</f>
        <v>0</v>
      </c>
      <c r="U88" s="141">
        <f>Mitigation_Industry!U$281*Mitigation_Industry!$J$273*MAX(Mitigation_Industry!$J$269,0)*Mitigation_Industry!$F$368/1000</f>
        <v>0</v>
      </c>
      <c r="V88" s="141">
        <f>Mitigation_Industry!V$281*Mitigation_Industry!$J$273*MAX(Mitigation_Industry!$J$269,0)*Mitigation_Industry!$F$368/1000</f>
        <v>0</v>
      </c>
      <c r="W88" s="141">
        <f>Mitigation_Industry!W$281*Mitigation_Industry!$J$273*MAX(Mitigation_Industry!$J$269,0)*Mitigation_Industry!$F$368/1000</f>
        <v>0</v>
      </c>
      <c r="X88" s="141">
        <f>Mitigation_Industry!X$281*Mitigation_Industry!$J$273*MAX(Mitigation_Industry!$J$269,0)*Mitigation_Industry!$F$368/1000</f>
        <v>0</v>
      </c>
      <c r="Y88" s="141">
        <f>Mitigation_Industry!Y$281*Mitigation_Industry!$J$273*MAX(Mitigation_Industry!$J$269,0)*Mitigation_Industry!$F$368/1000</f>
        <v>0</v>
      </c>
      <c r="Z88" s="141">
        <f>Mitigation_Industry!Z$281*Mitigation_Industry!$J$273*MAX(Mitigation_Industry!$J$269,0)*Mitigation_Industry!$F$368/1000</f>
        <v>0</v>
      </c>
      <c r="AA88" s="141">
        <f>Mitigation_Industry!AA$281*Mitigation_Industry!$J$273*MAX(Mitigation_Industry!$J$269,0)*Mitigation_Industry!$F$368/1000</f>
        <v>0</v>
      </c>
      <c r="AB88" s="141">
        <f>Mitigation_Industry!AB$281*Mitigation_Industry!$J$273*MAX(Mitigation_Industry!$J$269,0)*Mitigation_Industry!$F$368/1000</f>
        <v>0</v>
      </c>
      <c r="AC88" s="141">
        <f>Mitigation_Industry!AC$281*Mitigation_Industry!$J$273*MAX(Mitigation_Industry!$J$269,0)*Mitigation_Industry!$F$368/1000</f>
        <v>0</v>
      </c>
      <c r="AD88" s="141">
        <f>Mitigation_Industry!AD$281*Mitigation_Industry!$J$273*MAX(Mitigation_Industry!$J$269,0)*Mitigation_Industry!$F$368/1000</f>
        <v>0</v>
      </c>
      <c r="AE88" s="141">
        <f>Mitigation_Industry!AE$281*Mitigation_Industry!$J$273*MAX(Mitigation_Industry!$J$269,0)*Mitigation_Industry!$F$368/1000</f>
        <v>0</v>
      </c>
      <c r="AF88" s="142"/>
      <c r="AG88" s="142"/>
      <c r="AH88" s="142"/>
      <c r="AI88" s="142"/>
    </row>
    <row r="89" spans="1:35" customFormat="1" ht="14.25" x14ac:dyDescent="0.45">
      <c r="B89" s="14" t="s">
        <v>2604</v>
      </c>
      <c r="C89" s="14" t="s">
        <v>117</v>
      </c>
      <c r="D89" s="15" t="s">
        <v>2671</v>
      </c>
      <c r="E89" s="16" t="s">
        <v>2094</v>
      </c>
      <c r="F89" s="14" t="s">
        <v>2663</v>
      </c>
      <c r="G89" s="17"/>
      <c r="H89" s="129" t="str">
        <f>Settings!$B$3&amp;".mit.wm.frt.nit.np.1"</f>
        <v>egy.mit.wm.frt.nit.np.1</v>
      </c>
      <c r="K89" s="140"/>
      <c r="L89" s="141">
        <f>Mitigation_Industry!L$282*Mitigation_Industry!$J$273*MAX(Mitigation_Industry!$J$270,0)*Mitigation_Industry!$F$369/1000</f>
        <v>0</v>
      </c>
      <c r="M89" s="141">
        <f>Mitigation_Industry!M$282*Mitigation_Industry!$J$273*MAX(Mitigation_Industry!$J$270,0)*Mitigation_Industry!$F$369/1000</f>
        <v>0</v>
      </c>
      <c r="N89" s="141">
        <f>Mitigation_Industry!N$282*Mitigation_Industry!$J$273*MAX(Mitigation_Industry!$J$270,0)*Mitigation_Industry!$F$369/1000</f>
        <v>0</v>
      </c>
      <c r="O89" s="141">
        <f>Mitigation_Industry!O$282*Mitigation_Industry!$J$273*MAX(Mitigation_Industry!$J$270,0)*Mitigation_Industry!$F$369/1000</f>
        <v>0</v>
      </c>
      <c r="P89" s="141">
        <f>Mitigation_Industry!P$282*Mitigation_Industry!$J$273*MAX(Mitigation_Industry!$J$270,0)*Mitigation_Industry!$F$369/1000</f>
        <v>0</v>
      </c>
      <c r="Q89" s="141">
        <f>Mitigation_Industry!Q$282*Mitigation_Industry!$J$273*MAX(Mitigation_Industry!$J$270,0)*Mitigation_Industry!$F$369/1000</f>
        <v>0</v>
      </c>
      <c r="R89" s="141">
        <f>Mitigation_Industry!R$282*Mitigation_Industry!$J$273*MAX(Mitigation_Industry!$J$270,0)*Mitigation_Industry!$F$369/1000</f>
        <v>0</v>
      </c>
      <c r="S89" s="141">
        <f>Mitigation_Industry!S$282*Mitigation_Industry!$J$273*MAX(Mitigation_Industry!$J$270,0)*Mitigation_Industry!$F$369/1000</f>
        <v>0</v>
      </c>
      <c r="T89" s="141">
        <f>Mitigation_Industry!T$282*Mitigation_Industry!$J$273*MAX(Mitigation_Industry!$J$270,0)*Mitigation_Industry!$F$369/1000</f>
        <v>0</v>
      </c>
      <c r="U89" s="141">
        <f>Mitigation_Industry!U$282*Mitigation_Industry!$J$273*MAX(Mitigation_Industry!$J$270,0)*Mitigation_Industry!$F$369/1000</f>
        <v>0</v>
      </c>
      <c r="V89" s="141">
        <f>Mitigation_Industry!V$282*Mitigation_Industry!$J$273*MAX(Mitigation_Industry!$J$270,0)*Mitigation_Industry!$F$369/1000</f>
        <v>0</v>
      </c>
      <c r="W89" s="141">
        <f>Mitigation_Industry!W$282*Mitigation_Industry!$J$273*MAX(Mitigation_Industry!$J$270,0)*Mitigation_Industry!$F$369/1000</f>
        <v>0</v>
      </c>
      <c r="X89" s="141">
        <f>Mitigation_Industry!X$282*Mitigation_Industry!$J$273*MAX(Mitigation_Industry!$J$270,0)*Mitigation_Industry!$F$369/1000</f>
        <v>0</v>
      </c>
      <c r="Y89" s="141">
        <f>Mitigation_Industry!Y$282*Mitigation_Industry!$J$273*MAX(Mitigation_Industry!$J$270,0)*Mitigation_Industry!$F$369/1000</f>
        <v>0</v>
      </c>
      <c r="Z89" s="141">
        <f>Mitigation_Industry!Z$282*Mitigation_Industry!$J$273*MAX(Mitigation_Industry!$J$270,0)*Mitigation_Industry!$F$369/1000</f>
        <v>0</v>
      </c>
      <c r="AA89" s="141">
        <f>Mitigation_Industry!AA$282*Mitigation_Industry!$J$273*MAX(Mitigation_Industry!$J$270,0)*Mitigation_Industry!$F$369/1000</f>
        <v>0</v>
      </c>
      <c r="AB89" s="141">
        <f>Mitigation_Industry!AB$282*Mitigation_Industry!$J$273*MAX(Mitigation_Industry!$J$270,0)*Mitigation_Industry!$F$369/1000</f>
        <v>0</v>
      </c>
      <c r="AC89" s="141">
        <f>Mitigation_Industry!AC$282*Mitigation_Industry!$J$273*MAX(Mitigation_Industry!$J$270,0)*Mitigation_Industry!$F$369/1000</f>
        <v>0</v>
      </c>
      <c r="AD89" s="141">
        <f>Mitigation_Industry!AD$282*Mitigation_Industry!$J$273*MAX(Mitigation_Industry!$J$270,0)*Mitigation_Industry!$F$369/1000</f>
        <v>0</v>
      </c>
      <c r="AE89" s="141">
        <f>Mitigation_Industry!AE$282*Mitigation_Industry!$J$273*MAX(Mitigation_Industry!$J$270,0)*Mitigation_Industry!$F$369/1000</f>
        <v>0</v>
      </c>
      <c r="AF89" s="142"/>
      <c r="AG89" s="142"/>
      <c r="AH89" s="142"/>
      <c r="AI89" s="142"/>
    </row>
    <row r="90" spans="1:35" customFormat="1" ht="14.25" x14ac:dyDescent="0.45">
      <c r="B90" s="14" t="s">
        <v>2606</v>
      </c>
      <c r="C90" s="14" t="s">
        <v>115</v>
      </c>
      <c r="D90" s="15" t="s">
        <v>2672</v>
      </c>
      <c r="E90" s="16" t="s">
        <v>2094</v>
      </c>
      <c r="F90" s="14" t="s">
        <v>2663</v>
      </c>
      <c r="G90" s="17"/>
      <c r="H90" s="129" t="str">
        <f>Settings!$B$3&amp;".mit.wm.alu.prp.np.1"</f>
        <v>egy.mit.wm.alu.prp.np.1</v>
      </c>
      <c r="K90" s="140"/>
      <c r="L90" s="141">
        <f>Mitigation_Industry!L$283*Mitigation_Industry!$J$273*MAX(Mitigation_Industry!$J$271,0)*Mitigation_Industry!$F$370/1000</f>
        <v>0.40430358707126968</v>
      </c>
      <c r="M90" s="141">
        <f>Mitigation_Industry!M$283*Mitigation_Industry!$J$273*MAX(Mitigation_Industry!$J$271,0)*Mitigation_Industry!$F$370/1000</f>
        <v>0.42654028436018954</v>
      </c>
      <c r="N90" s="141">
        <f>Mitigation_Industry!N$283*Mitigation_Industry!$J$273*MAX(Mitigation_Industry!$J$271,0)*Mitigation_Industry!$F$370/1000</f>
        <v>0.45</v>
      </c>
      <c r="O90" s="141">
        <f>Mitigation_Industry!O$283*Mitigation_Industry!$J$273*MAX(Mitigation_Industry!$J$271,0)*Mitigation_Industry!$F$370/1000</f>
        <v>0.47475000000000001</v>
      </c>
      <c r="P90" s="141">
        <f>Mitigation_Industry!P$283*Mitigation_Industry!$J$273*MAX(Mitigation_Industry!$J$271,0)*Mitigation_Industry!$F$370/1000</f>
        <v>0.50086124999999992</v>
      </c>
      <c r="Q90" s="141">
        <f>Mitigation_Industry!Q$283*Mitigation_Industry!$J$273*MAX(Mitigation_Industry!$J$271,0)*Mitigation_Industry!$F$370/1000</f>
        <v>0.52840861874999989</v>
      </c>
      <c r="R90" s="141">
        <f>Mitigation_Industry!R$283*Mitigation_Industry!$J$273*MAX(Mitigation_Industry!$J$271,0)*Mitigation_Industry!$F$370/1000</f>
        <v>0.55747109278124996</v>
      </c>
      <c r="S90" s="141">
        <f>Mitigation_Industry!S$283*Mitigation_Industry!$J$273*MAX(Mitigation_Industry!$J$271,0)*Mitigation_Industry!$F$370/1000</f>
        <v>0.58813200288421852</v>
      </c>
      <c r="T90" s="141">
        <f>Mitigation_Industry!T$283*Mitigation_Industry!$J$273*MAX(Mitigation_Industry!$J$271,0)*Mitigation_Industry!$F$370/1000</f>
        <v>0.62047926304285062</v>
      </c>
      <c r="U90" s="141">
        <f>Mitigation_Industry!U$283*Mitigation_Industry!$J$273*MAX(Mitigation_Industry!$J$271,0)*Mitigation_Industry!$F$370/1000</f>
        <v>0.65460562251020737</v>
      </c>
      <c r="V90" s="141">
        <f>Mitigation_Industry!V$283*Mitigation_Industry!$J$273*MAX(Mitigation_Industry!$J$271,0)*Mitigation_Industry!$F$370/1000</f>
        <v>0.69060893174826876</v>
      </c>
      <c r="W90" s="141">
        <f>Mitigation_Industry!W$283*Mitigation_Industry!$J$273*MAX(Mitigation_Industry!$J$271,0)*Mitigation_Industry!$F$370/1000</f>
        <v>0.72859242299442351</v>
      </c>
      <c r="X90" s="141">
        <f>Mitigation_Industry!X$283*Mitigation_Industry!$J$273*MAX(Mitigation_Industry!$J$271,0)*Mitigation_Industry!$F$370/1000</f>
        <v>0.76866500625911682</v>
      </c>
      <c r="Y90" s="141">
        <f>Mitigation_Industry!Y$283*Mitigation_Industry!$J$273*MAX(Mitigation_Industry!$J$271,0)*Mitigation_Industry!$F$370/1000</f>
        <v>0.81094158160336816</v>
      </c>
      <c r="Z90" s="141">
        <f>Mitigation_Industry!Z$283*Mitigation_Industry!$J$273*MAX(Mitigation_Industry!$J$271,0)*Mitigation_Industry!$F$370/1000</f>
        <v>0.85554336859155344</v>
      </c>
      <c r="AA90" s="141">
        <f>Mitigation_Industry!AA$283*Mitigation_Industry!$J$273*MAX(Mitigation_Industry!$J$271,0)*Mitigation_Industry!$F$370/1000</f>
        <v>0.90259825386408876</v>
      </c>
      <c r="AB90" s="141">
        <f>Mitigation_Industry!AB$283*Mitigation_Industry!$J$273*MAX(Mitigation_Industry!$J$271,0)*Mitigation_Industry!$F$370/1000</f>
        <v>0.95224115782661378</v>
      </c>
      <c r="AC90" s="141">
        <f>Mitigation_Industry!AC$283*Mitigation_Industry!$J$273*MAX(Mitigation_Industry!$J$271,0)*Mitigation_Industry!$F$370/1000</f>
        <v>1.0046144215070774</v>
      </c>
      <c r="AD90" s="141">
        <f>Mitigation_Industry!AD$283*Mitigation_Industry!$J$273*MAX(Mitigation_Industry!$J$271,0)*Mitigation_Industry!$F$370/1000</f>
        <v>1.0598682146899667</v>
      </c>
      <c r="AE90" s="141">
        <f>Mitigation_Industry!AE$283*Mitigation_Industry!$J$273*MAX(Mitigation_Industry!$J$271,0)*Mitigation_Industry!$F$370/1000</f>
        <v>1.1181609664979146</v>
      </c>
      <c r="AF90" s="142"/>
      <c r="AG90" s="142"/>
      <c r="AH90" s="142"/>
      <c r="AI90" s="142"/>
    </row>
    <row r="91" spans="1:35" customFormat="1" ht="14.25" x14ac:dyDescent="0.45">
      <c r="B91" s="14" t="s">
        <v>2608</v>
      </c>
      <c r="C91" s="14" t="s">
        <v>43</v>
      </c>
      <c r="D91" s="15" t="s">
        <v>2673</v>
      </c>
      <c r="E91" s="16" t="s">
        <v>2094</v>
      </c>
      <c r="F91" s="14" t="s">
        <v>2663</v>
      </c>
      <c r="G91" s="17"/>
      <c r="H91" s="129" t="str">
        <f>Settings!$B$3&amp;".mit.wm.stl.drg.no.1"</f>
        <v>egy.mit.wm.stl.drg.no.1</v>
      </c>
      <c r="K91" s="140"/>
      <c r="L91" s="141">
        <f>Mitigation_Industry!L$276*Mitigation_Industry!$K$273*MAX(Mitigation_Industry!$K$264,0)*Mitigation_Industry!$H$363/1000</f>
        <v>0</v>
      </c>
      <c r="M91" s="141">
        <f>Mitigation_Industry!M$276*Mitigation_Industry!$K$273*MAX(Mitigation_Industry!$K$264,0)*Mitigation_Industry!$H$363/1000</f>
        <v>0</v>
      </c>
      <c r="N91" s="141">
        <f>Mitigation_Industry!N$276*Mitigation_Industry!$K$273*MAX(Mitigation_Industry!$K$264,0)*Mitigation_Industry!$H$363/1000</f>
        <v>0</v>
      </c>
      <c r="O91" s="141">
        <f>Mitigation_Industry!O$276*Mitigation_Industry!$K$273*MAX(Mitigation_Industry!$K$264,0)*Mitigation_Industry!$H$363/1000</f>
        <v>0</v>
      </c>
      <c r="P91" s="141">
        <f>Mitigation_Industry!P$276*Mitigation_Industry!$K$273*MAX(Mitigation_Industry!$K$264,0)*Mitigation_Industry!$H$363/1000</f>
        <v>0</v>
      </c>
      <c r="Q91" s="141">
        <f>Mitigation_Industry!Q$276*Mitigation_Industry!$K$273*MAX(Mitigation_Industry!$K$264,0)*Mitigation_Industry!$H$363/1000</f>
        <v>0</v>
      </c>
      <c r="R91" s="141">
        <f>Mitigation_Industry!R$276*Mitigation_Industry!$K$273*MAX(Mitigation_Industry!$K$264,0)*Mitigation_Industry!$H$363/1000</f>
        <v>0</v>
      </c>
      <c r="S91" s="141">
        <f>Mitigation_Industry!S$276*Mitigation_Industry!$K$273*MAX(Mitigation_Industry!$K$264,0)*Mitigation_Industry!$H$363/1000</f>
        <v>0</v>
      </c>
      <c r="T91" s="141">
        <f>Mitigation_Industry!T$276*Mitigation_Industry!$K$273*MAX(Mitigation_Industry!$K$264,0)*Mitigation_Industry!$H$363/1000</f>
        <v>0</v>
      </c>
      <c r="U91" s="141">
        <f>Mitigation_Industry!U$276*Mitigation_Industry!$K$273*MAX(Mitigation_Industry!$K$264,0)*Mitigation_Industry!$H$363/1000</f>
        <v>0</v>
      </c>
      <c r="V91" s="141">
        <f>Mitigation_Industry!V$276*Mitigation_Industry!$K$273*MAX(Mitigation_Industry!$K$264,0)*Mitigation_Industry!$H$363/1000</f>
        <v>0</v>
      </c>
      <c r="W91" s="141">
        <f>Mitigation_Industry!W$276*Mitigation_Industry!$K$273*MAX(Mitigation_Industry!$K$264,0)*Mitigation_Industry!$H$363/1000</f>
        <v>0</v>
      </c>
      <c r="X91" s="141">
        <f>Mitigation_Industry!X$276*Mitigation_Industry!$K$273*MAX(Mitigation_Industry!$K$264,0)*Mitigation_Industry!$H$363/1000</f>
        <v>0</v>
      </c>
      <c r="Y91" s="141">
        <f>Mitigation_Industry!Y$276*Mitigation_Industry!$K$273*MAX(Mitigation_Industry!$K$264,0)*Mitigation_Industry!$H$363/1000</f>
        <v>0</v>
      </c>
      <c r="Z91" s="141">
        <f>Mitigation_Industry!Z$276*Mitigation_Industry!$K$273*MAX(Mitigation_Industry!$K$264,0)*Mitigation_Industry!$H$363/1000</f>
        <v>0</v>
      </c>
      <c r="AA91" s="141">
        <f>Mitigation_Industry!AA$276*Mitigation_Industry!$K$273*MAX(Mitigation_Industry!$K$264,0)*Mitigation_Industry!$H$363/1000</f>
        <v>0</v>
      </c>
      <c r="AB91" s="141">
        <f>Mitigation_Industry!AB$276*Mitigation_Industry!$K$273*MAX(Mitigation_Industry!$K$264,0)*Mitigation_Industry!$H$363/1000</f>
        <v>0</v>
      </c>
      <c r="AC91" s="141">
        <f>Mitigation_Industry!AC$276*Mitigation_Industry!$K$273*MAX(Mitigation_Industry!$K$264,0)*Mitigation_Industry!$H$363/1000</f>
        <v>0</v>
      </c>
      <c r="AD91" s="141">
        <f>Mitigation_Industry!AD$276*Mitigation_Industry!$K$273*MAX(Mitigation_Industry!$K$264,0)*Mitigation_Industry!$H$363/1000</f>
        <v>0</v>
      </c>
      <c r="AE91" s="141">
        <f>Mitigation_Industry!AE$276*Mitigation_Industry!$K$273*MAX(Mitigation_Industry!$K$264,0)*Mitigation_Industry!$H$363/1000</f>
        <v>0</v>
      </c>
      <c r="AF91" s="142"/>
      <c r="AG91" s="142"/>
      <c r="AH91" s="142"/>
      <c r="AI91" s="142"/>
    </row>
    <row r="92" spans="1:35" customFormat="1" ht="14.25" x14ac:dyDescent="0.45">
      <c r="B92" s="14" t="s">
        <v>2610</v>
      </c>
      <c r="C92" s="14" t="s">
        <v>43</v>
      </c>
      <c r="D92" s="15" t="s">
        <v>2674</v>
      </c>
      <c r="E92" s="16" t="s">
        <v>2094</v>
      </c>
      <c r="F92" s="14" t="s">
        <v>2663</v>
      </c>
      <c r="G92" s="17"/>
      <c r="H92" s="129" t="str">
        <f>Settings!$B$3&amp;".mit.wm.stl.scr.no.1"</f>
        <v>egy.mit.wm.stl.scr.no.1</v>
      </c>
      <c r="K92" s="140"/>
      <c r="L92" s="141">
        <f>Mitigation_Industry!L$277*Mitigation_Industry!$K$273*MAX(Mitigation_Industry!$K$265,0)*Mitigation_Industry!$H$364/1000</f>
        <v>0</v>
      </c>
      <c r="M92" s="141">
        <f>Mitigation_Industry!M$277*Mitigation_Industry!$K$273*MAX(Mitigation_Industry!$K$265,0)*Mitigation_Industry!$H$364/1000</f>
        <v>0</v>
      </c>
      <c r="N92" s="141">
        <f>Mitigation_Industry!N$277*Mitigation_Industry!$K$273*MAX(Mitigation_Industry!$K$265,0)*Mitigation_Industry!$H$364/1000</f>
        <v>0</v>
      </c>
      <c r="O92" s="141">
        <f>Mitigation_Industry!O$277*Mitigation_Industry!$K$273*MAX(Mitigation_Industry!$K$265,0)*Mitigation_Industry!$H$364/1000</f>
        <v>0</v>
      </c>
      <c r="P92" s="141">
        <f>Mitigation_Industry!P$277*Mitigation_Industry!$K$273*MAX(Mitigation_Industry!$K$265,0)*Mitigation_Industry!$H$364/1000</f>
        <v>0</v>
      </c>
      <c r="Q92" s="141">
        <f>Mitigation_Industry!Q$277*Mitigation_Industry!$K$273*MAX(Mitigation_Industry!$K$265,0)*Mitigation_Industry!$H$364/1000</f>
        <v>0</v>
      </c>
      <c r="R92" s="141">
        <f>Mitigation_Industry!R$277*Mitigation_Industry!$K$273*MAX(Mitigation_Industry!$K$265,0)*Mitigation_Industry!$H$364/1000</f>
        <v>0</v>
      </c>
      <c r="S92" s="141">
        <f>Mitigation_Industry!S$277*Mitigation_Industry!$K$273*MAX(Mitigation_Industry!$K$265,0)*Mitigation_Industry!$H$364/1000</f>
        <v>0</v>
      </c>
      <c r="T92" s="141">
        <f>Mitigation_Industry!T$277*Mitigation_Industry!$K$273*MAX(Mitigation_Industry!$K$265,0)*Mitigation_Industry!$H$364/1000</f>
        <v>0</v>
      </c>
      <c r="U92" s="141">
        <f>Mitigation_Industry!U$277*Mitigation_Industry!$K$273*MAX(Mitigation_Industry!$K$265,0)*Mitigation_Industry!$H$364/1000</f>
        <v>0</v>
      </c>
      <c r="V92" s="141">
        <f>Mitigation_Industry!V$277*Mitigation_Industry!$K$273*MAX(Mitigation_Industry!$K$265,0)*Mitigation_Industry!$H$364/1000</f>
        <v>0</v>
      </c>
      <c r="W92" s="141">
        <f>Mitigation_Industry!W$277*Mitigation_Industry!$K$273*MAX(Mitigation_Industry!$K$265,0)*Mitigation_Industry!$H$364/1000</f>
        <v>0</v>
      </c>
      <c r="X92" s="141">
        <f>Mitigation_Industry!X$277*Mitigation_Industry!$K$273*MAX(Mitigation_Industry!$K$265,0)*Mitigation_Industry!$H$364/1000</f>
        <v>0</v>
      </c>
      <c r="Y92" s="141">
        <f>Mitigation_Industry!Y$277*Mitigation_Industry!$K$273*MAX(Mitigation_Industry!$K$265,0)*Mitigation_Industry!$H$364/1000</f>
        <v>0</v>
      </c>
      <c r="Z92" s="141">
        <f>Mitigation_Industry!Z$277*Mitigation_Industry!$K$273*MAX(Mitigation_Industry!$K$265,0)*Mitigation_Industry!$H$364/1000</f>
        <v>0</v>
      </c>
      <c r="AA92" s="141">
        <f>Mitigation_Industry!AA$277*Mitigation_Industry!$K$273*MAX(Mitigation_Industry!$K$265,0)*Mitigation_Industry!$H$364/1000</f>
        <v>0</v>
      </c>
      <c r="AB92" s="141">
        <f>Mitigation_Industry!AB$277*Mitigation_Industry!$K$273*MAX(Mitigation_Industry!$K$265,0)*Mitigation_Industry!$H$364/1000</f>
        <v>0</v>
      </c>
      <c r="AC92" s="141">
        <f>Mitigation_Industry!AC$277*Mitigation_Industry!$K$273*MAX(Mitigation_Industry!$K$265,0)*Mitigation_Industry!$H$364/1000</f>
        <v>0</v>
      </c>
      <c r="AD92" s="141">
        <f>Mitigation_Industry!AD$277*Mitigation_Industry!$K$273*MAX(Mitigation_Industry!$K$265,0)*Mitigation_Industry!$H$364/1000</f>
        <v>0</v>
      </c>
      <c r="AE92" s="141">
        <f>Mitigation_Industry!AE$277*Mitigation_Industry!$K$273*MAX(Mitigation_Industry!$K$265,0)*Mitigation_Industry!$H$364/1000</f>
        <v>0</v>
      </c>
      <c r="AF92" s="142"/>
      <c r="AG92" s="142"/>
      <c r="AH92" s="142"/>
      <c r="AI92" s="142"/>
    </row>
    <row r="93" spans="1:35" customFormat="1" ht="14.25" x14ac:dyDescent="0.45">
      <c r="B93" s="14" t="s">
        <v>2612</v>
      </c>
      <c r="C93" s="14" t="s">
        <v>43</v>
      </c>
      <c r="D93" s="15" t="s">
        <v>2675</v>
      </c>
      <c r="E93" s="16" t="s">
        <v>2094</v>
      </c>
      <c r="F93" s="14" t="s">
        <v>2663</v>
      </c>
      <c r="G93" s="17"/>
      <c r="H93" s="129" t="str">
        <f>Settings!$B$3&amp;".mit.wm.stl.bof.no.1"</f>
        <v>egy.mit.wm.stl.bof.no.1</v>
      </c>
      <c r="K93" s="140"/>
      <c r="L93" s="141">
        <f>Mitigation_Industry!L$278*Mitigation_Industry!$K$273*MAX(Mitigation_Industry!$K$266,0)*Mitigation_Industry!$H$365/1000</f>
        <v>0</v>
      </c>
      <c r="M93" s="141">
        <f>Mitigation_Industry!M$278*Mitigation_Industry!$K$273*MAX(Mitigation_Industry!$K$266,0)*Mitigation_Industry!$H$365/1000</f>
        <v>0</v>
      </c>
      <c r="N93" s="141">
        <f>Mitigation_Industry!N$278*Mitigation_Industry!$K$273*MAX(Mitigation_Industry!$K$266,0)*Mitigation_Industry!$H$365/1000</f>
        <v>0</v>
      </c>
      <c r="O93" s="141">
        <f>Mitigation_Industry!O$278*Mitigation_Industry!$K$273*MAX(Mitigation_Industry!$K$266,0)*Mitigation_Industry!$H$365/1000</f>
        <v>0</v>
      </c>
      <c r="P93" s="141">
        <f>Mitigation_Industry!P$278*Mitigation_Industry!$K$273*MAX(Mitigation_Industry!$K$266,0)*Mitigation_Industry!$H$365/1000</f>
        <v>0</v>
      </c>
      <c r="Q93" s="141">
        <f>Mitigation_Industry!Q$278*Mitigation_Industry!$K$273*MAX(Mitigation_Industry!$K$266,0)*Mitigation_Industry!$H$365/1000</f>
        <v>0</v>
      </c>
      <c r="R93" s="141">
        <f>Mitigation_Industry!R$278*Mitigation_Industry!$K$273*MAX(Mitigation_Industry!$K$266,0)*Mitigation_Industry!$H$365/1000</f>
        <v>0</v>
      </c>
      <c r="S93" s="141">
        <f>Mitigation_Industry!S$278*Mitigation_Industry!$K$273*MAX(Mitigation_Industry!$K$266,0)*Mitigation_Industry!$H$365/1000</f>
        <v>0</v>
      </c>
      <c r="T93" s="141">
        <f>Mitigation_Industry!T$278*Mitigation_Industry!$K$273*MAX(Mitigation_Industry!$K$266,0)*Mitigation_Industry!$H$365/1000</f>
        <v>0</v>
      </c>
      <c r="U93" s="141">
        <f>Mitigation_Industry!U$278*Mitigation_Industry!$K$273*MAX(Mitigation_Industry!$K$266,0)*Mitigation_Industry!$H$365/1000</f>
        <v>0</v>
      </c>
      <c r="V93" s="141">
        <f>Mitigation_Industry!V$278*Mitigation_Industry!$K$273*MAX(Mitigation_Industry!$K$266,0)*Mitigation_Industry!$H$365/1000</f>
        <v>0</v>
      </c>
      <c r="W93" s="141">
        <f>Mitigation_Industry!W$278*Mitigation_Industry!$K$273*MAX(Mitigation_Industry!$K$266,0)*Mitigation_Industry!$H$365/1000</f>
        <v>0</v>
      </c>
      <c r="X93" s="141">
        <f>Mitigation_Industry!X$278*Mitigation_Industry!$K$273*MAX(Mitigation_Industry!$K$266,0)*Mitigation_Industry!$H$365/1000</f>
        <v>0</v>
      </c>
      <c r="Y93" s="141">
        <f>Mitigation_Industry!Y$278*Mitigation_Industry!$K$273*MAX(Mitigation_Industry!$K$266,0)*Mitigation_Industry!$H$365/1000</f>
        <v>0</v>
      </c>
      <c r="Z93" s="141">
        <f>Mitigation_Industry!Z$278*Mitigation_Industry!$K$273*MAX(Mitigation_Industry!$K$266,0)*Mitigation_Industry!$H$365/1000</f>
        <v>0</v>
      </c>
      <c r="AA93" s="141">
        <f>Mitigation_Industry!AA$278*Mitigation_Industry!$K$273*MAX(Mitigation_Industry!$K$266,0)*Mitigation_Industry!$H$365/1000</f>
        <v>0</v>
      </c>
      <c r="AB93" s="141">
        <f>Mitigation_Industry!AB$278*Mitigation_Industry!$K$273*MAX(Mitigation_Industry!$K$266,0)*Mitigation_Industry!$H$365/1000</f>
        <v>0</v>
      </c>
      <c r="AC93" s="141">
        <f>Mitigation_Industry!AC$278*Mitigation_Industry!$K$273*MAX(Mitigation_Industry!$K$266,0)*Mitigation_Industry!$H$365/1000</f>
        <v>0</v>
      </c>
      <c r="AD93" s="141">
        <f>Mitigation_Industry!AD$278*Mitigation_Industry!$K$273*MAX(Mitigation_Industry!$K$266,0)*Mitigation_Industry!$H$365/1000</f>
        <v>0</v>
      </c>
      <c r="AE93" s="141">
        <f>Mitigation_Industry!AE$278*Mitigation_Industry!$K$273*MAX(Mitigation_Industry!$K$266,0)*Mitigation_Industry!$H$365/1000</f>
        <v>0</v>
      </c>
      <c r="AF93" s="142"/>
      <c r="AG93" s="142"/>
      <c r="AH93" s="142"/>
      <c r="AI93" s="142"/>
    </row>
    <row r="94" spans="1:35" customFormat="1" ht="14.25" x14ac:dyDescent="0.45">
      <c r="B94" s="14" t="s">
        <v>2614</v>
      </c>
      <c r="C94" s="14" t="s">
        <v>113</v>
      </c>
      <c r="D94" s="15" t="s">
        <v>2676</v>
      </c>
      <c r="E94" s="16" t="s">
        <v>2094</v>
      </c>
      <c r="F94" s="14" t="s">
        <v>2663</v>
      </c>
      <c r="G94" s="17"/>
      <c r="H94" s="129" t="str">
        <f>Settings!$B$3&amp;".mit.wm.cmt.dry.no.1"</f>
        <v>egy.mit.wm.cmt.dry.no.1</v>
      </c>
      <c r="K94" s="140"/>
      <c r="L94" s="141">
        <f>Mitigation_Industry!L$279*Mitigation_Industry!$K$273*MAX(Mitigation_Industry!$K$267,0)*Mitigation_Industry!$H$366/1000</f>
        <v>0</v>
      </c>
      <c r="M94" s="141">
        <f>Mitigation_Industry!M$279*Mitigation_Industry!$K$273*MAX(Mitigation_Industry!$K$267,0)*Mitigation_Industry!$H$366/1000</f>
        <v>0</v>
      </c>
      <c r="N94" s="141">
        <f>Mitigation_Industry!N$279*Mitigation_Industry!$K$273*MAX(Mitigation_Industry!$K$267,0)*Mitigation_Industry!$H$366/1000</f>
        <v>0</v>
      </c>
      <c r="O94" s="141">
        <f>Mitigation_Industry!O$279*Mitigation_Industry!$K$273*MAX(Mitigation_Industry!$K$267,0)*Mitigation_Industry!$H$366/1000</f>
        <v>0</v>
      </c>
      <c r="P94" s="141">
        <f>Mitigation_Industry!P$279*Mitigation_Industry!$K$273*MAX(Mitigation_Industry!$K$267,0)*Mitigation_Industry!$H$366/1000</f>
        <v>0</v>
      </c>
      <c r="Q94" s="141">
        <f>Mitigation_Industry!Q$279*Mitigation_Industry!$K$273*MAX(Mitigation_Industry!$K$267,0)*Mitigation_Industry!$H$366/1000</f>
        <v>0</v>
      </c>
      <c r="R94" s="141">
        <f>Mitigation_Industry!R$279*Mitigation_Industry!$K$273*MAX(Mitigation_Industry!$K$267,0)*Mitigation_Industry!$H$366/1000</f>
        <v>0</v>
      </c>
      <c r="S94" s="141">
        <f>Mitigation_Industry!S$279*Mitigation_Industry!$K$273*MAX(Mitigation_Industry!$K$267,0)*Mitigation_Industry!$H$366/1000</f>
        <v>0</v>
      </c>
      <c r="T94" s="141">
        <f>Mitigation_Industry!T$279*Mitigation_Industry!$K$273*MAX(Mitigation_Industry!$K$267,0)*Mitigation_Industry!$H$366/1000</f>
        <v>0</v>
      </c>
      <c r="U94" s="141">
        <f>Mitigation_Industry!U$279*Mitigation_Industry!$K$273*MAX(Mitigation_Industry!$K$267,0)*Mitigation_Industry!$H$366/1000</f>
        <v>0</v>
      </c>
      <c r="V94" s="141">
        <f>Mitigation_Industry!V$279*Mitigation_Industry!$K$273*MAX(Mitigation_Industry!$K$267,0)*Mitigation_Industry!$H$366/1000</f>
        <v>0</v>
      </c>
      <c r="W94" s="141">
        <f>Mitigation_Industry!W$279*Mitigation_Industry!$K$273*MAX(Mitigation_Industry!$K$267,0)*Mitigation_Industry!$H$366/1000</f>
        <v>0</v>
      </c>
      <c r="X94" s="141">
        <f>Mitigation_Industry!X$279*Mitigation_Industry!$K$273*MAX(Mitigation_Industry!$K$267,0)*Mitigation_Industry!$H$366/1000</f>
        <v>0</v>
      </c>
      <c r="Y94" s="141">
        <f>Mitigation_Industry!Y$279*Mitigation_Industry!$K$273*MAX(Mitigation_Industry!$K$267,0)*Mitigation_Industry!$H$366/1000</f>
        <v>0</v>
      </c>
      <c r="Z94" s="141">
        <f>Mitigation_Industry!Z$279*Mitigation_Industry!$K$273*MAX(Mitigation_Industry!$K$267,0)*Mitigation_Industry!$H$366/1000</f>
        <v>0</v>
      </c>
      <c r="AA94" s="141">
        <f>Mitigation_Industry!AA$279*Mitigation_Industry!$K$273*MAX(Mitigation_Industry!$K$267,0)*Mitigation_Industry!$H$366/1000</f>
        <v>0</v>
      </c>
      <c r="AB94" s="141">
        <f>Mitigation_Industry!AB$279*Mitigation_Industry!$K$273*MAX(Mitigation_Industry!$K$267,0)*Mitigation_Industry!$H$366/1000</f>
        <v>0</v>
      </c>
      <c r="AC94" s="141">
        <f>Mitigation_Industry!AC$279*Mitigation_Industry!$K$273*MAX(Mitigation_Industry!$K$267,0)*Mitigation_Industry!$H$366/1000</f>
        <v>0</v>
      </c>
      <c r="AD94" s="141">
        <f>Mitigation_Industry!AD$279*Mitigation_Industry!$K$273*MAX(Mitigation_Industry!$K$267,0)*Mitigation_Industry!$H$366/1000</f>
        <v>0</v>
      </c>
      <c r="AE94" s="141">
        <f>Mitigation_Industry!AE$279*Mitigation_Industry!$K$273*MAX(Mitigation_Industry!$K$267,0)*Mitigation_Industry!$H$366/1000</f>
        <v>0</v>
      </c>
      <c r="AF94" s="142"/>
      <c r="AG94" s="142"/>
      <c r="AH94" s="142"/>
      <c r="AI94" s="142"/>
    </row>
    <row r="95" spans="1:35" customFormat="1" ht="14.25" x14ac:dyDescent="0.45">
      <c r="B95" s="14" t="s">
        <v>2616</v>
      </c>
      <c r="C95" s="14" t="s">
        <v>117</v>
      </c>
      <c r="D95" s="15" t="s">
        <v>2677</v>
      </c>
      <c r="E95" s="16" t="s">
        <v>2094</v>
      </c>
      <c r="F95" s="14" t="s">
        <v>2663</v>
      </c>
      <c r="G95" s="17"/>
      <c r="H95" s="129" t="str">
        <f>Settings!$B$3&amp;".mit.wm.frt.amc.no.1"</f>
        <v>egy.mit.wm.frt.amc.no.1</v>
      </c>
      <c r="K95" s="140"/>
      <c r="L95" s="141">
        <f>Mitigation_Industry!L$280*Mitigation_Industry!$K$273*MAX(Mitigation_Industry!$K$268,0)*Mitigation_Industry!$H$367/1000</f>
        <v>0</v>
      </c>
      <c r="M95" s="141">
        <f>Mitigation_Industry!M$280*Mitigation_Industry!$K$273*MAX(Mitigation_Industry!$K$268,0)*Mitigation_Industry!$H$367/1000</f>
        <v>0</v>
      </c>
      <c r="N95" s="141">
        <f>Mitigation_Industry!N$280*Mitigation_Industry!$K$273*MAX(Mitigation_Industry!$K$268,0)*Mitigation_Industry!$H$367/1000</f>
        <v>0</v>
      </c>
      <c r="O95" s="141">
        <f>Mitigation_Industry!O$280*Mitigation_Industry!$K$273*MAX(Mitigation_Industry!$K$268,0)*Mitigation_Industry!$H$367/1000</f>
        <v>0</v>
      </c>
      <c r="P95" s="141">
        <f>Mitigation_Industry!P$280*Mitigation_Industry!$K$273*MAX(Mitigation_Industry!$K$268,0)*Mitigation_Industry!$H$367/1000</f>
        <v>0</v>
      </c>
      <c r="Q95" s="141">
        <f>Mitigation_Industry!Q$280*Mitigation_Industry!$K$273*MAX(Mitigation_Industry!$K$268,0)*Mitigation_Industry!$H$367/1000</f>
        <v>0</v>
      </c>
      <c r="R95" s="141">
        <f>Mitigation_Industry!R$280*Mitigation_Industry!$K$273*MAX(Mitigation_Industry!$K$268,0)*Mitigation_Industry!$H$367/1000</f>
        <v>0</v>
      </c>
      <c r="S95" s="141">
        <f>Mitigation_Industry!S$280*Mitigation_Industry!$K$273*MAX(Mitigation_Industry!$K$268,0)*Mitigation_Industry!$H$367/1000</f>
        <v>0</v>
      </c>
      <c r="T95" s="141">
        <f>Mitigation_Industry!T$280*Mitigation_Industry!$K$273*MAX(Mitigation_Industry!$K$268,0)*Mitigation_Industry!$H$367/1000</f>
        <v>0</v>
      </c>
      <c r="U95" s="141">
        <f>Mitigation_Industry!U$280*Mitigation_Industry!$K$273*MAX(Mitigation_Industry!$K$268,0)*Mitigation_Industry!$H$367/1000</f>
        <v>0</v>
      </c>
      <c r="V95" s="141">
        <f>Mitigation_Industry!V$280*Mitigation_Industry!$K$273*MAX(Mitigation_Industry!$K$268,0)*Mitigation_Industry!$H$367/1000</f>
        <v>0</v>
      </c>
      <c r="W95" s="141">
        <f>Mitigation_Industry!W$280*Mitigation_Industry!$K$273*MAX(Mitigation_Industry!$K$268,0)*Mitigation_Industry!$H$367/1000</f>
        <v>0</v>
      </c>
      <c r="X95" s="141">
        <f>Mitigation_Industry!X$280*Mitigation_Industry!$K$273*MAX(Mitigation_Industry!$K$268,0)*Mitigation_Industry!$H$367/1000</f>
        <v>0</v>
      </c>
      <c r="Y95" s="141">
        <f>Mitigation_Industry!Y$280*Mitigation_Industry!$K$273*MAX(Mitigation_Industry!$K$268,0)*Mitigation_Industry!$H$367/1000</f>
        <v>0</v>
      </c>
      <c r="Z95" s="141">
        <f>Mitigation_Industry!Z$280*Mitigation_Industry!$K$273*MAX(Mitigation_Industry!$K$268,0)*Mitigation_Industry!$H$367/1000</f>
        <v>0</v>
      </c>
      <c r="AA95" s="141">
        <f>Mitigation_Industry!AA$280*Mitigation_Industry!$K$273*MAX(Mitigation_Industry!$K$268,0)*Mitigation_Industry!$H$367/1000</f>
        <v>0</v>
      </c>
      <c r="AB95" s="141">
        <f>Mitigation_Industry!AB$280*Mitigation_Industry!$K$273*MAX(Mitigation_Industry!$K$268,0)*Mitigation_Industry!$H$367/1000</f>
        <v>0</v>
      </c>
      <c r="AC95" s="141">
        <f>Mitigation_Industry!AC$280*Mitigation_Industry!$K$273*MAX(Mitigation_Industry!$K$268,0)*Mitigation_Industry!$H$367/1000</f>
        <v>0</v>
      </c>
      <c r="AD95" s="141">
        <f>Mitigation_Industry!AD$280*Mitigation_Industry!$K$273*MAX(Mitigation_Industry!$K$268,0)*Mitigation_Industry!$H$367/1000</f>
        <v>0</v>
      </c>
      <c r="AE95" s="141">
        <f>Mitigation_Industry!AE$280*Mitigation_Industry!$K$273*MAX(Mitigation_Industry!$K$268,0)*Mitigation_Industry!$H$367/1000</f>
        <v>0</v>
      </c>
      <c r="AF95" s="142"/>
      <c r="AG95" s="142"/>
      <c r="AH95" s="142"/>
      <c r="AI95" s="142"/>
    </row>
    <row r="96" spans="1:35" customFormat="1" ht="14.25" x14ac:dyDescent="0.45">
      <c r="B96" s="14" t="s">
        <v>2618</v>
      </c>
      <c r="C96" s="14" t="s">
        <v>117</v>
      </c>
      <c r="D96" s="15" t="s">
        <v>2678</v>
      </c>
      <c r="E96" s="16" t="s">
        <v>2094</v>
      </c>
      <c r="F96" s="14" t="s">
        <v>2663</v>
      </c>
      <c r="G96" s="17"/>
      <c r="H96" s="129" t="str">
        <f>Settings!$B$3&amp;".mit.wm.frt.ure.no.1"</f>
        <v>egy.mit.wm.frt.ure.no.1</v>
      </c>
      <c r="K96" s="140"/>
      <c r="L96" s="141">
        <f>Mitigation_Industry!L$281*Mitigation_Industry!$K$273*MAX(Mitigation_Industry!$K$269,0)*Mitigation_Industry!$H$368/1000</f>
        <v>0</v>
      </c>
      <c r="M96" s="141">
        <f>Mitigation_Industry!M$281*Mitigation_Industry!$K$273*MAX(Mitigation_Industry!$K$269,0)*Mitigation_Industry!$H$368/1000</f>
        <v>0</v>
      </c>
      <c r="N96" s="141">
        <f>Mitigation_Industry!N$281*Mitigation_Industry!$K$273*MAX(Mitigation_Industry!$K$269,0)*Mitigation_Industry!$H$368/1000</f>
        <v>0</v>
      </c>
      <c r="O96" s="141">
        <f>Mitigation_Industry!O$281*Mitigation_Industry!$K$273*MAX(Mitigation_Industry!$K$269,0)*Mitigation_Industry!$H$368/1000</f>
        <v>0</v>
      </c>
      <c r="P96" s="141">
        <f>Mitigation_Industry!P$281*Mitigation_Industry!$K$273*MAX(Mitigation_Industry!$K$269,0)*Mitigation_Industry!$H$368/1000</f>
        <v>0</v>
      </c>
      <c r="Q96" s="141">
        <f>Mitigation_Industry!Q$281*Mitigation_Industry!$K$273*MAX(Mitigation_Industry!$K$269,0)*Mitigation_Industry!$H$368/1000</f>
        <v>0</v>
      </c>
      <c r="R96" s="141">
        <f>Mitigation_Industry!R$281*Mitigation_Industry!$K$273*MAX(Mitigation_Industry!$K$269,0)*Mitigation_Industry!$H$368/1000</f>
        <v>0</v>
      </c>
      <c r="S96" s="141">
        <f>Mitigation_Industry!S$281*Mitigation_Industry!$K$273*MAX(Mitigation_Industry!$K$269,0)*Mitigation_Industry!$H$368/1000</f>
        <v>0</v>
      </c>
      <c r="T96" s="141">
        <f>Mitigation_Industry!T$281*Mitigation_Industry!$K$273*MAX(Mitigation_Industry!$K$269,0)*Mitigation_Industry!$H$368/1000</f>
        <v>0</v>
      </c>
      <c r="U96" s="141">
        <f>Mitigation_Industry!U$281*Mitigation_Industry!$K$273*MAX(Mitigation_Industry!$K$269,0)*Mitigation_Industry!$H$368/1000</f>
        <v>0</v>
      </c>
      <c r="V96" s="141">
        <f>Mitigation_Industry!V$281*Mitigation_Industry!$K$273*MAX(Mitigation_Industry!$K$269,0)*Mitigation_Industry!$H$368/1000</f>
        <v>0</v>
      </c>
      <c r="W96" s="141">
        <f>Mitigation_Industry!W$281*Mitigation_Industry!$K$273*MAX(Mitigation_Industry!$K$269,0)*Mitigation_Industry!$H$368/1000</f>
        <v>0</v>
      </c>
      <c r="X96" s="141">
        <f>Mitigation_Industry!X$281*Mitigation_Industry!$K$273*MAX(Mitigation_Industry!$K$269,0)*Mitigation_Industry!$H$368/1000</f>
        <v>0</v>
      </c>
      <c r="Y96" s="141">
        <f>Mitigation_Industry!Y$281*Mitigation_Industry!$K$273*MAX(Mitigation_Industry!$K$269,0)*Mitigation_Industry!$H$368/1000</f>
        <v>0</v>
      </c>
      <c r="Z96" s="141">
        <f>Mitigation_Industry!Z$281*Mitigation_Industry!$K$273*MAX(Mitigation_Industry!$K$269,0)*Mitigation_Industry!$H$368/1000</f>
        <v>0</v>
      </c>
      <c r="AA96" s="141">
        <f>Mitigation_Industry!AA$281*Mitigation_Industry!$K$273*MAX(Mitigation_Industry!$K$269,0)*Mitigation_Industry!$H$368/1000</f>
        <v>0</v>
      </c>
      <c r="AB96" s="141">
        <f>Mitigation_Industry!AB$281*Mitigation_Industry!$K$273*MAX(Mitigation_Industry!$K$269,0)*Mitigation_Industry!$H$368/1000</f>
        <v>0</v>
      </c>
      <c r="AC96" s="141">
        <f>Mitigation_Industry!AC$281*Mitigation_Industry!$K$273*MAX(Mitigation_Industry!$K$269,0)*Mitigation_Industry!$H$368/1000</f>
        <v>0</v>
      </c>
      <c r="AD96" s="141">
        <f>Mitigation_Industry!AD$281*Mitigation_Industry!$K$273*MAX(Mitigation_Industry!$K$269,0)*Mitigation_Industry!$H$368/1000</f>
        <v>0</v>
      </c>
      <c r="AE96" s="141">
        <f>Mitigation_Industry!AE$281*Mitigation_Industry!$K$273*MAX(Mitigation_Industry!$K$269,0)*Mitigation_Industry!$H$368/1000</f>
        <v>0</v>
      </c>
      <c r="AF96" s="142"/>
      <c r="AG96" s="142"/>
      <c r="AH96" s="142"/>
      <c r="AI96" s="142"/>
    </row>
    <row r="97" spans="1:35" customFormat="1" ht="14.25" x14ac:dyDescent="0.45">
      <c r="B97" s="14" t="s">
        <v>2620</v>
      </c>
      <c r="C97" s="14" t="s">
        <v>117</v>
      </c>
      <c r="D97" s="15" t="s">
        <v>2679</v>
      </c>
      <c r="E97" s="16" t="s">
        <v>2094</v>
      </c>
      <c r="F97" s="14" t="s">
        <v>2663</v>
      </c>
      <c r="G97" s="17"/>
      <c r="H97" s="129" t="str">
        <f>Settings!$B$3&amp;".mit.wm.frt.nit.no.1"</f>
        <v>egy.mit.wm.frt.nit.no.1</v>
      </c>
      <c r="K97" s="140"/>
      <c r="L97" s="141">
        <f>Mitigation_Industry!L$282*Mitigation_Industry!$K$273*MAX(Mitigation_Industry!$K$270,0)*Mitigation_Industry!$H$369/1000</f>
        <v>0.55721293959505358</v>
      </c>
      <c r="M97" s="141">
        <f>Mitigation_Industry!M$282*Mitigation_Industry!$K$273*MAX(Mitigation_Industry!$K$270,0)*Mitigation_Industry!$H$369/1000</f>
        <v>0.56947162426614473</v>
      </c>
      <c r="N97" s="141">
        <f>Mitigation_Industry!N$282*Mitigation_Industry!$K$273*MAX(Mitigation_Industry!$K$270,0)*Mitigation_Industry!$H$369/1000</f>
        <v>0.58199999999999996</v>
      </c>
      <c r="O97" s="141">
        <f>Mitigation_Industry!O$282*Mitigation_Industry!$K$273*MAX(Mitigation_Industry!$K$270,0)*Mitigation_Industry!$H$369/1000</f>
        <v>0.594804</v>
      </c>
      <c r="P97" s="141">
        <f>Mitigation_Industry!P$282*Mitigation_Industry!$K$273*MAX(Mitigation_Industry!$K$270,0)*Mitigation_Industry!$H$369/1000</f>
        <v>0.60788968799999998</v>
      </c>
      <c r="Q97" s="141">
        <f>Mitigation_Industry!Q$282*Mitigation_Industry!$K$273*MAX(Mitigation_Industry!$K$270,0)*Mitigation_Industry!$H$369/1000</f>
        <v>0.62126326113599994</v>
      </c>
      <c r="R97" s="141">
        <f>Mitigation_Industry!R$282*Mitigation_Industry!$K$273*MAX(Mitigation_Industry!$K$270,0)*Mitigation_Industry!$H$369/1000</f>
        <v>0.63493105288099194</v>
      </c>
      <c r="S97" s="141">
        <f>Mitigation_Industry!S$282*Mitigation_Industry!$K$273*MAX(Mitigation_Industry!$K$270,0)*Mitigation_Industry!$H$369/1000</f>
        <v>0.64889953604437378</v>
      </c>
      <c r="T97" s="141">
        <f>Mitigation_Industry!T$282*Mitigation_Industry!$K$273*MAX(Mitigation_Industry!$K$270,0)*Mitigation_Industry!$H$369/1000</f>
        <v>0.66317532583734995</v>
      </c>
      <c r="U97" s="141">
        <f>Mitigation_Industry!U$282*Mitigation_Industry!$K$273*MAX(Mitigation_Industry!$K$270,0)*Mitigation_Industry!$H$369/1000</f>
        <v>0.67776518300577171</v>
      </c>
      <c r="V97" s="141">
        <f>Mitigation_Industry!V$282*Mitigation_Industry!$K$273*MAX(Mitigation_Industry!$K$270,0)*Mitigation_Industry!$H$369/1000</f>
        <v>0.69267601703189885</v>
      </c>
      <c r="W97" s="141">
        <f>Mitigation_Industry!W$282*Mitigation_Industry!$K$273*MAX(Mitigation_Industry!$K$270,0)*Mitigation_Industry!$H$369/1000</f>
        <v>0.70791488940660041</v>
      </c>
      <c r="X97" s="141">
        <f>Mitigation_Industry!X$282*Mitigation_Industry!$K$273*MAX(Mitigation_Industry!$K$270,0)*Mitigation_Industry!$H$369/1000</f>
        <v>0.72348901697354573</v>
      </c>
      <c r="Y97" s="141">
        <f>Mitigation_Industry!Y$282*Mitigation_Industry!$K$273*MAX(Mitigation_Industry!$K$270,0)*Mitigation_Industry!$H$369/1000</f>
        <v>0.73940577534696372</v>
      </c>
      <c r="Z97" s="141">
        <f>Mitigation_Industry!Z$282*Mitigation_Industry!$K$273*MAX(Mitigation_Industry!$K$270,0)*Mitigation_Industry!$H$369/1000</f>
        <v>0.75567270240459705</v>
      </c>
      <c r="AA97" s="141">
        <f>Mitigation_Industry!AA$282*Mitigation_Industry!$K$273*MAX(Mitigation_Industry!$K$270,0)*Mitigation_Industry!$H$369/1000</f>
        <v>0.77229750185749824</v>
      </c>
      <c r="AB97" s="141">
        <f>Mitigation_Industry!AB$282*Mitigation_Industry!$K$273*MAX(Mitigation_Industry!$K$270,0)*Mitigation_Industry!$H$369/1000</f>
        <v>0.78928804689836307</v>
      </c>
      <c r="AC97" s="141">
        <f>Mitigation_Industry!AC$282*Mitigation_Industry!$K$273*MAX(Mitigation_Industry!$K$270,0)*Mitigation_Industry!$H$369/1000</f>
        <v>0.80665238393012706</v>
      </c>
      <c r="AD97" s="141">
        <f>Mitigation_Industry!AD$282*Mitigation_Industry!$K$273*MAX(Mitigation_Industry!$K$270,0)*Mitigation_Industry!$H$369/1000</f>
        <v>0.82439873637658989</v>
      </c>
      <c r="AE97" s="141">
        <f>Mitigation_Industry!AE$282*Mitigation_Industry!$K$273*MAX(Mitigation_Industry!$K$270,0)*Mitigation_Industry!$H$369/1000</f>
        <v>0.84253550857687487</v>
      </c>
      <c r="AF97" s="142"/>
      <c r="AG97" s="142"/>
      <c r="AH97" s="142"/>
      <c r="AI97" s="142"/>
    </row>
    <row r="98" spans="1:35" customFormat="1" ht="14.25" x14ac:dyDescent="0.45">
      <c r="B98" s="14" t="s">
        <v>2622</v>
      </c>
      <c r="C98" s="14" t="s">
        <v>115</v>
      </c>
      <c r="D98" s="15" t="s">
        <v>2680</v>
      </c>
      <c r="E98" s="16" t="s">
        <v>2094</v>
      </c>
      <c r="F98" s="14" t="s">
        <v>2663</v>
      </c>
      <c r="G98" s="17"/>
      <c r="H98" s="129" t="str">
        <f>Settings!$B$3&amp;".mit.wm.alu.prp.no.1"</f>
        <v>egy.mit.wm.alu.prp.no.1</v>
      </c>
      <c r="K98" s="140"/>
      <c r="L98" s="141">
        <f>Mitigation_Industry!L$283*Mitigation_Industry!$K$273*MAX(Mitigation_Industry!$K$271,0)*Mitigation_Industry!$H$370/1000</f>
        <v>0.22910536600705286</v>
      </c>
      <c r="M98" s="141">
        <f>Mitigation_Industry!M$283*Mitigation_Industry!$K$273*MAX(Mitigation_Industry!$K$271,0)*Mitigation_Industry!$H$370/1000</f>
        <v>0.24170616113744076</v>
      </c>
      <c r="N98" s="141">
        <f>Mitigation_Industry!N$283*Mitigation_Industry!$K$273*MAX(Mitigation_Industry!$K$271,0)*Mitigation_Industry!$H$370/1000</f>
        <v>0.255</v>
      </c>
      <c r="O98" s="141">
        <f>Mitigation_Industry!O$283*Mitigation_Industry!$K$273*MAX(Mitigation_Industry!$K$271,0)*Mitigation_Industry!$H$370/1000</f>
        <v>0.26902499999999996</v>
      </c>
      <c r="P98" s="141">
        <f>Mitigation_Industry!P$283*Mitigation_Industry!$K$273*MAX(Mitigation_Industry!$K$271,0)*Mitigation_Industry!$H$370/1000</f>
        <v>0.28382137499999999</v>
      </c>
      <c r="Q98" s="141">
        <f>Mitigation_Industry!Q$283*Mitigation_Industry!$K$273*MAX(Mitigation_Industry!$K$271,0)*Mitigation_Industry!$H$370/1000</f>
        <v>0.29943155062499993</v>
      </c>
      <c r="R98" s="141">
        <f>Mitigation_Industry!R$283*Mitigation_Industry!$K$273*MAX(Mitigation_Industry!$K$271,0)*Mitigation_Industry!$H$370/1000</f>
        <v>0.31590028590937497</v>
      </c>
      <c r="S98" s="141">
        <f>Mitigation_Industry!S$283*Mitigation_Industry!$K$273*MAX(Mitigation_Industry!$K$271,0)*Mitigation_Industry!$H$370/1000</f>
        <v>0.33327480163439055</v>
      </c>
      <c r="T98" s="141">
        <f>Mitigation_Industry!T$283*Mitigation_Industry!$K$273*MAX(Mitigation_Industry!$K$271,0)*Mitigation_Industry!$H$370/1000</f>
        <v>0.35160491572428204</v>
      </c>
      <c r="U98" s="141">
        <f>Mitigation_Industry!U$283*Mitigation_Industry!$K$273*MAX(Mitigation_Industry!$K$271,0)*Mitigation_Industry!$H$370/1000</f>
        <v>0.37094318608911747</v>
      </c>
      <c r="V98" s="141">
        <f>Mitigation_Industry!V$283*Mitigation_Industry!$K$273*MAX(Mitigation_Industry!$K$271,0)*Mitigation_Industry!$H$370/1000</f>
        <v>0.39134506132401897</v>
      </c>
      <c r="W98" s="141">
        <f>Mitigation_Industry!W$283*Mitigation_Industry!$K$273*MAX(Mitigation_Industry!$K$271,0)*Mitigation_Industry!$H$370/1000</f>
        <v>0.41286903969683997</v>
      </c>
      <c r="X98" s="141">
        <f>Mitigation_Industry!X$283*Mitigation_Industry!$K$273*MAX(Mitigation_Industry!$K$271,0)*Mitigation_Industry!$H$370/1000</f>
        <v>0.43557683688016618</v>
      </c>
      <c r="Y98" s="141">
        <f>Mitigation_Industry!Y$283*Mitigation_Industry!$K$273*MAX(Mitigation_Industry!$K$271,0)*Mitigation_Industry!$H$370/1000</f>
        <v>0.45953356290857528</v>
      </c>
      <c r="Z98" s="141">
        <f>Mitigation_Industry!Z$283*Mitigation_Industry!$K$273*MAX(Mitigation_Industry!$K$271,0)*Mitigation_Industry!$H$370/1000</f>
        <v>0.48480790886854697</v>
      </c>
      <c r="AA98" s="141">
        <f>Mitigation_Industry!AA$283*Mitigation_Industry!$K$273*MAX(Mitigation_Industry!$K$271,0)*Mitigation_Industry!$H$370/1000</f>
        <v>0.51147234385631701</v>
      </c>
      <c r="AB98" s="141">
        <f>Mitigation_Industry!AB$283*Mitigation_Industry!$K$273*MAX(Mitigation_Industry!$K$271,0)*Mitigation_Industry!$H$370/1000</f>
        <v>0.53960332276841438</v>
      </c>
      <c r="AC98" s="141">
        <f>Mitigation_Industry!AC$283*Mitigation_Industry!$K$273*MAX(Mitigation_Industry!$K$271,0)*Mitigation_Industry!$H$370/1000</f>
        <v>0.56928150552067713</v>
      </c>
      <c r="AD98" s="141">
        <f>Mitigation_Industry!AD$283*Mitigation_Industry!$K$273*MAX(Mitigation_Industry!$K$271,0)*Mitigation_Industry!$H$370/1000</f>
        <v>0.60059198832431437</v>
      </c>
      <c r="AE98" s="141">
        <f>Mitigation_Industry!AE$283*Mitigation_Industry!$K$273*MAX(Mitigation_Industry!$K$271,0)*Mitigation_Industry!$H$370/1000</f>
        <v>0.6336245476821516</v>
      </c>
      <c r="AF98" s="142"/>
      <c r="AG98" s="142"/>
      <c r="AH98" s="142"/>
      <c r="AI98" s="142"/>
    </row>
    <row r="99" spans="1:35" x14ac:dyDescent="0.35"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</row>
    <row r="100" spans="1:35" customFormat="1" ht="14.25" x14ac:dyDescent="0.45">
      <c r="A100" s="11"/>
      <c r="B100" s="6"/>
      <c r="C100" s="7" t="s">
        <v>2681</v>
      </c>
      <c r="D100" s="6" t="s">
        <v>1504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8">
        <v>2021</v>
      </c>
      <c r="L100" s="139">
        <v>2022</v>
      </c>
      <c r="M100" s="138">
        <v>2023</v>
      </c>
      <c r="N100" s="138">
        <v>2024</v>
      </c>
      <c r="O100" s="138">
        <v>2025</v>
      </c>
      <c r="P100" s="138">
        <v>2026</v>
      </c>
      <c r="Q100" s="138">
        <v>2027</v>
      </c>
      <c r="R100" s="138">
        <v>2028</v>
      </c>
      <c r="S100" s="138">
        <v>2029</v>
      </c>
      <c r="T100" s="138">
        <v>2030</v>
      </c>
      <c r="U100" s="138">
        <v>2031</v>
      </c>
      <c r="V100" s="138">
        <v>2032</v>
      </c>
      <c r="W100" s="138">
        <v>2033</v>
      </c>
      <c r="X100" s="138">
        <v>2034</v>
      </c>
      <c r="Y100" s="138">
        <v>2035</v>
      </c>
      <c r="Z100" s="138">
        <v>2036</v>
      </c>
      <c r="AA100" s="138">
        <v>2037</v>
      </c>
      <c r="AB100" s="138">
        <v>2038</v>
      </c>
      <c r="AC100" s="138">
        <v>2039</v>
      </c>
      <c r="AD100" s="138">
        <v>2040</v>
      </c>
      <c r="AE100" s="138">
        <v>2041</v>
      </c>
      <c r="AF100" s="138">
        <v>2042</v>
      </c>
      <c r="AG100" s="138">
        <v>2043</v>
      </c>
      <c r="AH100" s="138">
        <v>2044</v>
      </c>
      <c r="AI100" s="138">
        <v>2045</v>
      </c>
    </row>
    <row r="101" spans="1:35" customFormat="1" ht="14.25" x14ac:dyDescent="0.45">
      <c r="B101" s="14" t="s">
        <v>2591</v>
      </c>
      <c r="C101" s="14" t="s">
        <v>43</v>
      </c>
      <c r="D101" s="15" t="s">
        <v>2682</v>
      </c>
      <c r="E101" s="16" t="s">
        <v>2094</v>
      </c>
      <c r="F101" s="14" t="s">
        <v>2681</v>
      </c>
      <c r="G101" s="17"/>
      <c r="H101" s="129" t="str">
        <f>Settings!$B$3&amp;".mit.wp.stl.drg.np.1"</f>
        <v>egy.mit.wp.stl.drg.np.1</v>
      </c>
      <c r="I101" t="s">
        <v>2683</v>
      </c>
      <c r="K101" s="140"/>
      <c r="L101" s="141">
        <f t="shared" ref="L101:AE101" si="0">L$83*EXP(-L$65*L$27)</f>
        <v>0.18716695292200644</v>
      </c>
      <c r="M101" s="141">
        <f t="shared" si="0"/>
        <v>0.1954022988505747</v>
      </c>
      <c r="N101" s="141">
        <f t="shared" si="0"/>
        <v>0.20399999999999999</v>
      </c>
      <c r="O101" s="141">
        <f t="shared" si="0"/>
        <v>0.21297600000000003</v>
      </c>
      <c r="P101" s="141">
        <f t="shared" si="0"/>
        <v>0.22234694400000002</v>
      </c>
      <c r="Q101" s="141">
        <f t="shared" si="0"/>
        <v>0.23213020953600005</v>
      </c>
      <c r="R101" s="141">
        <f t="shared" si="0"/>
        <v>0.24234393875558402</v>
      </c>
      <c r="S101" s="141">
        <f t="shared" si="0"/>
        <v>0.25300707206082967</v>
      </c>
      <c r="T101" s="141">
        <f t="shared" si="0"/>
        <v>0.26413938323150626</v>
      </c>
      <c r="U101" s="141">
        <f t="shared" si="0"/>
        <v>0.27576151609369254</v>
      </c>
      <c r="V101" s="141">
        <f t="shared" si="0"/>
        <v>0.287895022801815</v>
      </c>
      <c r="W101" s="141">
        <f t="shared" si="0"/>
        <v>0.30056240380509491</v>
      </c>
      <c r="X101" s="141">
        <f t="shared" si="0"/>
        <v>0.31378714957251908</v>
      </c>
      <c r="Y101" s="141">
        <f t="shared" si="0"/>
        <v>0.32759378415370993</v>
      </c>
      <c r="Z101" s="141">
        <f t="shared" si="0"/>
        <v>0.34200791065647307</v>
      </c>
      <c r="AA101" s="141">
        <f t="shared" si="0"/>
        <v>0.3570562587253579</v>
      </c>
      <c r="AB101" s="141">
        <f t="shared" si="0"/>
        <v>0.37276673410927375</v>
      </c>
      <c r="AC101" s="141">
        <f t="shared" si="0"/>
        <v>0.38916847041008179</v>
      </c>
      <c r="AD101" s="141">
        <f t="shared" si="0"/>
        <v>0.40629188310812531</v>
      </c>
      <c r="AE101" s="141">
        <f t="shared" si="0"/>
        <v>0.42416872596488286</v>
      </c>
      <c r="AF101" s="142"/>
      <c r="AG101" s="142"/>
      <c r="AH101" s="142"/>
      <c r="AI101" s="142"/>
    </row>
    <row r="102" spans="1:35" customFormat="1" ht="14.25" x14ac:dyDescent="0.45">
      <c r="B102" s="14" t="s">
        <v>2594</v>
      </c>
      <c r="C102" s="14" t="s">
        <v>43</v>
      </c>
      <c r="D102" s="15" t="s">
        <v>2684</v>
      </c>
      <c r="E102" s="16" t="s">
        <v>2094</v>
      </c>
      <c r="F102" s="14" t="s">
        <v>2681</v>
      </c>
      <c r="G102" s="17"/>
      <c r="H102" s="129" t="str">
        <f>Settings!$B$3&amp;".mit.wp.stl.scr.np.1"</f>
        <v>egy.mit.wp.stl.scr.np.1</v>
      </c>
      <c r="K102" s="140"/>
      <c r="L102" s="141">
        <f t="shared" ref="L102:AE102" si="1">L$84*EXP(-L$66*L$28)</f>
        <v>6.6058924560708152E-2</v>
      </c>
      <c r="M102" s="141">
        <f t="shared" si="1"/>
        <v>6.8965517241379309E-2</v>
      </c>
      <c r="N102" s="141">
        <f t="shared" si="1"/>
        <v>7.1999999999999995E-2</v>
      </c>
      <c r="O102" s="141">
        <f t="shared" si="1"/>
        <v>7.5167999999999999E-2</v>
      </c>
      <c r="P102" s="141">
        <f t="shared" si="1"/>
        <v>7.8475392000000005E-2</v>
      </c>
      <c r="Q102" s="141">
        <f t="shared" si="1"/>
        <v>8.1928309248E-2</v>
      </c>
      <c r="R102" s="141">
        <f t="shared" si="1"/>
        <v>8.5533154854912002E-2</v>
      </c>
      <c r="S102" s="141">
        <f t="shared" si="1"/>
        <v>8.9296613668528119E-2</v>
      </c>
      <c r="T102" s="141">
        <f t="shared" si="1"/>
        <v>9.3225664669943364E-2</v>
      </c>
      <c r="U102" s="141">
        <f t="shared" si="1"/>
        <v>9.732759391542091E-2</v>
      </c>
      <c r="V102" s="141">
        <f t="shared" si="1"/>
        <v>0.10161000804769942</v>
      </c>
      <c r="W102" s="141">
        <f t="shared" si="1"/>
        <v>0.1060808484017982</v>
      </c>
      <c r="X102" s="141">
        <f t="shared" si="1"/>
        <v>0.1107484057314773</v>
      </c>
      <c r="Y102" s="141">
        <f t="shared" si="1"/>
        <v>0.11562133558366232</v>
      </c>
      <c r="Z102" s="141">
        <f t="shared" si="1"/>
        <v>0.12070867434934346</v>
      </c>
      <c r="AA102" s="141">
        <f t="shared" si="1"/>
        <v>0.12601985602071455</v>
      </c>
      <c r="AB102" s="141">
        <f t="shared" si="1"/>
        <v>0.13156472968562602</v>
      </c>
      <c r="AC102" s="141">
        <f t="shared" si="1"/>
        <v>0.13735357779179355</v>
      </c>
      <c r="AD102" s="141">
        <f t="shared" si="1"/>
        <v>0.14339713521463246</v>
      </c>
      <c r="AE102" s="141">
        <f t="shared" si="1"/>
        <v>0.1497066091640763</v>
      </c>
      <c r="AF102" s="142"/>
      <c r="AG102" s="142"/>
      <c r="AH102" s="142"/>
      <c r="AI102" s="142"/>
    </row>
    <row r="103" spans="1:35" customFormat="1" ht="14.25" x14ac:dyDescent="0.45">
      <c r="B103" s="14" t="s">
        <v>2596</v>
      </c>
      <c r="C103" s="14" t="s">
        <v>43</v>
      </c>
      <c r="D103" s="15" t="s">
        <v>2685</v>
      </c>
      <c r="E103" s="16" t="s">
        <v>2094</v>
      </c>
      <c r="F103" s="14" t="s">
        <v>2681</v>
      </c>
      <c r="G103" s="17"/>
      <c r="H103" s="129" t="str">
        <f>Settings!$B$3&amp;".mit.wp.stl.bof.np.1"</f>
        <v>egy.mit.wp.stl.bof.np.1</v>
      </c>
      <c r="K103" s="140"/>
      <c r="L103" s="141">
        <f t="shared" ref="L103:AE103" si="2">L$85*EXP(-L$67*L$29)</f>
        <v>0</v>
      </c>
      <c r="M103" s="141">
        <f t="shared" si="2"/>
        <v>0</v>
      </c>
      <c r="N103" s="141">
        <f t="shared" si="2"/>
        <v>0</v>
      </c>
      <c r="O103" s="141">
        <f t="shared" si="2"/>
        <v>0</v>
      </c>
      <c r="P103" s="141">
        <f t="shared" si="2"/>
        <v>0</v>
      </c>
      <c r="Q103" s="141">
        <f t="shared" si="2"/>
        <v>0</v>
      </c>
      <c r="R103" s="141">
        <f t="shared" si="2"/>
        <v>0</v>
      </c>
      <c r="S103" s="141">
        <f t="shared" si="2"/>
        <v>0</v>
      </c>
      <c r="T103" s="141">
        <f t="shared" si="2"/>
        <v>0</v>
      </c>
      <c r="U103" s="141">
        <f t="shared" si="2"/>
        <v>0</v>
      </c>
      <c r="V103" s="141">
        <f t="shared" si="2"/>
        <v>0</v>
      </c>
      <c r="W103" s="141">
        <f t="shared" si="2"/>
        <v>0</v>
      </c>
      <c r="X103" s="141">
        <f t="shared" si="2"/>
        <v>0</v>
      </c>
      <c r="Y103" s="141">
        <f t="shared" si="2"/>
        <v>0</v>
      </c>
      <c r="Z103" s="141">
        <f t="shared" si="2"/>
        <v>0</v>
      </c>
      <c r="AA103" s="141">
        <f t="shared" si="2"/>
        <v>0</v>
      </c>
      <c r="AB103" s="141">
        <f t="shared" si="2"/>
        <v>0</v>
      </c>
      <c r="AC103" s="141">
        <f t="shared" si="2"/>
        <v>0</v>
      </c>
      <c r="AD103" s="141">
        <f t="shared" si="2"/>
        <v>0</v>
      </c>
      <c r="AE103" s="141">
        <f t="shared" si="2"/>
        <v>0</v>
      </c>
      <c r="AF103" s="142"/>
      <c r="AG103" s="142"/>
      <c r="AH103" s="142"/>
      <c r="AI103" s="142"/>
    </row>
    <row r="104" spans="1:35" customFormat="1" ht="14.25" x14ac:dyDescent="0.45">
      <c r="B104" s="14" t="s">
        <v>2598</v>
      </c>
      <c r="C104" s="14" t="s">
        <v>113</v>
      </c>
      <c r="D104" s="15" t="s">
        <v>2686</v>
      </c>
      <c r="E104" s="16" t="s">
        <v>2094</v>
      </c>
      <c r="F104" s="14" t="s">
        <v>2681</v>
      </c>
      <c r="G104" s="17"/>
      <c r="H104" s="129" t="str">
        <f>Settings!$B$3&amp;".mit.wp.cmt.dry.np.1"</f>
        <v>egy.mit.wp.cmt.dry.np.1</v>
      </c>
      <c r="K104" s="140"/>
      <c r="L104" s="141">
        <f t="shared" ref="L104:AE104" si="3">L$86*EXP(-L$68*L$30)</f>
        <v>24.646491529759945</v>
      </c>
      <c r="M104" s="141">
        <f t="shared" si="3"/>
        <v>25.459825750242022</v>
      </c>
      <c r="N104" s="141">
        <f t="shared" si="3"/>
        <v>26.3</v>
      </c>
      <c r="O104" s="141">
        <f t="shared" si="3"/>
        <v>27.167899999999999</v>
      </c>
      <c r="P104" s="141">
        <f t="shared" si="3"/>
        <v>28.064440699999995</v>
      </c>
      <c r="Q104" s="141">
        <f t="shared" si="3"/>
        <v>28.990567243099992</v>
      </c>
      <c r="R104" s="141">
        <f t="shared" si="3"/>
        <v>29.947255962122291</v>
      </c>
      <c r="S104" s="141">
        <f t="shared" si="3"/>
        <v>30.935515408872323</v>
      </c>
      <c r="T104" s="141">
        <f t="shared" si="3"/>
        <v>31.956387417365107</v>
      </c>
      <c r="U104" s="141">
        <f t="shared" si="3"/>
        <v>33.010948202138145</v>
      </c>
      <c r="V104" s="141">
        <f t="shared" si="3"/>
        <v>34.100309492808698</v>
      </c>
      <c r="W104" s="141">
        <f t="shared" si="3"/>
        <v>35.225619706071392</v>
      </c>
      <c r="X104" s="141">
        <f t="shared" si="3"/>
        <v>36.388065156371731</v>
      </c>
      <c r="Y104" s="141">
        <f t="shared" si="3"/>
        <v>37.588871306532006</v>
      </c>
      <c r="Z104" s="141">
        <f t="shared" si="3"/>
        <v>38.829304059647555</v>
      </c>
      <c r="AA104" s="141">
        <f t="shared" si="3"/>
        <v>40.11067109361592</v>
      </c>
      <c r="AB104" s="141">
        <f t="shared" si="3"/>
        <v>41.434323239705236</v>
      </c>
      <c r="AC104" s="141">
        <f t="shared" si="3"/>
        <v>42.801655906615501</v>
      </c>
      <c r="AD104" s="141">
        <f t="shared" si="3"/>
        <v>44.214110551533814</v>
      </c>
      <c r="AE104" s="141">
        <f t="shared" si="3"/>
        <v>45.673176199734421</v>
      </c>
      <c r="AF104" s="142"/>
      <c r="AG104" s="142"/>
      <c r="AH104" s="142"/>
      <c r="AI104" s="142"/>
    </row>
    <row r="105" spans="1:35" customFormat="1" ht="14.25" x14ac:dyDescent="0.45">
      <c r="B105" s="14" t="s">
        <v>2600</v>
      </c>
      <c r="C105" s="14" t="s">
        <v>117</v>
      </c>
      <c r="D105" s="15" t="s">
        <v>2687</v>
      </c>
      <c r="E105" s="16" t="s">
        <v>2094</v>
      </c>
      <c r="F105" s="14" t="s">
        <v>2681</v>
      </c>
      <c r="G105" s="17"/>
      <c r="H105" s="129" t="str">
        <f>Settings!$B$3&amp;".mit.wp.frt.amc.np.1"</f>
        <v>egy.mit.wp.frt.amc.np.1</v>
      </c>
      <c r="K105" s="140"/>
      <c r="L105" s="141">
        <f t="shared" ref="L105:AE105" si="4">L$87*EXP(-L$69*L$31)</f>
        <v>0</v>
      </c>
      <c r="M105" s="141">
        <f t="shared" si="4"/>
        <v>0</v>
      </c>
      <c r="N105" s="141">
        <f t="shared" si="4"/>
        <v>0</v>
      </c>
      <c r="O105" s="141">
        <f t="shared" si="4"/>
        <v>0</v>
      </c>
      <c r="P105" s="141">
        <f t="shared" si="4"/>
        <v>0</v>
      </c>
      <c r="Q105" s="141">
        <f t="shared" si="4"/>
        <v>0</v>
      </c>
      <c r="R105" s="141">
        <f t="shared" si="4"/>
        <v>0</v>
      </c>
      <c r="S105" s="141">
        <f t="shared" si="4"/>
        <v>0</v>
      </c>
      <c r="T105" s="141">
        <f t="shared" si="4"/>
        <v>0</v>
      </c>
      <c r="U105" s="141">
        <f t="shared" si="4"/>
        <v>0</v>
      </c>
      <c r="V105" s="141">
        <f t="shared" si="4"/>
        <v>0</v>
      </c>
      <c r="W105" s="141">
        <f t="shared" si="4"/>
        <v>0</v>
      </c>
      <c r="X105" s="141">
        <f t="shared" si="4"/>
        <v>0</v>
      </c>
      <c r="Y105" s="141">
        <f t="shared" si="4"/>
        <v>0</v>
      </c>
      <c r="Z105" s="141">
        <f t="shared" si="4"/>
        <v>0</v>
      </c>
      <c r="AA105" s="141">
        <f t="shared" si="4"/>
        <v>0</v>
      </c>
      <c r="AB105" s="141">
        <f t="shared" si="4"/>
        <v>0</v>
      </c>
      <c r="AC105" s="141">
        <f t="shared" si="4"/>
        <v>0</v>
      </c>
      <c r="AD105" s="141">
        <f t="shared" si="4"/>
        <v>0</v>
      </c>
      <c r="AE105" s="141">
        <f t="shared" si="4"/>
        <v>0</v>
      </c>
      <c r="AF105" s="142"/>
      <c r="AG105" s="142"/>
      <c r="AH105" s="142"/>
      <c r="AI105" s="142"/>
    </row>
    <row r="106" spans="1:35" customFormat="1" ht="14.25" x14ac:dyDescent="0.45">
      <c r="B106" s="14" t="s">
        <v>2602</v>
      </c>
      <c r="C106" s="14" t="s">
        <v>117</v>
      </c>
      <c r="D106" s="15" t="s">
        <v>2688</v>
      </c>
      <c r="E106" s="16" t="s">
        <v>2094</v>
      </c>
      <c r="F106" s="14" t="s">
        <v>2681</v>
      </c>
      <c r="G106" s="17"/>
      <c r="H106" s="129" t="str">
        <f>Settings!$B$3&amp;".mit.wp.frt.ure.np.1"</f>
        <v>egy.mit.wp.frt.ure.np.1</v>
      </c>
      <c r="K106" s="140"/>
      <c r="L106" s="141">
        <f t="shared" ref="L106:AE106" si="5">L$88*EXP(-L$70*L$32)</f>
        <v>0</v>
      </c>
      <c r="M106" s="141">
        <f t="shared" si="5"/>
        <v>0</v>
      </c>
      <c r="N106" s="141">
        <f t="shared" si="5"/>
        <v>0</v>
      </c>
      <c r="O106" s="141">
        <f t="shared" si="5"/>
        <v>0</v>
      </c>
      <c r="P106" s="141">
        <f t="shared" si="5"/>
        <v>0</v>
      </c>
      <c r="Q106" s="141">
        <f t="shared" si="5"/>
        <v>0</v>
      </c>
      <c r="R106" s="141">
        <f t="shared" si="5"/>
        <v>0</v>
      </c>
      <c r="S106" s="141">
        <f t="shared" si="5"/>
        <v>0</v>
      </c>
      <c r="T106" s="141">
        <f t="shared" si="5"/>
        <v>0</v>
      </c>
      <c r="U106" s="141">
        <f t="shared" si="5"/>
        <v>0</v>
      </c>
      <c r="V106" s="141">
        <f t="shared" si="5"/>
        <v>0</v>
      </c>
      <c r="W106" s="141">
        <f t="shared" si="5"/>
        <v>0</v>
      </c>
      <c r="X106" s="141">
        <f t="shared" si="5"/>
        <v>0</v>
      </c>
      <c r="Y106" s="141">
        <f t="shared" si="5"/>
        <v>0</v>
      </c>
      <c r="Z106" s="141">
        <f t="shared" si="5"/>
        <v>0</v>
      </c>
      <c r="AA106" s="141">
        <f t="shared" si="5"/>
        <v>0</v>
      </c>
      <c r="AB106" s="141">
        <f t="shared" si="5"/>
        <v>0</v>
      </c>
      <c r="AC106" s="141">
        <f t="shared" si="5"/>
        <v>0</v>
      </c>
      <c r="AD106" s="141">
        <f t="shared" si="5"/>
        <v>0</v>
      </c>
      <c r="AE106" s="141">
        <f t="shared" si="5"/>
        <v>0</v>
      </c>
      <c r="AF106" s="142"/>
      <c r="AG106" s="142"/>
      <c r="AH106" s="142"/>
      <c r="AI106" s="142"/>
    </row>
    <row r="107" spans="1:35" customFormat="1" ht="14.25" x14ac:dyDescent="0.45">
      <c r="B107" s="14" t="s">
        <v>2604</v>
      </c>
      <c r="C107" s="14" t="s">
        <v>117</v>
      </c>
      <c r="D107" s="15" t="s">
        <v>2689</v>
      </c>
      <c r="E107" s="16" t="s">
        <v>2094</v>
      </c>
      <c r="F107" s="14" t="s">
        <v>2681</v>
      </c>
      <c r="G107" s="17"/>
      <c r="H107" s="129" t="str">
        <f>Settings!$B$3&amp;".mit.wp.frt.nit.np.1"</f>
        <v>egy.mit.wp.frt.nit.np.1</v>
      </c>
      <c r="K107" s="140"/>
      <c r="L107" s="141">
        <f t="shared" ref="L107:AE107" si="6">L$89*EXP(-L$71*L$33)</f>
        <v>0</v>
      </c>
      <c r="M107" s="141">
        <f t="shared" si="6"/>
        <v>0</v>
      </c>
      <c r="N107" s="141">
        <f t="shared" si="6"/>
        <v>0</v>
      </c>
      <c r="O107" s="141">
        <f t="shared" si="6"/>
        <v>0</v>
      </c>
      <c r="P107" s="141">
        <f t="shared" si="6"/>
        <v>0</v>
      </c>
      <c r="Q107" s="141">
        <f t="shared" si="6"/>
        <v>0</v>
      </c>
      <c r="R107" s="141">
        <f t="shared" si="6"/>
        <v>0</v>
      </c>
      <c r="S107" s="141">
        <f t="shared" si="6"/>
        <v>0</v>
      </c>
      <c r="T107" s="141">
        <f t="shared" si="6"/>
        <v>0</v>
      </c>
      <c r="U107" s="141">
        <f t="shared" si="6"/>
        <v>0</v>
      </c>
      <c r="V107" s="141">
        <f t="shared" si="6"/>
        <v>0</v>
      </c>
      <c r="W107" s="141">
        <f t="shared" si="6"/>
        <v>0</v>
      </c>
      <c r="X107" s="141">
        <f t="shared" si="6"/>
        <v>0</v>
      </c>
      <c r="Y107" s="141">
        <f t="shared" si="6"/>
        <v>0</v>
      </c>
      <c r="Z107" s="141">
        <f t="shared" si="6"/>
        <v>0</v>
      </c>
      <c r="AA107" s="141">
        <f t="shared" si="6"/>
        <v>0</v>
      </c>
      <c r="AB107" s="141">
        <f t="shared" si="6"/>
        <v>0</v>
      </c>
      <c r="AC107" s="141">
        <f t="shared" si="6"/>
        <v>0</v>
      </c>
      <c r="AD107" s="141">
        <f t="shared" si="6"/>
        <v>0</v>
      </c>
      <c r="AE107" s="141">
        <f t="shared" si="6"/>
        <v>0</v>
      </c>
      <c r="AF107" s="142"/>
      <c r="AG107" s="142"/>
      <c r="AH107" s="142"/>
      <c r="AI107" s="142"/>
    </row>
    <row r="108" spans="1:35" customFormat="1" ht="14.25" x14ac:dyDescent="0.45">
      <c r="B108" s="14" t="s">
        <v>2606</v>
      </c>
      <c r="C108" s="14" t="s">
        <v>115</v>
      </c>
      <c r="D108" s="15" t="s">
        <v>2690</v>
      </c>
      <c r="E108" s="16" t="s">
        <v>2094</v>
      </c>
      <c r="F108" s="14" t="s">
        <v>2681</v>
      </c>
      <c r="G108" s="17"/>
      <c r="H108" s="129" t="str">
        <f>Settings!$B$3&amp;".mit.wp.alu.prp.np.1"</f>
        <v>egy.mit.wp.alu.prp.np.1</v>
      </c>
      <c r="K108" s="140"/>
      <c r="L108" s="141">
        <f t="shared" ref="L108:AE108" si="7">L$90*EXP(-L$72*L$34)</f>
        <v>0.40430358707126968</v>
      </c>
      <c r="M108" s="141">
        <f t="shared" si="7"/>
        <v>0.42654028436018954</v>
      </c>
      <c r="N108" s="141">
        <f t="shared" si="7"/>
        <v>0.45</v>
      </c>
      <c r="O108" s="141">
        <f t="shared" si="7"/>
        <v>0.47475000000000001</v>
      </c>
      <c r="P108" s="141">
        <f t="shared" si="7"/>
        <v>0.50086124999999992</v>
      </c>
      <c r="Q108" s="141">
        <f t="shared" si="7"/>
        <v>0.52840861874999989</v>
      </c>
      <c r="R108" s="141">
        <f t="shared" si="7"/>
        <v>0.55747109278124996</v>
      </c>
      <c r="S108" s="141">
        <f t="shared" si="7"/>
        <v>0.58813200288421852</v>
      </c>
      <c r="T108" s="141">
        <f t="shared" si="7"/>
        <v>0.62047926304285062</v>
      </c>
      <c r="U108" s="141">
        <f t="shared" si="7"/>
        <v>0.65460562251020737</v>
      </c>
      <c r="V108" s="141">
        <f t="shared" si="7"/>
        <v>0.69060893174826876</v>
      </c>
      <c r="W108" s="141">
        <f t="shared" si="7"/>
        <v>0.72859242299442351</v>
      </c>
      <c r="X108" s="141">
        <f t="shared" si="7"/>
        <v>0.76866500625911682</v>
      </c>
      <c r="Y108" s="141">
        <f t="shared" si="7"/>
        <v>0.81094158160336816</v>
      </c>
      <c r="Z108" s="141">
        <f t="shared" si="7"/>
        <v>0.85554336859155344</v>
      </c>
      <c r="AA108" s="141">
        <f t="shared" si="7"/>
        <v>0.90259825386408876</v>
      </c>
      <c r="AB108" s="141">
        <f t="shared" si="7"/>
        <v>0.95224115782661378</v>
      </c>
      <c r="AC108" s="141">
        <f t="shared" si="7"/>
        <v>1.0046144215070774</v>
      </c>
      <c r="AD108" s="141">
        <f t="shared" si="7"/>
        <v>1.0598682146899667</v>
      </c>
      <c r="AE108" s="141">
        <f t="shared" si="7"/>
        <v>1.1181609664979146</v>
      </c>
      <c r="AF108" s="142"/>
      <c r="AG108" s="142"/>
      <c r="AH108" s="142"/>
      <c r="AI108" s="142"/>
    </row>
    <row r="109" spans="1:35" customFormat="1" ht="14.25" x14ac:dyDescent="0.45">
      <c r="B109" s="14" t="s">
        <v>2608</v>
      </c>
      <c r="C109" s="14" t="s">
        <v>43</v>
      </c>
      <c r="D109" s="15" t="s">
        <v>2691</v>
      </c>
      <c r="E109" s="16" t="s">
        <v>2094</v>
      </c>
      <c r="F109" s="14" t="s">
        <v>2681</v>
      </c>
      <c r="G109" s="17"/>
      <c r="H109" s="129" t="str">
        <f>Settings!$B$3&amp;".mit.wp.stl.drg.no.1"</f>
        <v>egy.mit.wp.stl.drg.no.1</v>
      </c>
      <c r="K109" s="140"/>
      <c r="L109" s="141">
        <f t="shared" ref="L109:AE109" si="8">L$91*EXP(-L$73*L$35)</f>
        <v>0</v>
      </c>
      <c r="M109" s="141">
        <f t="shared" si="8"/>
        <v>0</v>
      </c>
      <c r="N109" s="141">
        <f t="shared" si="8"/>
        <v>0</v>
      </c>
      <c r="O109" s="141">
        <f t="shared" si="8"/>
        <v>0</v>
      </c>
      <c r="P109" s="141">
        <f t="shared" si="8"/>
        <v>0</v>
      </c>
      <c r="Q109" s="141">
        <f t="shared" si="8"/>
        <v>0</v>
      </c>
      <c r="R109" s="141">
        <f t="shared" si="8"/>
        <v>0</v>
      </c>
      <c r="S109" s="141">
        <f t="shared" si="8"/>
        <v>0</v>
      </c>
      <c r="T109" s="141">
        <f t="shared" si="8"/>
        <v>0</v>
      </c>
      <c r="U109" s="141">
        <f t="shared" si="8"/>
        <v>0</v>
      </c>
      <c r="V109" s="141">
        <f t="shared" si="8"/>
        <v>0</v>
      </c>
      <c r="W109" s="141">
        <f t="shared" si="8"/>
        <v>0</v>
      </c>
      <c r="X109" s="141">
        <f t="shared" si="8"/>
        <v>0</v>
      </c>
      <c r="Y109" s="141">
        <f t="shared" si="8"/>
        <v>0</v>
      </c>
      <c r="Z109" s="141">
        <f t="shared" si="8"/>
        <v>0</v>
      </c>
      <c r="AA109" s="141">
        <f t="shared" si="8"/>
        <v>0</v>
      </c>
      <c r="AB109" s="141">
        <f t="shared" si="8"/>
        <v>0</v>
      </c>
      <c r="AC109" s="141">
        <f t="shared" si="8"/>
        <v>0</v>
      </c>
      <c r="AD109" s="141">
        <f t="shared" si="8"/>
        <v>0</v>
      </c>
      <c r="AE109" s="141">
        <f t="shared" si="8"/>
        <v>0</v>
      </c>
      <c r="AF109" s="142"/>
      <c r="AG109" s="142"/>
      <c r="AH109" s="142"/>
      <c r="AI109" s="142"/>
    </row>
    <row r="110" spans="1:35" customFormat="1" ht="14.25" x14ac:dyDescent="0.45">
      <c r="B110" s="14" t="s">
        <v>2610</v>
      </c>
      <c r="C110" s="14" t="s">
        <v>43</v>
      </c>
      <c r="D110" s="15" t="s">
        <v>2692</v>
      </c>
      <c r="E110" s="16" t="s">
        <v>2094</v>
      </c>
      <c r="F110" s="14" t="s">
        <v>2681</v>
      </c>
      <c r="G110" s="17"/>
      <c r="H110" s="129" t="str">
        <f>Settings!$B$3&amp;".mit.wp.stl.scr.no.1"</f>
        <v>egy.mit.wp.stl.scr.no.1</v>
      </c>
      <c r="K110" s="140"/>
      <c r="L110" s="141">
        <f t="shared" ref="L110:AE110" si="9">L$92*EXP(-L$74*L$36)</f>
        <v>0</v>
      </c>
      <c r="M110" s="141">
        <f t="shared" si="9"/>
        <v>0</v>
      </c>
      <c r="N110" s="141">
        <f t="shared" si="9"/>
        <v>0</v>
      </c>
      <c r="O110" s="141">
        <f t="shared" si="9"/>
        <v>0</v>
      </c>
      <c r="P110" s="141">
        <f t="shared" si="9"/>
        <v>0</v>
      </c>
      <c r="Q110" s="141">
        <f t="shared" si="9"/>
        <v>0</v>
      </c>
      <c r="R110" s="141">
        <f t="shared" si="9"/>
        <v>0</v>
      </c>
      <c r="S110" s="141">
        <f t="shared" si="9"/>
        <v>0</v>
      </c>
      <c r="T110" s="141">
        <f t="shared" si="9"/>
        <v>0</v>
      </c>
      <c r="U110" s="141">
        <f t="shared" si="9"/>
        <v>0</v>
      </c>
      <c r="V110" s="141">
        <f t="shared" si="9"/>
        <v>0</v>
      </c>
      <c r="W110" s="141">
        <f t="shared" si="9"/>
        <v>0</v>
      </c>
      <c r="X110" s="141">
        <f t="shared" si="9"/>
        <v>0</v>
      </c>
      <c r="Y110" s="141">
        <f t="shared" si="9"/>
        <v>0</v>
      </c>
      <c r="Z110" s="141">
        <f t="shared" si="9"/>
        <v>0</v>
      </c>
      <c r="AA110" s="141">
        <f t="shared" si="9"/>
        <v>0</v>
      </c>
      <c r="AB110" s="141">
        <f t="shared" si="9"/>
        <v>0</v>
      </c>
      <c r="AC110" s="141">
        <f t="shared" si="9"/>
        <v>0</v>
      </c>
      <c r="AD110" s="141">
        <f t="shared" si="9"/>
        <v>0</v>
      </c>
      <c r="AE110" s="141">
        <f t="shared" si="9"/>
        <v>0</v>
      </c>
      <c r="AF110" s="142"/>
      <c r="AG110" s="142"/>
      <c r="AH110" s="142"/>
      <c r="AI110" s="142"/>
    </row>
    <row r="111" spans="1:35" customFormat="1" ht="14.25" x14ac:dyDescent="0.45">
      <c r="B111" s="14" t="s">
        <v>2612</v>
      </c>
      <c r="C111" s="14" t="s">
        <v>43</v>
      </c>
      <c r="D111" s="15" t="s">
        <v>2693</v>
      </c>
      <c r="E111" s="16" t="s">
        <v>2094</v>
      </c>
      <c r="F111" s="14" t="s">
        <v>2681</v>
      </c>
      <c r="G111" s="17"/>
      <c r="H111" s="129" t="str">
        <f>Settings!$B$3&amp;".mit.wp.stl.bof.no.1"</f>
        <v>egy.mit.wp.stl.bof.no.1</v>
      </c>
      <c r="K111" s="140"/>
      <c r="L111" s="141">
        <f t="shared" ref="L111:AE111" si="10">L$93*EXP(-L$75*L$37)</f>
        <v>0</v>
      </c>
      <c r="M111" s="141">
        <f t="shared" si="10"/>
        <v>0</v>
      </c>
      <c r="N111" s="141">
        <f t="shared" si="10"/>
        <v>0</v>
      </c>
      <c r="O111" s="141">
        <f t="shared" si="10"/>
        <v>0</v>
      </c>
      <c r="P111" s="141">
        <f t="shared" si="10"/>
        <v>0</v>
      </c>
      <c r="Q111" s="141">
        <f t="shared" si="10"/>
        <v>0</v>
      </c>
      <c r="R111" s="141">
        <f t="shared" si="10"/>
        <v>0</v>
      </c>
      <c r="S111" s="141">
        <f t="shared" si="10"/>
        <v>0</v>
      </c>
      <c r="T111" s="141">
        <f t="shared" si="10"/>
        <v>0</v>
      </c>
      <c r="U111" s="141">
        <f t="shared" si="10"/>
        <v>0</v>
      </c>
      <c r="V111" s="141">
        <f t="shared" si="10"/>
        <v>0</v>
      </c>
      <c r="W111" s="141">
        <f t="shared" si="10"/>
        <v>0</v>
      </c>
      <c r="X111" s="141">
        <f t="shared" si="10"/>
        <v>0</v>
      </c>
      <c r="Y111" s="141">
        <f t="shared" si="10"/>
        <v>0</v>
      </c>
      <c r="Z111" s="141">
        <f t="shared" si="10"/>
        <v>0</v>
      </c>
      <c r="AA111" s="141">
        <f t="shared" si="10"/>
        <v>0</v>
      </c>
      <c r="AB111" s="141">
        <f t="shared" si="10"/>
        <v>0</v>
      </c>
      <c r="AC111" s="141">
        <f t="shared" si="10"/>
        <v>0</v>
      </c>
      <c r="AD111" s="141">
        <f t="shared" si="10"/>
        <v>0</v>
      </c>
      <c r="AE111" s="141">
        <f t="shared" si="10"/>
        <v>0</v>
      </c>
      <c r="AF111" s="142"/>
      <c r="AG111" s="142"/>
      <c r="AH111" s="142"/>
      <c r="AI111" s="142"/>
    </row>
    <row r="112" spans="1:35" customFormat="1" ht="14.25" x14ac:dyDescent="0.45">
      <c r="B112" s="14" t="s">
        <v>2614</v>
      </c>
      <c r="C112" s="14" t="s">
        <v>113</v>
      </c>
      <c r="D112" s="15" t="s">
        <v>2694</v>
      </c>
      <c r="E112" s="16" t="s">
        <v>2094</v>
      </c>
      <c r="F112" s="14" t="s">
        <v>2681</v>
      </c>
      <c r="G112" s="17"/>
      <c r="H112" s="129" t="str">
        <f>Settings!$B$3&amp;".mit.wp.cmt.dry.no.1"</f>
        <v>egy.mit.wp.cmt.dry.no.1</v>
      </c>
      <c r="K112" s="140"/>
      <c r="L112" s="141">
        <f t="shared" ref="L112:AE112" si="11">L$94*EXP(-L$76*L$38)</f>
        <v>0</v>
      </c>
      <c r="M112" s="141">
        <f t="shared" si="11"/>
        <v>0</v>
      </c>
      <c r="N112" s="141">
        <f t="shared" si="11"/>
        <v>0</v>
      </c>
      <c r="O112" s="141">
        <f t="shared" si="11"/>
        <v>0</v>
      </c>
      <c r="P112" s="141">
        <f t="shared" si="11"/>
        <v>0</v>
      </c>
      <c r="Q112" s="141">
        <f t="shared" si="11"/>
        <v>0</v>
      </c>
      <c r="R112" s="141">
        <f t="shared" si="11"/>
        <v>0</v>
      </c>
      <c r="S112" s="141">
        <f t="shared" si="11"/>
        <v>0</v>
      </c>
      <c r="T112" s="141">
        <f t="shared" si="11"/>
        <v>0</v>
      </c>
      <c r="U112" s="141">
        <f t="shared" si="11"/>
        <v>0</v>
      </c>
      <c r="V112" s="141">
        <f t="shared" si="11"/>
        <v>0</v>
      </c>
      <c r="W112" s="141">
        <f t="shared" si="11"/>
        <v>0</v>
      </c>
      <c r="X112" s="141">
        <f t="shared" si="11"/>
        <v>0</v>
      </c>
      <c r="Y112" s="141">
        <f t="shared" si="11"/>
        <v>0</v>
      </c>
      <c r="Z112" s="141">
        <f t="shared" si="11"/>
        <v>0</v>
      </c>
      <c r="AA112" s="141">
        <f t="shared" si="11"/>
        <v>0</v>
      </c>
      <c r="AB112" s="141">
        <f t="shared" si="11"/>
        <v>0</v>
      </c>
      <c r="AC112" s="141">
        <f t="shared" si="11"/>
        <v>0</v>
      </c>
      <c r="AD112" s="141">
        <f t="shared" si="11"/>
        <v>0</v>
      </c>
      <c r="AE112" s="141">
        <f t="shared" si="11"/>
        <v>0</v>
      </c>
      <c r="AF112" s="142"/>
      <c r="AG112" s="142"/>
      <c r="AH112" s="142"/>
      <c r="AI112" s="142"/>
    </row>
    <row r="113" spans="1:35" customFormat="1" ht="14.25" x14ac:dyDescent="0.45">
      <c r="B113" s="14" t="s">
        <v>2616</v>
      </c>
      <c r="C113" s="14" t="s">
        <v>117</v>
      </c>
      <c r="D113" s="15" t="s">
        <v>2695</v>
      </c>
      <c r="E113" s="16" t="s">
        <v>2094</v>
      </c>
      <c r="F113" s="14" t="s">
        <v>2681</v>
      </c>
      <c r="G113" s="17"/>
      <c r="H113" s="129" t="str">
        <f>Settings!$B$3&amp;".mit.wp.frt.amc.no.1"</f>
        <v>egy.mit.wp.frt.amc.no.1</v>
      </c>
      <c r="K113" s="140"/>
      <c r="L113" s="141">
        <f t="shared" ref="L113:AE113" si="12">L$95*EXP(-L$77*L$39)</f>
        <v>0</v>
      </c>
      <c r="M113" s="141">
        <f t="shared" si="12"/>
        <v>0</v>
      </c>
      <c r="N113" s="141">
        <f t="shared" si="12"/>
        <v>0</v>
      </c>
      <c r="O113" s="141">
        <f t="shared" si="12"/>
        <v>0</v>
      </c>
      <c r="P113" s="141">
        <f t="shared" si="12"/>
        <v>0</v>
      </c>
      <c r="Q113" s="141">
        <f t="shared" si="12"/>
        <v>0</v>
      </c>
      <c r="R113" s="141">
        <f t="shared" si="12"/>
        <v>0</v>
      </c>
      <c r="S113" s="141">
        <f t="shared" si="12"/>
        <v>0</v>
      </c>
      <c r="T113" s="141">
        <f t="shared" si="12"/>
        <v>0</v>
      </c>
      <c r="U113" s="141">
        <f t="shared" si="12"/>
        <v>0</v>
      </c>
      <c r="V113" s="141">
        <f t="shared" si="12"/>
        <v>0</v>
      </c>
      <c r="W113" s="141">
        <f t="shared" si="12"/>
        <v>0</v>
      </c>
      <c r="X113" s="141">
        <f t="shared" si="12"/>
        <v>0</v>
      </c>
      <c r="Y113" s="141">
        <f t="shared" si="12"/>
        <v>0</v>
      </c>
      <c r="Z113" s="141">
        <f t="shared" si="12"/>
        <v>0</v>
      </c>
      <c r="AA113" s="141">
        <f t="shared" si="12"/>
        <v>0</v>
      </c>
      <c r="AB113" s="141">
        <f t="shared" si="12"/>
        <v>0</v>
      </c>
      <c r="AC113" s="141">
        <f t="shared" si="12"/>
        <v>0</v>
      </c>
      <c r="AD113" s="141">
        <f t="shared" si="12"/>
        <v>0</v>
      </c>
      <c r="AE113" s="141">
        <f t="shared" si="12"/>
        <v>0</v>
      </c>
      <c r="AF113" s="142"/>
      <c r="AG113" s="142"/>
      <c r="AH113" s="142"/>
      <c r="AI113" s="142"/>
    </row>
    <row r="114" spans="1:35" customFormat="1" ht="14.25" x14ac:dyDescent="0.45">
      <c r="B114" s="14" t="s">
        <v>2618</v>
      </c>
      <c r="C114" s="14" t="s">
        <v>117</v>
      </c>
      <c r="D114" s="15" t="s">
        <v>2696</v>
      </c>
      <c r="E114" s="16" t="s">
        <v>2094</v>
      </c>
      <c r="F114" s="14" t="s">
        <v>2681</v>
      </c>
      <c r="G114" s="17"/>
      <c r="H114" s="129" t="str">
        <f>Settings!$B$3&amp;".mit.wp.frt.ure.no.1"</f>
        <v>egy.mit.wp.frt.ure.no.1</v>
      </c>
      <c r="K114" s="140"/>
      <c r="L114" s="141">
        <f t="shared" ref="L114:AE114" si="13">L$96*EXP(-L$78*L$40)</f>
        <v>0</v>
      </c>
      <c r="M114" s="141">
        <f t="shared" si="13"/>
        <v>0</v>
      </c>
      <c r="N114" s="141">
        <f t="shared" si="13"/>
        <v>0</v>
      </c>
      <c r="O114" s="141">
        <f t="shared" si="13"/>
        <v>0</v>
      </c>
      <c r="P114" s="141">
        <f t="shared" si="13"/>
        <v>0</v>
      </c>
      <c r="Q114" s="141">
        <f t="shared" si="13"/>
        <v>0</v>
      </c>
      <c r="R114" s="141">
        <f t="shared" si="13"/>
        <v>0</v>
      </c>
      <c r="S114" s="141">
        <f t="shared" si="13"/>
        <v>0</v>
      </c>
      <c r="T114" s="141">
        <f t="shared" si="13"/>
        <v>0</v>
      </c>
      <c r="U114" s="141">
        <f t="shared" si="13"/>
        <v>0</v>
      </c>
      <c r="V114" s="141">
        <f t="shared" si="13"/>
        <v>0</v>
      </c>
      <c r="W114" s="141">
        <f t="shared" si="13"/>
        <v>0</v>
      </c>
      <c r="X114" s="141">
        <f t="shared" si="13"/>
        <v>0</v>
      </c>
      <c r="Y114" s="141">
        <f t="shared" si="13"/>
        <v>0</v>
      </c>
      <c r="Z114" s="141">
        <f t="shared" si="13"/>
        <v>0</v>
      </c>
      <c r="AA114" s="141">
        <f t="shared" si="13"/>
        <v>0</v>
      </c>
      <c r="AB114" s="141">
        <f t="shared" si="13"/>
        <v>0</v>
      </c>
      <c r="AC114" s="141">
        <f t="shared" si="13"/>
        <v>0</v>
      </c>
      <c r="AD114" s="141">
        <f t="shared" si="13"/>
        <v>0</v>
      </c>
      <c r="AE114" s="141">
        <f t="shared" si="13"/>
        <v>0</v>
      </c>
      <c r="AF114" s="142"/>
      <c r="AG114" s="142"/>
      <c r="AH114" s="142"/>
      <c r="AI114" s="142"/>
    </row>
    <row r="115" spans="1:35" customFormat="1" ht="14.25" x14ac:dyDescent="0.45">
      <c r="B115" s="14" t="s">
        <v>2620</v>
      </c>
      <c r="C115" s="14" t="s">
        <v>117</v>
      </c>
      <c r="D115" s="15" t="s">
        <v>2697</v>
      </c>
      <c r="E115" s="16" t="s">
        <v>2094</v>
      </c>
      <c r="F115" s="14" t="s">
        <v>2681</v>
      </c>
      <c r="G115" s="17"/>
      <c r="H115" s="129" t="str">
        <f>Settings!$B$3&amp;".mit.wp.frt.nit.no.1"</f>
        <v>egy.mit.wp.frt.nit.no.1</v>
      </c>
      <c r="K115" s="140"/>
      <c r="L115" s="141">
        <f t="shared" ref="L115:AE115" si="14">L$97*EXP(-L$79*L$41)</f>
        <v>0.55721293959505358</v>
      </c>
      <c r="M115" s="141">
        <f t="shared" si="14"/>
        <v>0.56947162426614473</v>
      </c>
      <c r="N115" s="141">
        <f t="shared" si="14"/>
        <v>0.58199999999999996</v>
      </c>
      <c r="O115" s="141">
        <f t="shared" si="14"/>
        <v>0.594804</v>
      </c>
      <c r="P115" s="141">
        <f t="shared" si="14"/>
        <v>0.60788968799999998</v>
      </c>
      <c r="Q115" s="141">
        <f t="shared" si="14"/>
        <v>0.62126326113599994</v>
      </c>
      <c r="R115" s="141">
        <f t="shared" si="14"/>
        <v>0.63493105288099194</v>
      </c>
      <c r="S115" s="141">
        <f t="shared" si="14"/>
        <v>0.64889953604437378</v>
      </c>
      <c r="T115" s="141">
        <f t="shared" si="14"/>
        <v>0.66317532583734995</v>
      </c>
      <c r="U115" s="141">
        <f t="shared" si="14"/>
        <v>0.67776518300577171</v>
      </c>
      <c r="V115" s="141">
        <f t="shared" si="14"/>
        <v>0.69267601703189885</v>
      </c>
      <c r="W115" s="141">
        <f t="shared" si="14"/>
        <v>0.70791488940660041</v>
      </c>
      <c r="X115" s="141">
        <f t="shared" si="14"/>
        <v>0.72348901697354573</v>
      </c>
      <c r="Y115" s="141">
        <f t="shared" si="14"/>
        <v>0.73940577534696372</v>
      </c>
      <c r="Z115" s="141">
        <f t="shared" si="14"/>
        <v>0.75567270240459705</v>
      </c>
      <c r="AA115" s="141">
        <f t="shared" si="14"/>
        <v>0.77229750185749824</v>
      </c>
      <c r="AB115" s="141">
        <f t="shared" si="14"/>
        <v>0.78928804689836307</v>
      </c>
      <c r="AC115" s="141">
        <f t="shared" si="14"/>
        <v>0.80665238393012706</v>
      </c>
      <c r="AD115" s="141">
        <f t="shared" si="14"/>
        <v>0.82439873637658989</v>
      </c>
      <c r="AE115" s="141">
        <f t="shared" si="14"/>
        <v>0.84253550857687487</v>
      </c>
      <c r="AF115" s="142"/>
      <c r="AG115" s="142"/>
      <c r="AH115" s="142"/>
      <c r="AI115" s="142"/>
    </row>
    <row r="116" spans="1:35" customFormat="1" ht="14.25" x14ac:dyDescent="0.45">
      <c r="B116" s="14" t="s">
        <v>2622</v>
      </c>
      <c r="C116" s="14" t="s">
        <v>115</v>
      </c>
      <c r="D116" s="15" t="s">
        <v>2698</v>
      </c>
      <c r="E116" s="16" t="s">
        <v>2094</v>
      </c>
      <c r="F116" s="14" t="s">
        <v>2681</v>
      </c>
      <c r="G116" s="17"/>
      <c r="H116" s="129" t="str">
        <f>Settings!$B$3&amp;".mit.wp.alu.prp.no.1"</f>
        <v>egy.mit.wp.alu.prp.no.1</v>
      </c>
      <c r="K116" s="140"/>
      <c r="L116" s="141">
        <f t="shared" ref="L116:AE116" si="15">L$98*EXP(-L$80*L$42)</f>
        <v>0.22910536600705286</v>
      </c>
      <c r="M116" s="141">
        <f t="shared" si="15"/>
        <v>0.24170616113744076</v>
      </c>
      <c r="N116" s="141">
        <f t="shared" si="15"/>
        <v>0.255</v>
      </c>
      <c r="O116" s="141">
        <f t="shared" si="15"/>
        <v>0.26902499999999996</v>
      </c>
      <c r="P116" s="141">
        <f t="shared" si="15"/>
        <v>0.28382137499999999</v>
      </c>
      <c r="Q116" s="141">
        <f t="shared" si="15"/>
        <v>0.29943155062499993</v>
      </c>
      <c r="R116" s="141">
        <f t="shared" si="15"/>
        <v>0.31590028590937497</v>
      </c>
      <c r="S116" s="141">
        <f t="shared" si="15"/>
        <v>0.33327480163439055</v>
      </c>
      <c r="T116" s="141">
        <f t="shared" si="15"/>
        <v>0.35160491572428204</v>
      </c>
      <c r="U116" s="141">
        <f t="shared" si="15"/>
        <v>0.37094318608911747</v>
      </c>
      <c r="V116" s="141">
        <f t="shared" si="15"/>
        <v>0.39134506132401897</v>
      </c>
      <c r="W116" s="141">
        <f t="shared" si="15"/>
        <v>0.41286903969683997</v>
      </c>
      <c r="X116" s="141">
        <f t="shared" si="15"/>
        <v>0.43557683688016618</v>
      </c>
      <c r="Y116" s="141">
        <f t="shared" si="15"/>
        <v>0.45953356290857528</v>
      </c>
      <c r="Z116" s="141">
        <f t="shared" si="15"/>
        <v>0.48480790886854697</v>
      </c>
      <c r="AA116" s="141">
        <f t="shared" si="15"/>
        <v>0.51147234385631701</v>
      </c>
      <c r="AB116" s="141">
        <f t="shared" si="15"/>
        <v>0.53960332276841438</v>
      </c>
      <c r="AC116" s="141">
        <f t="shared" si="15"/>
        <v>0.56928150552067713</v>
      </c>
      <c r="AD116" s="141">
        <f t="shared" si="15"/>
        <v>0.60059198832431437</v>
      </c>
      <c r="AE116" s="141">
        <f t="shared" si="15"/>
        <v>0.6336245476821516</v>
      </c>
      <c r="AF116" s="142"/>
      <c r="AG116" s="142"/>
      <c r="AH116" s="142"/>
      <c r="AI116" s="142"/>
    </row>
    <row r="117" spans="1:35" x14ac:dyDescent="0.35"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</row>
    <row r="118" spans="1:35" customFormat="1" ht="14.25" x14ac:dyDescent="0.45">
      <c r="A118" s="11"/>
      <c r="B118" s="6"/>
      <c r="C118" s="7" t="s">
        <v>2699</v>
      </c>
      <c r="D118" s="6" t="s">
        <v>1504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8">
        <v>2021</v>
      </c>
      <c r="L118" s="139">
        <v>2022</v>
      </c>
      <c r="M118" s="138">
        <v>2023</v>
      </c>
      <c r="N118" s="138">
        <v>2024</v>
      </c>
      <c r="O118" s="138">
        <v>2025</v>
      </c>
      <c r="P118" s="138">
        <v>2026</v>
      </c>
      <c r="Q118" s="138">
        <v>2027</v>
      </c>
      <c r="R118" s="138">
        <v>2028</v>
      </c>
      <c r="S118" s="138">
        <v>2029</v>
      </c>
      <c r="T118" s="138">
        <v>2030</v>
      </c>
      <c r="U118" s="138">
        <v>2031</v>
      </c>
      <c r="V118" s="138">
        <v>2032</v>
      </c>
      <c r="W118" s="138">
        <v>2033</v>
      </c>
      <c r="X118" s="138">
        <v>2034</v>
      </c>
      <c r="Y118" s="138">
        <v>2035</v>
      </c>
      <c r="Z118" s="138">
        <v>2036</v>
      </c>
      <c r="AA118" s="138">
        <v>2037</v>
      </c>
      <c r="AB118" s="138">
        <v>2038</v>
      </c>
      <c r="AC118" s="138">
        <v>2039</v>
      </c>
      <c r="AD118" s="138">
        <v>2040</v>
      </c>
      <c r="AE118" s="138">
        <v>2041</v>
      </c>
      <c r="AF118" s="138">
        <v>2042</v>
      </c>
      <c r="AG118" s="138">
        <v>2043</v>
      </c>
      <c r="AH118" s="138">
        <v>2044</v>
      </c>
      <c r="AI118" s="138">
        <v>2045</v>
      </c>
    </row>
    <row r="119" spans="1:35" customFormat="1" ht="14.25" x14ac:dyDescent="0.45">
      <c r="B119" s="14" t="s">
        <v>2700</v>
      </c>
      <c r="C119" s="14" t="s">
        <v>2701</v>
      </c>
      <c r="D119" s="15" t="s">
        <v>2702</v>
      </c>
      <c r="E119" s="16" t="s">
        <v>1870</v>
      </c>
      <c r="F119" s="14" t="s">
        <v>2700</v>
      </c>
      <c r="G119" s="17"/>
      <c r="H119" s="129" t="str">
        <f>Settings!$B$3&amp;".mit.revf0.cbam.tot.1"</f>
        <v>egy.mit.revf0.cbam.tot.1</v>
      </c>
      <c r="I119" t="s">
        <v>2703</v>
      </c>
      <c r="K119" s="140"/>
      <c r="L119" s="144">
        <f>SUMPRODUCT(L$45:L$52*Mitigation_Industry!$I$330:$I$337*L$17:L$24)</f>
        <v>0</v>
      </c>
      <c r="M119" s="144">
        <f>SUMPRODUCT(M$45:M$52*Mitigation_Industry!$I$330:$I$337*M$17:M$24)</f>
        <v>0</v>
      </c>
      <c r="N119" s="144">
        <f>SUMPRODUCT(N$45:N$52*Mitigation_Industry!$I$330:$I$337*N$17:N$24)</f>
        <v>0</v>
      </c>
      <c r="O119" s="144">
        <f>SUMPRODUCT(O$45:O$52*Mitigation_Industry!$I$330:$I$337*O$17:O$24)</f>
        <v>0</v>
      </c>
      <c r="P119" s="144">
        <f>SUMPRODUCT(P$45:P$52*Mitigation_Industry!$I$330:$I$337*P$17:P$24)</f>
        <v>0</v>
      </c>
      <c r="Q119" s="144">
        <f>SUMPRODUCT(Q$45:Q$52*Mitigation_Industry!$I$330:$I$337*Q$17:Q$24)</f>
        <v>0</v>
      </c>
      <c r="R119" s="144">
        <f>SUMPRODUCT(R$45:R$52*Mitigation_Industry!$I$330:$I$337*R$17:R$24)</f>
        <v>0</v>
      </c>
      <c r="S119" s="144">
        <f>SUMPRODUCT(S$45:S$52*Mitigation_Industry!$I$330:$I$337*S$17:S$24)</f>
        <v>0</v>
      </c>
      <c r="T119" s="144">
        <f>SUMPRODUCT(T$45:T$52*Mitigation_Industry!$I$330:$I$337*T$17:T$24)</f>
        <v>0</v>
      </c>
      <c r="U119" s="144">
        <f>SUMPRODUCT(U$45:U$52*Mitigation_Industry!$I$330:$I$337*U$17:U$24)</f>
        <v>0</v>
      </c>
      <c r="V119" s="144">
        <f>SUMPRODUCT(V$45:V$52*Mitigation_Industry!$I$330:$I$337*V$17:V$24)</f>
        <v>0</v>
      </c>
      <c r="W119" s="144">
        <f>SUMPRODUCT(W$45:W$52*Mitigation_Industry!$I$330:$I$337*W$17:W$24)</f>
        <v>0</v>
      </c>
      <c r="X119" s="144">
        <f>SUMPRODUCT(X$45:X$52*Mitigation_Industry!$I$330:$I$337*X$17:X$24)</f>
        <v>0</v>
      </c>
      <c r="Y119" s="144">
        <f>SUMPRODUCT(Y$45:Y$52*Mitigation_Industry!$I$330:$I$337*Y$17:Y$24)</f>
        <v>0</v>
      </c>
      <c r="Z119" s="144">
        <f>SUMPRODUCT(Z$45:Z$52*Mitigation_Industry!$I$330:$I$337*Z$17:Z$24)</f>
        <v>0</v>
      </c>
      <c r="AA119" s="144">
        <f>SUMPRODUCT(AA$45:AA$52*Mitigation_Industry!$I$330:$I$337*AA$17:AA$24)</f>
        <v>0</v>
      </c>
      <c r="AB119" s="144">
        <f>SUMPRODUCT(AB$45:AB$52*Mitigation_Industry!$I$330:$I$337*AB$17:AB$24)</f>
        <v>0</v>
      </c>
      <c r="AC119" s="144">
        <f>SUMPRODUCT(AC$45:AC$52*Mitigation_Industry!$I$330:$I$337*AC$17:AC$24)</f>
        <v>0</v>
      </c>
      <c r="AD119" s="144">
        <f>SUMPRODUCT(AD$45:AD$52*Mitigation_Industry!$I$330:$I$337*AD$17:AD$24)</f>
        <v>0</v>
      </c>
      <c r="AE119" s="144">
        <f>SUMPRODUCT(AE$45:AE$52*Mitigation_Industry!$I$330:$I$337*AE$17:AE$24)</f>
        <v>0</v>
      </c>
      <c r="AF119" s="142"/>
      <c r="AG119" s="142"/>
      <c r="AH119" s="142"/>
      <c r="AI119" s="142"/>
    </row>
    <row r="120" spans="1:35" customFormat="1" ht="14.25" x14ac:dyDescent="0.45">
      <c r="B120" s="14" t="s">
        <v>2704</v>
      </c>
      <c r="C120" s="14" t="s">
        <v>2701</v>
      </c>
      <c r="D120" s="15" t="s">
        <v>2705</v>
      </c>
      <c r="E120" s="16" t="s">
        <v>1870</v>
      </c>
      <c r="F120" s="14" t="s">
        <v>2704</v>
      </c>
      <c r="G120" s="17"/>
      <c r="H120" s="129" t="str">
        <f>Settings!$B$3&amp;".mit.revp0.cbam.tot.1"</f>
        <v>egy.mit.revp0.cbam.tot.1</v>
      </c>
      <c r="I120" t="s">
        <v>2706</v>
      </c>
      <c r="K120" s="140"/>
      <c r="L120" s="144">
        <f>SUMPRODUCT(Mitigation_Industry!L$341:L$348*Mitigation_Industry!$J$330:$J$337*L$27:L$34)-SUMPRODUCT((L$83:L$98-L$101:L$116)*L$27:L$42)</f>
        <v>0</v>
      </c>
      <c r="M120" s="144">
        <f>SUMPRODUCT(Mitigation_Industry!M$341:M$348*Mitigation_Industry!$J$330:$J$337*M$27:M$34)-SUMPRODUCT((M$83:M$98-M$101:M$116)*M$27:M$42)</f>
        <v>0</v>
      </c>
      <c r="N120" s="144">
        <f>SUMPRODUCT(Mitigation_Industry!N$341:N$348*Mitigation_Industry!$J$330:$J$337*N$27:N$34)-SUMPRODUCT((N$83:N$98-N$101:N$116)*N$27:N$42)</f>
        <v>0</v>
      </c>
      <c r="O120" s="144">
        <f>SUMPRODUCT(Mitigation_Industry!O$341:O$348*Mitigation_Industry!$J$330:$J$337*O$27:O$34)-SUMPRODUCT((O$83:O$98-O$101:O$116)*O$27:O$42)</f>
        <v>0</v>
      </c>
      <c r="P120" s="144">
        <f>SUMPRODUCT(Mitigation_Industry!P$341:P$348*Mitigation_Industry!$J$330:$J$337*P$27:P$34)-SUMPRODUCT((P$83:P$98-P$101:P$116)*P$27:P$42)</f>
        <v>0</v>
      </c>
      <c r="Q120" s="144">
        <f>SUMPRODUCT(Mitigation_Industry!Q$341:Q$348*Mitigation_Industry!$J$330:$J$337*Q$27:Q$34)-SUMPRODUCT((Q$83:Q$98-Q$101:Q$116)*Q$27:Q$42)</f>
        <v>0</v>
      </c>
      <c r="R120" s="144">
        <f>SUMPRODUCT(Mitigation_Industry!R$341:R$348*Mitigation_Industry!$J$330:$J$337*R$27:R$34)-SUMPRODUCT((R$83:R$98-R$101:R$116)*R$27:R$42)</f>
        <v>0</v>
      </c>
      <c r="S120" s="144">
        <f>SUMPRODUCT(Mitigation_Industry!S$341:S$348*Mitigation_Industry!$J$330:$J$337*S$27:S$34)-SUMPRODUCT((S$83:S$98-S$101:S$116)*S$27:S$42)</f>
        <v>0</v>
      </c>
      <c r="T120" s="144">
        <f>SUMPRODUCT(Mitigation_Industry!T$341:T$348*Mitigation_Industry!$J$330:$J$337*T$27:T$34)-SUMPRODUCT((T$83:T$98-T$101:T$116)*T$27:T$42)</f>
        <v>0</v>
      </c>
      <c r="U120" s="144">
        <f>SUMPRODUCT(Mitigation_Industry!U$341:U$348*Mitigation_Industry!$J$330:$J$337*U$27:U$34)-SUMPRODUCT((U$83:U$98-U$101:U$116)*U$27:U$42)</f>
        <v>0</v>
      </c>
      <c r="V120" s="144">
        <f>SUMPRODUCT(Mitigation_Industry!V$341:V$348*Mitigation_Industry!$J$330:$J$337*V$27:V$34)-SUMPRODUCT((V$83:V$98-V$101:V$116)*V$27:V$42)</f>
        <v>0</v>
      </c>
      <c r="W120" s="144">
        <f>SUMPRODUCT(Mitigation_Industry!W$341:W$348*Mitigation_Industry!$J$330:$J$337*W$27:W$34)-SUMPRODUCT((W$83:W$98-W$101:W$116)*W$27:W$42)</f>
        <v>0</v>
      </c>
      <c r="X120" s="144">
        <f>SUMPRODUCT(Mitigation_Industry!X$341:X$348*Mitigation_Industry!$J$330:$J$337*X$27:X$34)-SUMPRODUCT((X$83:X$98-X$101:X$116)*X$27:X$42)</f>
        <v>0</v>
      </c>
      <c r="Y120" s="144">
        <f>SUMPRODUCT(Mitigation_Industry!Y$341:Y$348*Mitigation_Industry!$J$330:$J$337*Y$27:Y$34)-SUMPRODUCT((Y$83:Y$98-Y$101:Y$116)*Y$27:Y$42)</f>
        <v>0</v>
      </c>
      <c r="Z120" s="144">
        <f>SUMPRODUCT(Mitigation_Industry!Z$341:Z$348*Mitigation_Industry!$J$330:$J$337*Z$27:Z$34)-SUMPRODUCT((Z$83:Z$98-Z$101:Z$116)*Z$27:Z$42)</f>
        <v>0</v>
      </c>
      <c r="AA120" s="144">
        <f>SUMPRODUCT(Mitigation_Industry!AA$341:AA$348*Mitigation_Industry!$J$330:$J$337*AA$27:AA$34)-SUMPRODUCT((AA$83:AA$98-AA$101:AA$116)*AA$27:AA$42)</f>
        <v>0</v>
      </c>
      <c r="AB120" s="144">
        <f>SUMPRODUCT(Mitigation_Industry!AB$341:AB$348*Mitigation_Industry!$J$330:$J$337*AB$27:AB$34)-SUMPRODUCT((AB$83:AB$98-AB$101:AB$116)*AB$27:AB$42)</f>
        <v>0</v>
      </c>
      <c r="AC120" s="144">
        <f>SUMPRODUCT(Mitigation_Industry!AC$341:AC$348*Mitigation_Industry!$J$330:$J$337*AC$27:AC$34)-SUMPRODUCT((AC$83:AC$98-AC$101:AC$116)*AC$27:AC$42)</f>
        <v>0</v>
      </c>
      <c r="AD120" s="144">
        <f>SUMPRODUCT(Mitigation_Industry!AD$341:AD$348*Mitigation_Industry!$J$330:$J$337*AD$27:AD$34)-SUMPRODUCT((AD$83:AD$98-AD$101:AD$116)*AD$27:AD$42)</f>
        <v>0</v>
      </c>
      <c r="AE120" s="144">
        <f>SUMPRODUCT(Mitigation_Industry!AE$341:AE$348*Mitigation_Industry!$J$330:$J$337*AE$27:AE$34)-SUMPRODUCT((AE$83:AE$98-AE$101:AE$116)*AE$27:AE$42)</f>
        <v>0</v>
      </c>
      <c r="AF120" s="142"/>
      <c r="AG120" s="142"/>
      <c r="AH120" s="142"/>
      <c r="AI120" s="142"/>
    </row>
    <row r="121" spans="1:35" customFormat="1" ht="14.25" x14ac:dyDescent="0.45">
      <c r="B121" s="14" t="s">
        <v>2707</v>
      </c>
      <c r="C121" s="14" t="s">
        <v>2701</v>
      </c>
      <c r="D121" s="15" t="s">
        <v>2708</v>
      </c>
      <c r="E121" s="16" t="s">
        <v>1870</v>
      </c>
      <c r="F121" s="14" t="s">
        <v>2707</v>
      </c>
      <c r="G121" s="17"/>
      <c r="H121" s="129" t="str">
        <f>Settings!$B$3&amp;".mit.rev0.cbam.tot.1"</f>
        <v>egy.mit.rev0.cbam.tot.1</v>
      </c>
      <c r="I121" t="s">
        <v>2709</v>
      </c>
      <c r="K121" s="140"/>
      <c r="L121" s="144">
        <f t="shared" ref="L121:AE121" si="16">L119+L120</f>
        <v>0</v>
      </c>
      <c r="M121" s="144">
        <f t="shared" si="16"/>
        <v>0</v>
      </c>
      <c r="N121" s="144">
        <f t="shared" si="16"/>
        <v>0</v>
      </c>
      <c r="O121" s="144">
        <f t="shared" si="16"/>
        <v>0</v>
      </c>
      <c r="P121" s="144">
        <f t="shared" si="16"/>
        <v>0</v>
      </c>
      <c r="Q121" s="144">
        <f t="shared" si="16"/>
        <v>0</v>
      </c>
      <c r="R121" s="144">
        <f t="shared" si="16"/>
        <v>0</v>
      </c>
      <c r="S121" s="144">
        <f t="shared" si="16"/>
        <v>0</v>
      </c>
      <c r="T121" s="144">
        <f t="shared" si="16"/>
        <v>0</v>
      </c>
      <c r="U121" s="144">
        <f t="shared" si="16"/>
        <v>0</v>
      </c>
      <c r="V121" s="144">
        <f t="shared" si="16"/>
        <v>0</v>
      </c>
      <c r="W121" s="144">
        <f t="shared" si="16"/>
        <v>0</v>
      </c>
      <c r="X121" s="144">
        <f t="shared" si="16"/>
        <v>0</v>
      </c>
      <c r="Y121" s="144">
        <f t="shared" si="16"/>
        <v>0</v>
      </c>
      <c r="Z121" s="144">
        <f t="shared" si="16"/>
        <v>0</v>
      </c>
      <c r="AA121" s="144">
        <f t="shared" si="16"/>
        <v>0</v>
      </c>
      <c r="AB121" s="144">
        <f t="shared" si="16"/>
        <v>0</v>
      </c>
      <c r="AC121" s="144">
        <f t="shared" si="16"/>
        <v>0</v>
      </c>
      <c r="AD121" s="144">
        <f t="shared" si="16"/>
        <v>0</v>
      </c>
      <c r="AE121" s="144">
        <f t="shared" si="16"/>
        <v>0</v>
      </c>
      <c r="AF121" s="142"/>
      <c r="AG121" s="142"/>
      <c r="AH121" s="142"/>
      <c r="AI121" s="142"/>
    </row>
    <row r="122" spans="1:35" customFormat="1" ht="14.25" x14ac:dyDescent="0.45">
      <c r="B122" s="14" t="s">
        <v>2699</v>
      </c>
      <c r="C122" s="14" t="s">
        <v>2701</v>
      </c>
      <c r="D122" s="15" t="s">
        <v>2710</v>
      </c>
      <c r="E122" s="16" t="s">
        <v>1870</v>
      </c>
      <c r="F122" s="14" t="s">
        <v>2699</v>
      </c>
      <c r="G122" s="17"/>
      <c r="H122" s="129" t="str">
        <f>Settings!$B$3&amp;".mit.fund.cbam.tot.1"</f>
        <v>egy.mit.fund.cbam.tot.1</v>
      </c>
      <c r="I122" t="s">
        <v>2711</v>
      </c>
      <c r="K122" s="140"/>
      <c r="L122" s="144">
        <f t="shared" ref="L122:AE122" si="17">L$11*L121</f>
        <v>0</v>
      </c>
      <c r="M122" s="144">
        <f t="shared" si="17"/>
        <v>0</v>
      </c>
      <c r="N122" s="144">
        <f t="shared" si="17"/>
        <v>0</v>
      </c>
      <c r="O122" s="144">
        <f t="shared" si="17"/>
        <v>0</v>
      </c>
      <c r="P122" s="144">
        <f t="shared" si="17"/>
        <v>0</v>
      </c>
      <c r="Q122" s="144">
        <f t="shared" si="17"/>
        <v>0</v>
      </c>
      <c r="R122" s="144">
        <f t="shared" si="17"/>
        <v>0</v>
      </c>
      <c r="S122" s="144">
        <f t="shared" si="17"/>
        <v>0</v>
      </c>
      <c r="T122" s="144">
        <f t="shared" si="17"/>
        <v>0</v>
      </c>
      <c r="U122" s="144">
        <f t="shared" si="17"/>
        <v>0</v>
      </c>
      <c r="V122" s="144">
        <f t="shared" si="17"/>
        <v>0</v>
      </c>
      <c r="W122" s="144">
        <f t="shared" si="17"/>
        <v>0</v>
      </c>
      <c r="X122" s="144">
        <f t="shared" si="17"/>
        <v>0</v>
      </c>
      <c r="Y122" s="144">
        <f t="shared" si="17"/>
        <v>0</v>
      </c>
      <c r="Z122" s="144">
        <f t="shared" si="17"/>
        <v>0</v>
      </c>
      <c r="AA122" s="144">
        <f t="shared" si="17"/>
        <v>0</v>
      </c>
      <c r="AB122" s="144">
        <f t="shared" si="17"/>
        <v>0</v>
      </c>
      <c r="AC122" s="144">
        <f t="shared" si="17"/>
        <v>0</v>
      </c>
      <c r="AD122" s="144">
        <f t="shared" si="17"/>
        <v>0</v>
      </c>
      <c r="AE122" s="144">
        <f t="shared" si="17"/>
        <v>0</v>
      </c>
      <c r="AF122" s="142"/>
      <c r="AG122" s="142"/>
      <c r="AH122" s="142"/>
      <c r="AI122" s="142"/>
    </row>
    <row r="123" spans="1:35" customFormat="1" ht="14.25" x14ac:dyDescent="0.45">
      <c r="B123" s="14" t="s">
        <v>2712</v>
      </c>
      <c r="C123" s="14" t="s">
        <v>2701</v>
      </c>
      <c r="D123" s="15" t="s">
        <v>2713</v>
      </c>
      <c r="E123" s="16" t="s">
        <v>2094</v>
      </c>
      <c r="F123" s="14" t="s">
        <v>2712</v>
      </c>
      <c r="G123" s="17"/>
      <c r="H123" s="129" t="str">
        <f>Settings!$B$3&amp;".mit.emrp0.cbam.tot.1"</f>
        <v>egy.mit.emrp0.cbam.tot.1</v>
      </c>
      <c r="I123" t="s">
        <v>2714</v>
      </c>
      <c r="K123" s="140"/>
      <c r="L123" s="141">
        <f t="shared" ref="L123:AE123" si="18">SUM(L$101:L$116)-SUM(L$83:L$98)</f>
        <v>0</v>
      </c>
      <c r="M123" s="141">
        <f t="shared" si="18"/>
        <v>0</v>
      </c>
      <c r="N123" s="141">
        <f t="shared" si="18"/>
        <v>0</v>
      </c>
      <c r="O123" s="141">
        <f t="shared" si="18"/>
        <v>0</v>
      </c>
      <c r="P123" s="141">
        <f t="shared" si="18"/>
        <v>0</v>
      </c>
      <c r="Q123" s="141">
        <f t="shared" si="18"/>
        <v>0</v>
      </c>
      <c r="R123" s="141">
        <f t="shared" si="18"/>
        <v>0</v>
      </c>
      <c r="S123" s="141">
        <f t="shared" si="18"/>
        <v>0</v>
      </c>
      <c r="T123" s="141">
        <f t="shared" si="18"/>
        <v>0</v>
      </c>
      <c r="U123" s="141">
        <f t="shared" si="18"/>
        <v>0</v>
      </c>
      <c r="V123" s="141">
        <f t="shared" si="18"/>
        <v>0</v>
      </c>
      <c r="W123" s="141">
        <f t="shared" si="18"/>
        <v>0</v>
      </c>
      <c r="X123" s="141">
        <f t="shared" si="18"/>
        <v>0</v>
      </c>
      <c r="Y123" s="141">
        <f t="shared" si="18"/>
        <v>0</v>
      </c>
      <c r="Z123" s="141">
        <f t="shared" si="18"/>
        <v>0</v>
      </c>
      <c r="AA123" s="141">
        <f t="shared" si="18"/>
        <v>0</v>
      </c>
      <c r="AB123" s="141">
        <f t="shared" si="18"/>
        <v>0</v>
      </c>
      <c r="AC123" s="141">
        <f t="shared" si="18"/>
        <v>0</v>
      </c>
      <c r="AD123" s="141">
        <f t="shared" si="18"/>
        <v>0</v>
      </c>
      <c r="AE123" s="141">
        <f t="shared" si="18"/>
        <v>0</v>
      </c>
      <c r="AF123" s="142"/>
      <c r="AG123" s="142"/>
      <c r="AH123" s="142"/>
      <c r="AI123" s="142"/>
    </row>
    <row r="124" spans="1:35" customFormat="1" ht="14.25" x14ac:dyDescent="0.45">
      <c r="B124" s="14" t="s">
        <v>2715</v>
      </c>
      <c r="C124" s="14" t="s">
        <v>2701</v>
      </c>
      <c r="D124" s="15" t="s">
        <v>2716</v>
      </c>
      <c r="E124" s="16" t="s">
        <v>2717</v>
      </c>
      <c r="F124" s="14" t="s">
        <v>2715</v>
      </c>
      <c r="G124" s="17"/>
      <c r="H124" s="17"/>
      <c r="I124" t="s">
        <v>2718</v>
      </c>
      <c r="K124" s="140"/>
      <c r="L124" s="143">
        <f t="shared" ref="L124:AE124" si="19">SUMPRODUCT(L$45:L$52*L$55:L$62)+SUMPRODUCT(L$101:L$116*L$65:L$80)</f>
        <v>4.8919844650860363E-2</v>
      </c>
      <c r="M124" s="143">
        <f t="shared" si="19"/>
        <v>5.0446843608728087E-2</v>
      </c>
      <c r="N124" s="143">
        <f t="shared" si="19"/>
        <v>5.2023624986834216E-2</v>
      </c>
      <c r="O124" s="143">
        <f t="shared" si="19"/>
        <v>5.3651880499345689E-2</v>
      </c>
      <c r="P124" s="143">
        <f t="shared" si="19"/>
        <v>5.5333361750469823E-2</v>
      </c>
      <c r="Q124" s="143">
        <f t="shared" si="19"/>
        <v>5.7069882445290862E-2</v>
      </c>
      <c r="R124" s="143">
        <f t="shared" si="19"/>
        <v>5.8863320685853884E-2</v>
      </c>
      <c r="S124" s="143">
        <f t="shared" si="19"/>
        <v>6.0715621355934127E-2</v>
      </c>
      <c r="T124" s="143">
        <f t="shared" si="19"/>
        <v>6.2628798598075769E-2</v>
      </c>
      <c r="U124" s="143">
        <f t="shared" si="19"/>
        <v>6.4604938386634822E-2</v>
      </c>
      <c r="V124" s="143">
        <f t="shared" si="19"/>
        <v>6.6646201200719735E-2</v>
      </c>
      <c r="W124" s="143">
        <f t="shared" si="19"/>
        <v>6.8754824801087966E-2</v>
      </c>
      <c r="X124" s="143">
        <f t="shared" si="19"/>
        <v>7.093312711522945E-2</v>
      </c>
      <c r="Y124" s="143">
        <f t="shared" si="19"/>
        <v>7.3183509235048405E-2</v>
      </c>
      <c r="Z124" s="143">
        <f t="shared" si="19"/>
        <v>7.5508458531742262E-2</v>
      </c>
      <c r="AA124" s="143">
        <f t="shared" si="19"/>
        <v>7.7910551892674013E-2</v>
      </c>
      <c r="AB124" s="143">
        <f t="shared" si="19"/>
        <v>8.039245908523901E-2</v>
      </c>
      <c r="AC124" s="143">
        <f t="shared" si="19"/>
        <v>8.2956946252941699E-2</v>
      </c>
      <c r="AD124" s="143">
        <f t="shared" si="19"/>
        <v>8.5606879549122245E-2</v>
      </c>
      <c r="AE124" s="143">
        <f t="shared" si="19"/>
        <v>8.8345228914006813E-2</v>
      </c>
      <c r="AF124" s="142"/>
      <c r="AG124" s="142"/>
      <c r="AH124" s="142"/>
      <c r="AI124" s="142"/>
    </row>
    <row r="125" spans="1:35" customFormat="1" ht="14.25" x14ac:dyDescent="0.45">
      <c r="B125" s="14" t="s">
        <v>2719</v>
      </c>
      <c r="C125" s="14" t="s">
        <v>2701</v>
      </c>
      <c r="D125" s="15" t="s">
        <v>2720</v>
      </c>
      <c r="E125" s="16" t="s">
        <v>1414</v>
      </c>
      <c r="F125" s="14" t="s">
        <v>2719</v>
      </c>
      <c r="G125" s="17"/>
      <c r="H125" s="17"/>
      <c r="K125" s="140"/>
      <c r="L125" s="141">
        <f t="shared" ref="L125:AE125" si="20">IF(OR(L$122&lt;=0,L$124&lt;=0),0,MIN($F$5,SQRT(L$122/L$124*IF($F$4="COST",2,1))))</f>
        <v>0</v>
      </c>
      <c r="M125" s="141">
        <f t="shared" si="20"/>
        <v>0</v>
      </c>
      <c r="N125" s="141">
        <f t="shared" si="20"/>
        <v>0</v>
      </c>
      <c r="O125" s="141">
        <f t="shared" si="20"/>
        <v>0</v>
      </c>
      <c r="P125" s="141">
        <f t="shared" si="20"/>
        <v>0</v>
      </c>
      <c r="Q125" s="141">
        <f t="shared" si="20"/>
        <v>0</v>
      </c>
      <c r="R125" s="141">
        <f t="shared" si="20"/>
        <v>0</v>
      </c>
      <c r="S125" s="141">
        <f t="shared" si="20"/>
        <v>0</v>
      </c>
      <c r="T125" s="141">
        <f t="shared" si="20"/>
        <v>0</v>
      </c>
      <c r="U125" s="141">
        <f t="shared" si="20"/>
        <v>0</v>
      </c>
      <c r="V125" s="141">
        <f t="shared" si="20"/>
        <v>0</v>
      </c>
      <c r="W125" s="141">
        <f t="shared" si="20"/>
        <v>0</v>
      </c>
      <c r="X125" s="141">
        <f t="shared" si="20"/>
        <v>0</v>
      </c>
      <c r="Y125" s="141">
        <f t="shared" si="20"/>
        <v>0</v>
      </c>
      <c r="Z125" s="141">
        <f t="shared" si="20"/>
        <v>0</v>
      </c>
      <c r="AA125" s="141">
        <f t="shared" si="20"/>
        <v>0</v>
      </c>
      <c r="AB125" s="141">
        <f t="shared" si="20"/>
        <v>0</v>
      </c>
      <c r="AC125" s="141">
        <f t="shared" si="20"/>
        <v>0</v>
      </c>
      <c r="AD125" s="141">
        <f t="shared" si="20"/>
        <v>0</v>
      </c>
      <c r="AE125" s="141">
        <f t="shared" si="20"/>
        <v>0</v>
      </c>
      <c r="AF125" s="142"/>
      <c r="AG125" s="142"/>
      <c r="AH125" s="142"/>
      <c r="AI125" s="142"/>
    </row>
    <row r="126" spans="1:35" x14ac:dyDescent="0.35"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</row>
    <row r="127" spans="1:35" customFormat="1" ht="14.25" x14ac:dyDescent="0.45">
      <c r="A127" s="11"/>
      <c r="B127" s="6"/>
      <c r="C127" s="7" t="s">
        <v>2721</v>
      </c>
      <c r="D127" s="6" t="s">
        <v>1504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2722</v>
      </c>
      <c r="J127" s="48">
        <v>1</v>
      </c>
      <c r="K127" s="138">
        <v>2021</v>
      </c>
      <c r="L127" s="139">
        <v>2022</v>
      </c>
      <c r="M127" s="138">
        <v>2023</v>
      </c>
      <c r="N127" s="138">
        <v>2024</v>
      </c>
      <c r="O127" s="138">
        <v>2025</v>
      </c>
      <c r="P127" s="138">
        <v>2026</v>
      </c>
      <c r="Q127" s="138">
        <v>2027</v>
      </c>
      <c r="R127" s="138">
        <v>2028</v>
      </c>
      <c r="S127" s="138">
        <v>2029</v>
      </c>
      <c r="T127" s="138">
        <v>2030</v>
      </c>
      <c r="U127" s="138">
        <v>2031</v>
      </c>
      <c r="V127" s="138">
        <v>2032</v>
      </c>
      <c r="W127" s="138">
        <v>2033</v>
      </c>
      <c r="X127" s="138">
        <v>2034</v>
      </c>
      <c r="Y127" s="138">
        <v>2035</v>
      </c>
      <c r="Z127" s="138">
        <v>2036</v>
      </c>
      <c r="AA127" s="138">
        <v>2037</v>
      </c>
      <c r="AB127" s="138">
        <v>2038</v>
      </c>
      <c r="AC127" s="138">
        <v>2039</v>
      </c>
      <c r="AD127" s="138">
        <v>2040</v>
      </c>
      <c r="AE127" s="138">
        <v>2041</v>
      </c>
      <c r="AF127" s="138">
        <v>2042</v>
      </c>
      <c r="AG127" s="138">
        <v>2043</v>
      </c>
      <c r="AH127" s="138">
        <v>2044</v>
      </c>
      <c r="AI127" s="138">
        <v>2045</v>
      </c>
    </row>
    <row r="128" spans="1:35" customFormat="1" ht="14.25" x14ac:dyDescent="0.45">
      <c r="B128" s="14" t="s">
        <v>2723</v>
      </c>
      <c r="C128" s="14" t="s">
        <v>2701</v>
      </c>
      <c r="D128" s="15" t="s">
        <v>2724</v>
      </c>
      <c r="E128" s="16" t="s">
        <v>2094</v>
      </c>
      <c r="F128" s="14" t="s">
        <v>2725</v>
      </c>
      <c r="G128" s="17"/>
      <c r="H128" s="17"/>
      <c r="K128" s="140"/>
      <c r="L128" s="143">
        <f t="shared" ref="L128:AE128" si="21">SUMPRODUCT(L$45:L$52*(1-EXP(-L$55:L$62*L$125)))+SUMPRODUCT(L$101:L$116*(1-EXP(-L$65:L$80*L$125)))</f>
        <v>0</v>
      </c>
      <c r="M128" s="143">
        <f t="shared" si="21"/>
        <v>0</v>
      </c>
      <c r="N128" s="143">
        <f t="shared" si="21"/>
        <v>0</v>
      </c>
      <c r="O128" s="143">
        <f t="shared" si="21"/>
        <v>0</v>
      </c>
      <c r="P128" s="143">
        <f t="shared" si="21"/>
        <v>0</v>
      </c>
      <c r="Q128" s="143">
        <f t="shared" si="21"/>
        <v>0</v>
      </c>
      <c r="R128" s="143">
        <f t="shared" si="21"/>
        <v>0</v>
      </c>
      <c r="S128" s="143">
        <f t="shared" si="21"/>
        <v>0</v>
      </c>
      <c r="T128" s="143">
        <f t="shared" si="21"/>
        <v>0</v>
      </c>
      <c r="U128" s="143">
        <f t="shared" si="21"/>
        <v>0</v>
      </c>
      <c r="V128" s="143">
        <f t="shared" si="21"/>
        <v>0</v>
      </c>
      <c r="W128" s="143">
        <f t="shared" si="21"/>
        <v>0</v>
      </c>
      <c r="X128" s="143">
        <f t="shared" si="21"/>
        <v>0</v>
      </c>
      <c r="Y128" s="143">
        <f t="shared" si="21"/>
        <v>0</v>
      </c>
      <c r="Z128" s="143">
        <f t="shared" si="21"/>
        <v>0</v>
      </c>
      <c r="AA128" s="143">
        <f t="shared" si="21"/>
        <v>0</v>
      </c>
      <c r="AB128" s="143">
        <f t="shared" si="21"/>
        <v>0</v>
      </c>
      <c r="AC128" s="143">
        <f t="shared" si="21"/>
        <v>0</v>
      </c>
      <c r="AD128" s="143">
        <f t="shared" si="21"/>
        <v>0</v>
      </c>
      <c r="AE128" s="143">
        <f t="shared" si="21"/>
        <v>0</v>
      </c>
      <c r="AF128" s="142"/>
      <c r="AG128" s="142"/>
      <c r="AH128" s="142"/>
      <c r="AI128" s="142"/>
    </row>
    <row r="129" spans="2:35" customFormat="1" ht="14.25" x14ac:dyDescent="0.45">
      <c r="B129" s="14" t="s">
        <v>2726</v>
      </c>
      <c r="C129" s="14" t="s">
        <v>2701</v>
      </c>
      <c r="D129" s="15" t="s">
        <v>2727</v>
      </c>
      <c r="E129" s="16" t="s">
        <v>1870</v>
      </c>
      <c r="F129" s="14" t="s">
        <v>2728</v>
      </c>
      <c r="G129" s="17"/>
      <c r="H129" s="17"/>
      <c r="K129" s="140"/>
      <c r="L129" s="141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41">
        <f t="shared" si="22"/>
        <v>0</v>
      </c>
      <c r="N129" s="141">
        <f t="shared" si="22"/>
        <v>0</v>
      </c>
      <c r="O129" s="141">
        <f t="shared" si="22"/>
        <v>0</v>
      </c>
      <c r="P129" s="141">
        <f t="shared" si="22"/>
        <v>0</v>
      </c>
      <c r="Q129" s="141">
        <f t="shared" si="22"/>
        <v>0</v>
      </c>
      <c r="R129" s="141">
        <f t="shared" si="22"/>
        <v>0</v>
      </c>
      <c r="S129" s="141">
        <f t="shared" si="22"/>
        <v>0</v>
      </c>
      <c r="T129" s="141">
        <f t="shared" si="22"/>
        <v>0</v>
      </c>
      <c r="U129" s="141">
        <f t="shared" si="22"/>
        <v>0</v>
      </c>
      <c r="V129" s="141">
        <f t="shared" si="22"/>
        <v>0</v>
      </c>
      <c r="W129" s="141">
        <f t="shared" si="22"/>
        <v>0</v>
      </c>
      <c r="X129" s="141">
        <f t="shared" si="22"/>
        <v>0</v>
      </c>
      <c r="Y129" s="141">
        <f t="shared" si="22"/>
        <v>0</v>
      </c>
      <c r="Z129" s="141">
        <f t="shared" si="22"/>
        <v>0</v>
      </c>
      <c r="AA129" s="141">
        <f t="shared" si="22"/>
        <v>0</v>
      </c>
      <c r="AB129" s="141">
        <f t="shared" si="22"/>
        <v>0</v>
      </c>
      <c r="AC129" s="141">
        <f t="shared" si="22"/>
        <v>0</v>
      </c>
      <c r="AD129" s="141">
        <f t="shared" si="22"/>
        <v>0</v>
      </c>
      <c r="AE129" s="141">
        <f t="shared" si="22"/>
        <v>0</v>
      </c>
      <c r="AF129" s="142"/>
      <c r="AG129" s="142"/>
      <c r="AH129" s="142"/>
      <c r="AI129" s="142"/>
    </row>
    <row r="130" spans="2:35" customFormat="1" ht="14.25" x14ac:dyDescent="0.45">
      <c r="B130" s="14" t="s">
        <v>2729</v>
      </c>
      <c r="C130" s="14" t="s">
        <v>2701</v>
      </c>
      <c r="D130" s="15" t="s">
        <v>2730</v>
      </c>
      <c r="E130" s="16" t="s">
        <v>2731</v>
      </c>
      <c r="F130" s="14" t="s">
        <v>2732</v>
      </c>
      <c r="G130" s="17"/>
      <c r="H130" s="17"/>
      <c r="K130" s="140"/>
      <c r="L130" s="143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43">
        <f t="shared" si="23"/>
        <v>0</v>
      </c>
      <c r="N130" s="143">
        <f t="shared" si="23"/>
        <v>0</v>
      </c>
      <c r="O130" s="143">
        <f t="shared" si="23"/>
        <v>0</v>
      </c>
      <c r="P130" s="143">
        <f t="shared" si="23"/>
        <v>0</v>
      </c>
      <c r="Q130" s="143">
        <f t="shared" si="23"/>
        <v>0</v>
      </c>
      <c r="R130" s="143">
        <f t="shared" si="23"/>
        <v>0</v>
      </c>
      <c r="S130" s="143">
        <f t="shared" si="23"/>
        <v>0</v>
      </c>
      <c r="T130" s="143">
        <f t="shared" si="23"/>
        <v>0</v>
      </c>
      <c r="U130" s="143">
        <f t="shared" si="23"/>
        <v>0</v>
      </c>
      <c r="V130" s="143">
        <f t="shared" si="23"/>
        <v>0</v>
      </c>
      <c r="W130" s="143">
        <f t="shared" si="23"/>
        <v>0</v>
      </c>
      <c r="X130" s="143">
        <f t="shared" si="23"/>
        <v>0</v>
      </c>
      <c r="Y130" s="143">
        <f t="shared" si="23"/>
        <v>0</v>
      </c>
      <c r="Z130" s="143">
        <f t="shared" si="23"/>
        <v>0</v>
      </c>
      <c r="AA130" s="143">
        <f t="shared" si="23"/>
        <v>0</v>
      </c>
      <c r="AB130" s="143">
        <f t="shared" si="23"/>
        <v>0</v>
      </c>
      <c r="AC130" s="143">
        <f t="shared" si="23"/>
        <v>0</v>
      </c>
      <c r="AD130" s="143">
        <f t="shared" si="23"/>
        <v>0</v>
      </c>
      <c r="AE130" s="143">
        <f t="shared" si="23"/>
        <v>0</v>
      </c>
      <c r="AF130" s="142"/>
      <c r="AG130" s="142"/>
      <c r="AH130" s="142"/>
      <c r="AI130" s="142"/>
    </row>
    <row r="131" spans="2:35" customFormat="1" ht="14.25" x14ac:dyDescent="0.45">
      <c r="B131" s="14" t="s">
        <v>2733</v>
      </c>
      <c r="C131" s="14" t="s">
        <v>2701</v>
      </c>
      <c r="D131" s="15" t="s">
        <v>2734</v>
      </c>
      <c r="E131" s="16" t="s">
        <v>1414</v>
      </c>
      <c r="F131" s="14" t="s">
        <v>2735</v>
      </c>
      <c r="G131" s="17"/>
      <c r="H131" s="17"/>
      <c r="K131" s="140"/>
      <c r="L131" s="141">
        <f t="shared" ref="L131:AE131" si="24">IF(L$122&lt;=0,0,IF(L$130&lt;=0,L$125,MIN($F$5,IF(L$125-(L$129-L$122)/L$130&lt;=0,L$125/2,L$125-(L$129-L$122)/L$130))))</f>
        <v>0</v>
      </c>
      <c r="M131" s="141">
        <f t="shared" si="24"/>
        <v>0</v>
      </c>
      <c r="N131" s="141">
        <f t="shared" si="24"/>
        <v>0</v>
      </c>
      <c r="O131" s="141">
        <f t="shared" si="24"/>
        <v>0</v>
      </c>
      <c r="P131" s="141">
        <f t="shared" si="24"/>
        <v>0</v>
      </c>
      <c r="Q131" s="141">
        <f t="shared" si="24"/>
        <v>0</v>
      </c>
      <c r="R131" s="141">
        <f t="shared" si="24"/>
        <v>0</v>
      </c>
      <c r="S131" s="141">
        <f t="shared" si="24"/>
        <v>0</v>
      </c>
      <c r="T131" s="141">
        <f t="shared" si="24"/>
        <v>0</v>
      </c>
      <c r="U131" s="141">
        <f t="shared" si="24"/>
        <v>0</v>
      </c>
      <c r="V131" s="141">
        <f t="shared" si="24"/>
        <v>0</v>
      </c>
      <c r="W131" s="141">
        <f t="shared" si="24"/>
        <v>0</v>
      </c>
      <c r="X131" s="141">
        <f t="shared" si="24"/>
        <v>0</v>
      </c>
      <c r="Y131" s="141">
        <f t="shared" si="24"/>
        <v>0</v>
      </c>
      <c r="Z131" s="141">
        <f t="shared" si="24"/>
        <v>0</v>
      </c>
      <c r="AA131" s="141">
        <f t="shared" si="24"/>
        <v>0</v>
      </c>
      <c r="AB131" s="141">
        <f t="shared" si="24"/>
        <v>0</v>
      </c>
      <c r="AC131" s="141">
        <f t="shared" si="24"/>
        <v>0</v>
      </c>
      <c r="AD131" s="141">
        <f t="shared" si="24"/>
        <v>0</v>
      </c>
      <c r="AE131" s="141">
        <f t="shared" si="24"/>
        <v>0</v>
      </c>
      <c r="AF131" s="142"/>
      <c r="AG131" s="142"/>
      <c r="AH131" s="142"/>
      <c r="AI131" s="142"/>
    </row>
    <row r="132" spans="2:35" customFormat="1" ht="14.25" x14ac:dyDescent="0.45">
      <c r="B132" s="14" t="s">
        <v>2736</v>
      </c>
      <c r="C132" s="14" t="s">
        <v>2701</v>
      </c>
      <c r="D132" s="15" t="s">
        <v>2737</v>
      </c>
      <c r="E132" s="16" t="s">
        <v>2094</v>
      </c>
      <c r="F132" s="14" t="s">
        <v>2725</v>
      </c>
      <c r="G132" s="17"/>
      <c r="H132" s="17"/>
      <c r="K132" s="140"/>
      <c r="L132" s="143">
        <f t="shared" ref="L132:AE132" si="25">SUMPRODUCT(L$45:L$52*(1-EXP(-L$55:L$62*L$131)))+SUMPRODUCT(L$101:L$116*(1-EXP(-L$65:L$80*L$131)))</f>
        <v>0</v>
      </c>
      <c r="M132" s="143">
        <f t="shared" si="25"/>
        <v>0</v>
      </c>
      <c r="N132" s="143">
        <f t="shared" si="25"/>
        <v>0</v>
      </c>
      <c r="O132" s="143">
        <f t="shared" si="25"/>
        <v>0</v>
      </c>
      <c r="P132" s="143">
        <f t="shared" si="25"/>
        <v>0</v>
      </c>
      <c r="Q132" s="143">
        <f t="shared" si="25"/>
        <v>0</v>
      </c>
      <c r="R132" s="143">
        <f t="shared" si="25"/>
        <v>0</v>
      </c>
      <c r="S132" s="143">
        <f t="shared" si="25"/>
        <v>0</v>
      </c>
      <c r="T132" s="143">
        <f t="shared" si="25"/>
        <v>0</v>
      </c>
      <c r="U132" s="143">
        <f t="shared" si="25"/>
        <v>0</v>
      </c>
      <c r="V132" s="143">
        <f t="shared" si="25"/>
        <v>0</v>
      </c>
      <c r="W132" s="143">
        <f t="shared" si="25"/>
        <v>0</v>
      </c>
      <c r="X132" s="143">
        <f t="shared" si="25"/>
        <v>0</v>
      </c>
      <c r="Y132" s="143">
        <f t="shared" si="25"/>
        <v>0</v>
      </c>
      <c r="Z132" s="143">
        <f t="shared" si="25"/>
        <v>0</v>
      </c>
      <c r="AA132" s="143">
        <f t="shared" si="25"/>
        <v>0</v>
      </c>
      <c r="AB132" s="143">
        <f t="shared" si="25"/>
        <v>0</v>
      </c>
      <c r="AC132" s="143">
        <f t="shared" si="25"/>
        <v>0</v>
      </c>
      <c r="AD132" s="143">
        <f t="shared" si="25"/>
        <v>0</v>
      </c>
      <c r="AE132" s="143">
        <f t="shared" si="25"/>
        <v>0</v>
      </c>
      <c r="AF132" s="142"/>
      <c r="AG132" s="142"/>
      <c r="AH132" s="142"/>
      <c r="AI132" s="142"/>
    </row>
    <row r="133" spans="2:35" customFormat="1" ht="14.25" x14ac:dyDescent="0.45">
      <c r="B133" s="14" t="s">
        <v>2738</v>
      </c>
      <c r="C133" s="14" t="s">
        <v>2701</v>
      </c>
      <c r="D133" s="15" t="s">
        <v>2739</v>
      </c>
      <c r="E133" s="16" t="s">
        <v>1870</v>
      </c>
      <c r="F133" s="14" t="s">
        <v>2728</v>
      </c>
      <c r="G133" s="17"/>
      <c r="H133" s="17"/>
      <c r="K133" s="140"/>
      <c r="L133" s="141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41">
        <f t="shared" si="26"/>
        <v>0</v>
      </c>
      <c r="N133" s="141">
        <f t="shared" si="26"/>
        <v>0</v>
      </c>
      <c r="O133" s="141">
        <f t="shared" si="26"/>
        <v>0</v>
      </c>
      <c r="P133" s="141">
        <f t="shared" si="26"/>
        <v>0</v>
      </c>
      <c r="Q133" s="141">
        <f t="shared" si="26"/>
        <v>0</v>
      </c>
      <c r="R133" s="141">
        <f t="shared" si="26"/>
        <v>0</v>
      </c>
      <c r="S133" s="141">
        <f t="shared" si="26"/>
        <v>0</v>
      </c>
      <c r="T133" s="141">
        <f t="shared" si="26"/>
        <v>0</v>
      </c>
      <c r="U133" s="141">
        <f t="shared" si="26"/>
        <v>0</v>
      </c>
      <c r="V133" s="141">
        <f t="shared" si="26"/>
        <v>0</v>
      </c>
      <c r="W133" s="141">
        <f t="shared" si="26"/>
        <v>0</v>
      </c>
      <c r="X133" s="141">
        <f t="shared" si="26"/>
        <v>0</v>
      </c>
      <c r="Y133" s="141">
        <f t="shared" si="26"/>
        <v>0</v>
      </c>
      <c r="Z133" s="141">
        <f t="shared" si="26"/>
        <v>0</v>
      </c>
      <c r="AA133" s="141">
        <f t="shared" si="26"/>
        <v>0</v>
      </c>
      <c r="AB133" s="141">
        <f t="shared" si="26"/>
        <v>0</v>
      </c>
      <c r="AC133" s="141">
        <f t="shared" si="26"/>
        <v>0</v>
      </c>
      <c r="AD133" s="141">
        <f t="shared" si="26"/>
        <v>0</v>
      </c>
      <c r="AE133" s="141">
        <f t="shared" si="26"/>
        <v>0</v>
      </c>
      <c r="AF133" s="142"/>
      <c r="AG133" s="142"/>
      <c r="AH133" s="142"/>
      <c r="AI133" s="142"/>
    </row>
    <row r="134" spans="2:35" customFormat="1" ht="14.25" x14ac:dyDescent="0.45">
      <c r="B134" s="14" t="s">
        <v>2740</v>
      </c>
      <c r="C134" s="14" t="s">
        <v>2701</v>
      </c>
      <c r="D134" s="15" t="s">
        <v>2741</v>
      </c>
      <c r="E134" s="16" t="s">
        <v>2731</v>
      </c>
      <c r="F134" s="14" t="s">
        <v>2732</v>
      </c>
      <c r="G134" s="17"/>
      <c r="H134" s="17"/>
      <c r="K134" s="140"/>
      <c r="L134" s="143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43">
        <f t="shared" si="27"/>
        <v>0</v>
      </c>
      <c r="N134" s="143">
        <f t="shared" si="27"/>
        <v>0</v>
      </c>
      <c r="O134" s="143">
        <f t="shared" si="27"/>
        <v>0</v>
      </c>
      <c r="P134" s="143">
        <f t="shared" si="27"/>
        <v>0</v>
      </c>
      <c r="Q134" s="143">
        <f t="shared" si="27"/>
        <v>0</v>
      </c>
      <c r="R134" s="143">
        <f t="shared" si="27"/>
        <v>0</v>
      </c>
      <c r="S134" s="143">
        <f t="shared" si="27"/>
        <v>0</v>
      </c>
      <c r="T134" s="143">
        <f t="shared" si="27"/>
        <v>0</v>
      </c>
      <c r="U134" s="143">
        <f t="shared" si="27"/>
        <v>0</v>
      </c>
      <c r="V134" s="143">
        <f t="shared" si="27"/>
        <v>0</v>
      </c>
      <c r="W134" s="143">
        <f t="shared" si="27"/>
        <v>0</v>
      </c>
      <c r="X134" s="143">
        <f t="shared" si="27"/>
        <v>0</v>
      </c>
      <c r="Y134" s="143">
        <f t="shared" si="27"/>
        <v>0</v>
      </c>
      <c r="Z134" s="143">
        <f t="shared" si="27"/>
        <v>0</v>
      </c>
      <c r="AA134" s="143">
        <f t="shared" si="27"/>
        <v>0</v>
      </c>
      <c r="AB134" s="143">
        <f t="shared" si="27"/>
        <v>0</v>
      </c>
      <c r="AC134" s="143">
        <f t="shared" si="27"/>
        <v>0</v>
      </c>
      <c r="AD134" s="143">
        <f t="shared" si="27"/>
        <v>0</v>
      </c>
      <c r="AE134" s="143">
        <f t="shared" si="27"/>
        <v>0</v>
      </c>
      <c r="AF134" s="142"/>
      <c r="AG134" s="142"/>
      <c r="AH134" s="142"/>
      <c r="AI134" s="142"/>
    </row>
    <row r="135" spans="2:35" customFormat="1" ht="14.25" x14ac:dyDescent="0.45">
      <c r="B135" s="14" t="s">
        <v>2742</v>
      </c>
      <c r="C135" s="14" t="s">
        <v>2701</v>
      </c>
      <c r="D135" s="15" t="s">
        <v>2743</v>
      </c>
      <c r="E135" s="16" t="s">
        <v>1414</v>
      </c>
      <c r="F135" s="14" t="s">
        <v>2735</v>
      </c>
      <c r="G135" s="17"/>
      <c r="H135" s="17"/>
      <c r="K135" s="140"/>
      <c r="L135" s="141">
        <f t="shared" ref="L135:AE135" si="28">IF(L$122&lt;=0,0,IF(L$134&lt;=0,L$131,MIN($F$5,IF(L$131-(L$133-L$122)/L$134&lt;=0,L$131/2,L$131-(L$133-L$122)/L$134))))</f>
        <v>0</v>
      </c>
      <c r="M135" s="141">
        <f t="shared" si="28"/>
        <v>0</v>
      </c>
      <c r="N135" s="141">
        <f t="shared" si="28"/>
        <v>0</v>
      </c>
      <c r="O135" s="141">
        <f t="shared" si="28"/>
        <v>0</v>
      </c>
      <c r="P135" s="141">
        <f t="shared" si="28"/>
        <v>0</v>
      </c>
      <c r="Q135" s="141">
        <f t="shared" si="28"/>
        <v>0</v>
      </c>
      <c r="R135" s="141">
        <f t="shared" si="28"/>
        <v>0</v>
      </c>
      <c r="S135" s="141">
        <f t="shared" si="28"/>
        <v>0</v>
      </c>
      <c r="T135" s="141">
        <f t="shared" si="28"/>
        <v>0</v>
      </c>
      <c r="U135" s="141">
        <f t="shared" si="28"/>
        <v>0</v>
      </c>
      <c r="V135" s="141">
        <f t="shared" si="28"/>
        <v>0</v>
      </c>
      <c r="W135" s="141">
        <f t="shared" si="28"/>
        <v>0</v>
      </c>
      <c r="X135" s="141">
        <f t="shared" si="28"/>
        <v>0</v>
      </c>
      <c r="Y135" s="141">
        <f t="shared" si="28"/>
        <v>0</v>
      </c>
      <c r="Z135" s="141">
        <f t="shared" si="28"/>
        <v>0</v>
      </c>
      <c r="AA135" s="141">
        <f t="shared" si="28"/>
        <v>0</v>
      </c>
      <c r="AB135" s="141">
        <f t="shared" si="28"/>
        <v>0</v>
      </c>
      <c r="AC135" s="141">
        <f t="shared" si="28"/>
        <v>0</v>
      </c>
      <c r="AD135" s="141">
        <f t="shared" si="28"/>
        <v>0</v>
      </c>
      <c r="AE135" s="141">
        <f t="shared" si="28"/>
        <v>0</v>
      </c>
      <c r="AF135" s="142"/>
      <c r="AG135" s="142"/>
      <c r="AH135" s="142"/>
      <c r="AI135" s="142"/>
    </row>
    <row r="136" spans="2:35" customFormat="1" ht="14.25" x14ac:dyDescent="0.45">
      <c r="B136" s="14" t="s">
        <v>2744</v>
      </c>
      <c r="C136" s="14" t="s">
        <v>2701</v>
      </c>
      <c r="D136" s="15" t="s">
        <v>2745</v>
      </c>
      <c r="E136" s="16" t="s">
        <v>2094</v>
      </c>
      <c r="F136" s="14" t="s">
        <v>2725</v>
      </c>
      <c r="G136" s="17"/>
      <c r="H136" s="17"/>
      <c r="K136" s="140"/>
      <c r="L136" s="143">
        <f t="shared" ref="L136:AE136" si="29">SUMPRODUCT(L$45:L$52*(1-EXP(-L$55:L$62*L$135)))+SUMPRODUCT(L$101:L$116*(1-EXP(-L$65:L$80*L$135)))</f>
        <v>0</v>
      </c>
      <c r="M136" s="143">
        <f t="shared" si="29"/>
        <v>0</v>
      </c>
      <c r="N136" s="143">
        <f t="shared" si="29"/>
        <v>0</v>
      </c>
      <c r="O136" s="143">
        <f t="shared" si="29"/>
        <v>0</v>
      </c>
      <c r="P136" s="143">
        <f t="shared" si="29"/>
        <v>0</v>
      </c>
      <c r="Q136" s="143">
        <f t="shared" si="29"/>
        <v>0</v>
      </c>
      <c r="R136" s="143">
        <f t="shared" si="29"/>
        <v>0</v>
      </c>
      <c r="S136" s="143">
        <f t="shared" si="29"/>
        <v>0</v>
      </c>
      <c r="T136" s="143">
        <f t="shared" si="29"/>
        <v>0</v>
      </c>
      <c r="U136" s="143">
        <f t="shared" si="29"/>
        <v>0</v>
      </c>
      <c r="V136" s="143">
        <f t="shared" si="29"/>
        <v>0</v>
      </c>
      <c r="W136" s="143">
        <f t="shared" si="29"/>
        <v>0</v>
      </c>
      <c r="X136" s="143">
        <f t="shared" si="29"/>
        <v>0</v>
      </c>
      <c r="Y136" s="143">
        <f t="shared" si="29"/>
        <v>0</v>
      </c>
      <c r="Z136" s="143">
        <f t="shared" si="29"/>
        <v>0</v>
      </c>
      <c r="AA136" s="143">
        <f t="shared" si="29"/>
        <v>0</v>
      </c>
      <c r="AB136" s="143">
        <f t="shared" si="29"/>
        <v>0</v>
      </c>
      <c r="AC136" s="143">
        <f t="shared" si="29"/>
        <v>0</v>
      </c>
      <c r="AD136" s="143">
        <f t="shared" si="29"/>
        <v>0</v>
      </c>
      <c r="AE136" s="143">
        <f t="shared" si="29"/>
        <v>0</v>
      </c>
      <c r="AF136" s="142"/>
      <c r="AG136" s="142"/>
      <c r="AH136" s="142"/>
      <c r="AI136" s="142"/>
    </row>
    <row r="137" spans="2:35" customFormat="1" ht="14.25" x14ac:dyDescent="0.45">
      <c r="B137" s="14" t="s">
        <v>2746</v>
      </c>
      <c r="C137" s="14" t="s">
        <v>2701</v>
      </c>
      <c r="D137" s="15" t="s">
        <v>2747</v>
      </c>
      <c r="E137" s="16" t="s">
        <v>1870</v>
      </c>
      <c r="F137" s="14" t="s">
        <v>2728</v>
      </c>
      <c r="G137" s="17"/>
      <c r="H137" s="17"/>
      <c r="K137" s="140"/>
      <c r="L137" s="141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41">
        <f t="shared" si="30"/>
        <v>0</v>
      </c>
      <c r="N137" s="141">
        <f t="shared" si="30"/>
        <v>0</v>
      </c>
      <c r="O137" s="141">
        <f t="shared" si="30"/>
        <v>0</v>
      </c>
      <c r="P137" s="141">
        <f t="shared" si="30"/>
        <v>0</v>
      </c>
      <c r="Q137" s="141">
        <f t="shared" si="30"/>
        <v>0</v>
      </c>
      <c r="R137" s="141">
        <f t="shared" si="30"/>
        <v>0</v>
      </c>
      <c r="S137" s="141">
        <f t="shared" si="30"/>
        <v>0</v>
      </c>
      <c r="T137" s="141">
        <f t="shared" si="30"/>
        <v>0</v>
      </c>
      <c r="U137" s="141">
        <f t="shared" si="30"/>
        <v>0</v>
      </c>
      <c r="V137" s="141">
        <f t="shared" si="30"/>
        <v>0</v>
      </c>
      <c r="W137" s="141">
        <f t="shared" si="30"/>
        <v>0</v>
      </c>
      <c r="X137" s="141">
        <f t="shared" si="30"/>
        <v>0</v>
      </c>
      <c r="Y137" s="141">
        <f t="shared" si="30"/>
        <v>0</v>
      </c>
      <c r="Z137" s="141">
        <f t="shared" si="30"/>
        <v>0</v>
      </c>
      <c r="AA137" s="141">
        <f t="shared" si="30"/>
        <v>0</v>
      </c>
      <c r="AB137" s="141">
        <f t="shared" si="30"/>
        <v>0</v>
      </c>
      <c r="AC137" s="141">
        <f t="shared" si="30"/>
        <v>0</v>
      </c>
      <c r="AD137" s="141">
        <f t="shared" si="30"/>
        <v>0</v>
      </c>
      <c r="AE137" s="141">
        <f t="shared" si="30"/>
        <v>0</v>
      </c>
      <c r="AF137" s="142"/>
      <c r="AG137" s="142"/>
      <c r="AH137" s="142"/>
      <c r="AI137" s="142"/>
    </row>
    <row r="138" spans="2:35" customFormat="1" ht="14.25" x14ac:dyDescent="0.45">
      <c r="B138" s="14" t="s">
        <v>2748</v>
      </c>
      <c r="C138" s="14" t="s">
        <v>2701</v>
      </c>
      <c r="D138" s="15" t="s">
        <v>2749</v>
      </c>
      <c r="E138" s="16" t="s">
        <v>2731</v>
      </c>
      <c r="F138" s="14" t="s">
        <v>2732</v>
      </c>
      <c r="G138" s="17"/>
      <c r="H138" s="17"/>
      <c r="K138" s="140"/>
      <c r="L138" s="143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43">
        <f t="shared" si="31"/>
        <v>0</v>
      </c>
      <c r="N138" s="143">
        <f t="shared" si="31"/>
        <v>0</v>
      </c>
      <c r="O138" s="143">
        <f t="shared" si="31"/>
        <v>0</v>
      </c>
      <c r="P138" s="143">
        <f t="shared" si="31"/>
        <v>0</v>
      </c>
      <c r="Q138" s="143">
        <f t="shared" si="31"/>
        <v>0</v>
      </c>
      <c r="R138" s="143">
        <f t="shared" si="31"/>
        <v>0</v>
      </c>
      <c r="S138" s="143">
        <f t="shared" si="31"/>
        <v>0</v>
      </c>
      <c r="T138" s="143">
        <f t="shared" si="31"/>
        <v>0</v>
      </c>
      <c r="U138" s="143">
        <f t="shared" si="31"/>
        <v>0</v>
      </c>
      <c r="V138" s="143">
        <f t="shared" si="31"/>
        <v>0</v>
      </c>
      <c r="W138" s="143">
        <f t="shared" si="31"/>
        <v>0</v>
      </c>
      <c r="X138" s="143">
        <f t="shared" si="31"/>
        <v>0</v>
      </c>
      <c r="Y138" s="143">
        <f t="shared" si="31"/>
        <v>0</v>
      </c>
      <c r="Z138" s="143">
        <f t="shared" si="31"/>
        <v>0</v>
      </c>
      <c r="AA138" s="143">
        <f t="shared" si="31"/>
        <v>0</v>
      </c>
      <c r="AB138" s="143">
        <f t="shared" si="31"/>
        <v>0</v>
      </c>
      <c r="AC138" s="143">
        <f t="shared" si="31"/>
        <v>0</v>
      </c>
      <c r="AD138" s="143">
        <f t="shared" si="31"/>
        <v>0</v>
      </c>
      <c r="AE138" s="143">
        <f t="shared" si="31"/>
        <v>0</v>
      </c>
      <c r="AF138" s="142"/>
      <c r="AG138" s="142"/>
      <c r="AH138" s="142"/>
      <c r="AI138" s="142"/>
    </row>
    <row r="139" spans="2:35" customFormat="1" ht="14.25" x14ac:dyDescent="0.45">
      <c r="B139" s="14" t="s">
        <v>2750</v>
      </c>
      <c r="C139" s="14" t="s">
        <v>2701</v>
      </c>
      <c r="D139" s="15" t="s">
        <v>2751</v>
      </c>
      <c r="E139" s="16" t="s">
        <v>1414</v>
      </c>
      <c r="F139" s="14" t="s">
        <v>2735</v>
      </c>
      <c r="G139" s="17"/>
      <c r="H139" s="17"/>
      <c r="K139" s="140"/>
      <c r="L139" s="141">
        <f t="shared" ref="L139:AE139" si="32">IF(L$122&lt;=0,0,IF(L$138&lt;=0,L$135,MIN($F$5,IF(L$135-(L$137-L$122)/L$138&lt;=0,L$135/2,L$135-(L$137-L$122)/L$138))))</f>
        <v>0</v>
      </c>
      <c r="M139" s="141">
        <f t="shared" si="32"/>
        <v>0</v>
      </c>
      <c r="N139" s="141">
        <f t="shared" si="32"/>
        <v>0</v>
      </c>
      <c r="O139" s="141">
        <f t="shared" si="32"/>
        <v>0</v>
      </c>
      <c r="P139" s="141">
        <f t="shared" si="32"/>
        <v>0</v>
      </c>
      <c r="Q139" s="141">
        <f t="shared" si="32"/>
        <v>0</v>
      </c>
      <c r="R139" s="141">
        <f t="shared" si="32"/>
        <v>0</v>
      </c>
      <c r="S139" s="141">
        <f t="shared" si="32"/>
        <v>0</v>
      </c>
      <c r="T139" s="141">
        <f t="shared" si="32"/>
        <v>0</v>
      </c>
      <c r="U139" s="141">
        <f t="shared" si="32"/>
        <v>0</v>
      </c>
      <c r="V139" s="141">
        <f t="shared" si="32"/>
        <v>0</v>
      </c>
      <c r="W139" s="141">
        <f t="shared" si="32"/>
        <v>0</v>
      </c>
      <c r="X139" s="141">
        <f t="shared" si="32"/>
        <v>0</v>
      </c>
      <c r="Y139" s="141">
        <f t="shared" si="32"/>
        <v>0</v>
      </c>
      <c r="Z139" s="141">
        <f t="shared" si="32"/>
        <v>0</v>
      </c>
      <c r="AA139" s="141">
        <f t="shared" si="32"/>
        <v>0</v>
      </c>
      <c r="AB139" s="141">
        <f t="shared" si="32"/>
        <v>0</v>
      </c>
      <c r="AC139" s="141">
        <f t="shared" si="32"/>
        <v>0</v>
      </c>
      <c r="AD139" s="141">
        <f t="shared" si="32"/>
        <v>0</v>
      </c>
      <c r="AE139" s="141">
        <f t="shared" si="32"/>
        <v>0</v>
      </c>
      <c r="AF139" s="142"/>
      <c r="AG139" s="142"/>
      <c r="AH139" s="142"/>
      <c r="AI139" s="142"/>
    </row>
    <row r="140" spans="2:35" customFormat="1" ht="14.25" x14ac:dyDescent="0.45">
      <c r="B140" s="14" t="s">
        <v>2752</v>
      </c>
      <c r="C140" s="14" t="s">
        <v>2701</v>
      </c>
      <c r="D140" s="15" t="s">
        <v>2753</v>
      </c>
      <c r="E140" s="16" t="s">
        <v>2094</v>
      </c>
      <c r="F140" s="14" t="s">
        <v>2725</v>
      </c>
      <c r="G140" s="17"/>
      <c r="H140" s="17"/>
      <c r="K140" s="140"/>
      <c r="L140" s="143">
        <f t="shared" ref="L140:AE140" si="33">SUMPRODUCT(L$45:L$52*(1-EXP(-L$55:L$62*L$139)))+SUMPRODUCT(L$101:L$116*(1-EXP(-L$65:L$80*L$139)))</f>
        <v>0</v>
      </c>
      <c r="M140" s="143">
        <f t="shared" si="33"/>
        <v>0</v>
      </c>
      <c r="N140" s="143">
        <f t="shared" si="33"/>
        <v>0</v>
      </c>
      <c r="O140" s="143">
        <f t="shared" si="33"/>
        <v>0</v>
      </c>
      <c r="P140" s="143">
        <f t="shared" si="33"/>
        <v>0</v>
      </c>
      <c r="Q140" s="143">
        <f t="shared" si="33"/>
        <v>0</v>
      </c>
      <c r="R140" s="143">
        <f t="shared" si="33"/>
        <v>0</v>
      </c>
      <c r="S140" s="143">
        <f t="shared" si="33"/>
        <v>0</v>
      </c>
      <c r="T140" s="143">
        <f t="shared" si="33"/>
        <v>0</v>
      </c>
      <c r="U140" s="143">
        <f t="shared" si="33"/>
        <v>0</v>
      </c>
      <c r="V140" s="143">
        <f t="shared" si="33"/>
        <v>0</v>
      </c>
      <c r="W140" s="143">
        <f t="shared" si="33"/>
        <v>0</v>
      </c>
      <c r="X140" s="143">
        <f t="shared" si="33"/>
        <v>0</v>
      </c>
      <c r="Y140" s="143">
        <f t="shared" si="33"/>
        <v>0</v>
      </c>
      <c r="Z140" s="143">
        <f t="shared" si="33"/>
        <v>0</v>
      </c>
      <c r="AA140" s="143">
        <f t="shared" si="33"/>
        <v>0</v>
      </c>
      <c r="AB140" s="143">
        <f t="shared" si="33"/>
        <v>0</v>
      </c>
      <c r="AC140" s="143">
        <f t="shared" si="33"/>
        <v>0</v>
      </c>
      <c r="AD140" s="143">
        <f t="shared" si="33"/>
        <v>0</v>
      </c>
      <c r="AE140" s="143">
        <f t="shared" si="33"/>
        <v>0</v>
      </c>
      <c r="AF140" s="142"/>
      <c r="AG140" s="142"/>
      <c r="AH140" s="142"/>
      <c r="AI140" s="142"/>
    </row>
    <row r="141" spans="2:35" customFormat="1" ht="14.25" x14ac:dyDescent="0.45">
      <c r="B141" s="14" t="s">
        <v>2754</v>
      </c>
      <c r="C141" s="14" t="s">
        <v>2701</v>
      </c>
      <c r="D141" s="15" t="s">
        <v>2755</v>
      </c>
      <c r="E141" s="16" t="s">
        <v>1870</v>
      </c>
      <c r="F141" s="14" t="s">
        <v>2728</v>
      </c>
      <c r="G141" s="17"/>
      <c r="H141" s="17"/>
      <c r="K141" s="140"/>
      <c r="L141" s="141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41">
        <f t="shared" si="34"/>
        <v>0</v>
      </c>
      <c r="N141" s="141">
        <f t="shared" si="34"/>
        <v>0</v>
      </c>
      <c r="O141" s="141">
        <f t="shared" si="34"/>
        <v>0</v>
      </c>
      <c r="P141" s="141">
        <f t="shared" si="34"/>
        <v>0</v>
      </c>
      <c r="Q141" s="141">
        <f t="shared" si="34"/>
        <v>0</v>
      </c>
      <c r="R141" s="141">
        <f t="shared" si="34"/>
        <v>0</v>
      </c>
      <c r="S141" s="141">
        <f t="shared" si="34"/>
        <v>0</v>
      </c>
      <c r="T141" s="141">
        <f t="shared" si="34"/>
        <v>0</v>
      </c>
      <c r="U141" s="141">
        <f t="shared" si="34"/>
        <v>0</v>
      </c>
      <c r="V141" s="141">
        <f t="shared" si="34"/>
        <v>0</v>
      </c>
      <c r="W141" s="141">
        <f t="shared" si="34"/>
        <v>0</v>
      </c>
      <c r="X141" s="141">
        <f t="shared" si="34"/>
        <v>0</v>
      </c>
      <c r="Y141" s="141">
        <f t="shared" si="34"/>
        <v>0</v>
      </c>
      <c r="Z141" s="141">
        <f t="shared" si="34"/>
        <v>0</v>
      </c>
      <c r="AA141" s="141">
        <f t="shared" si="34"/>
        <v>0</v>
      </c>
      <c r="AB141" s="141">
        <f t="shared" si="34"/>
        <v>0</v>
      </c>
      <c r="AC141" s="141">
        <f t="shared" si="34"/>
        <v>0</v>
      </c>
      <c r="AD141" s="141">
        <f t="shared" si="34"/>
        <v>0</v>
      </c>
      <c r="AE141" s="141">
        <f t="shared" si="34"/>
        <v>0</v>
      </c>
      <c r="AF141" s="142"/>
      <c r="AG141" s="142"/>
      <c r="AH141" s="142"/>
      <c r="AI141" s="142"/>
    </row>
    <row r="142" spans="2:35" customFormat="1" ht="14.25" x14ac:dyDescent="0.45">
      <c r="B142" s="14" t="s">
        <v>2756</v>
      </c>
      <c r="C142" s="14" t="s">
        <v>2701</v>
      </c>
      <c r="D142" s="15" t="s">
        <v>2757</v>
      </c>
      <c r="E142" s="16" t="s">
        <v>2731</v>
      </c>
      <c r="F142" s="14" t="s">
        <v>2732</v>
      </c>
      <c r="G142" s="17"/>
      <c r="H142" s="17"/>
      <c r="K142" s="140"/>
      <c r="L142" s="143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43">
        <f t="shared" si="35"/>
        <v>0</v>
      </c>
      <c r="N142" s="143">
        <f t="shared" si="35"/>
        <v>0</v>
      </c>
      <c r="O142" s="143">
        <f t="shared" si="35"/>
        <v>0</v>
      </c>
      <c r="P142" s="143">
        <f t="shared" si="35"/>
        <v>0</v>
      </c>
      <c r="Q142" s="143">
        <f t="shared" si="35"/>
        <v>0</v>
      </c>
      <c r="R142" s="143">
        <f t="shared" si="35"/>
        <v>0</v>
      </c>
      <c r="S142" s="143">
        <f t="shared" si="35"/>
        <v>0</v>
      </c>
      <c r="T142" s="143">
        <f t="shared" si="35"/>
        <v>0</v>
      </c>
      <c r="U142" s="143">
        <f t="shared" si="35"/>
        <v>0</v>
      </c>
      <c r="V142" s="143">
        <f t="shared" si="35"/>
        <v>0</v>
      </c>
      <c r="W142" s="143">
        <f t="shared" si="35"/>
        <v>0</v>
      </c>
      <c r="X142" s="143">
        <f t="shared" si="35"/>
        <v>0</v>
      </c>
      <c r="Y142" s="143">
        <f t="shared" si="35"/>
        <v>0</v>
      </c>
      <c r="Z142" s="143">
        <f t="shared" si="35"/>
        <v>0</v>
      </c>
      <c r="AA142" s="143">
        <f t="shared" si="35"/>
        <v>0</v>
      </c>
      <c r="AB142" s="143">
        <f t="shared" si="35"/>
        <v>0</v>
      </c>
      <c r="AC142" s="143">
        <f t="shared" si="35"/>
        <v>0</v>
      </c>
      <c r="AD142" s="143">
        <f t="shared" si="35"/>
        <v>0</v>
      </c>
      <c r="AE142" s="143">
        <f t="shared" si="35"/>
        <v>0</v>
      </c>
      <c r="AF142" s="142"/>
      <c r="AG142" s="142"/>
      <c r="AH142" s="142"/>
      <c r="AI142" s="142"/>
    </row>
    <row r="143" spans="2:35" customFormat="1" ht="14.25" x14ac:dyDescent="0.45">
      <c r="B143" s="14" t="s">
        <v>2758</v>
      </c>
      <c r="C143" s="14" t="s">
        <v>2701</v>
      </c>
      <c r="D143" s="15" t="s">
        <v>2759</v>
      </c>
      <c r="E143" s="16" t="s">
        <v>1414</v>
      </c>
      <c r="F143" s="14" t="s">
        <v>2735</v>
      </c>
      <c r="G143" s="17"/>
      <c r="H143" s="17"/>
      <c r="K143" s="140"/>
      <c r="L143" s="141">
        <f t="shared" ref="L143:AE143" si="36">IF(L$122&lt;=0,0,IF(L$142&lt;=0,L$139,MIN($F$5,IF(L$139-(L$141-L$122)/L$142&lt;=0,L$139/2,L$139-(L$141-L$122)/L$142))))</f>
        <v>0</v>
      </c>
      <c r="M143" s="141">
        <f t="shared" si="36"/>
        <v>0</v>
      </c>
      <c r="N143" s="141">
        <f t="shared" si="36"/>
        <v>0</v>
      </c>
      <c r="O143" s="141">
        <f t="shared" si="36"/>
        <v>0</v>
      </c>
      <c r="P143" s="141">
        <f t="shared" si="36"/>
        <v>0</v>
      </c>
      <c r="Q143" s="141">
        <f t="shared" si="36"/>
        <v>0</v>
      </c>
      <c r="R143" s="141">
        <f t="shared" si="36"/>
        <v>0</v>
      </c>
      <c r="S143" s="141">
        <f t="shared" si="36"/>
        <v>0</v>
      </c>
      <c r="T143" s="141">
        <f t="shared" si="36"/>
        <v>0</v>
      </c>
      <c r="U143" s="141">
        <f t="shared" si="36"/>
        <v>0</v>
      </c>
      <c r="V143" s="141">
        <f t="shared" si="36"/>
        <v>0</v>
      </c>
      <c r="W143" s="141">
        <f t="shared" si="36"/>
        <v>0</v>
      </c>
      <c r="X143" s="141">
        <f t="shared" si="36"/>
        <v>0</v>
      </c>
      <c r="Y143" s="141">
        <f t="shared" si="36"/>
        <v>0</v>
      </c>
      <c r="Z143" s="141">
        <f t="shared" si="36"/>
        <v>0</v>
      </c>
      <c r="AA143" s="141">
        <f t="shared" si="36"/>
        <v>0</v>
      </c>
      <c r="AB143" s="141">
        <f t="shared" si="36"/>
        <v>0</v>
      </c>
      <c r="AC143" s="141">
        <f t="shared" si="36"/>
        <v>0</v>
      </c>
      <c r="AD143" s="141">
        <f t="shared" si="36"/>
        <v>0</v>
      </c>
      <c r="AE143" s="141">
        <f t="shared" si="36"/>
        <v>0</v>
      </c>
      <c r="AF143" s="142"/>
      <c r="AG143" s="142"/>
      <c r="AH143" s="142"/>
      <c r="AI143" s="142"/>
    </row>
    <row r="144" spans="2:35" customFormat="1" ht="14.25" x14ac:dyDescent="0.45">
      <c r="B144" s="14" t="s">
        <v>2760</v>
      </c>
      <c r="C144" s="14" t="s">
        <v>2701</v>
      </c>
      <c r="D144" s="15" t="s">
        <v>2761</v>
      </c>
      <c r="E144" s="16" t="s">
        <v>2094</v>
      </c>
      <c r="F144" s="14" t="s">
        <v>2725</v>
      </c>
      <c r="G144" s="17"/>
      <c r="H144" s="17"/>
      <c r="K144" s="140"/>
      <c r="L144" s="143">
        <f t="shared" ref="L144:AE144" si="37">SUMPRODUCT(L$45:L$52*(1-EXP(-L$55:L$62*L$143)))+SUMPRODUCT(L$101:L$116*(1-EXP(-L$65:L$80*L$143)))</f>
        <v>0</v>
      </c>
      <c r="M144" s="143">
        <f t="shared" si="37"/>
        <v>0</v>
      </c>
      <c r="N144" s="143">
        <f t="shared" si="37"/>
        <v>0</v>
      </c>
      <c r="O144" s="143">
        <f t="shared" si="37"/>
        <v>0</v>
      </c>
      <c r="P144" s="143">
        <f t="shared" si="37"/>
        <v>0</v>
      </c>
      <c r="Q144" s="143">
        <f t="shared" si="37"/>
        <v>0</v>
      </c>
      <c r="R144" s="143">
        <f t="shared" si="37"/>
        <v>0</v>
      </c>
      <c r="S144" s="143">
        <f t="shared" si="37"/>
        <v>0</v>
      </c>
      <c r="T144" s="143">
        <f t="shared" si="37"/>
        <v>0</v>
      </c>
      <c r="U144" s="143">
        <f t="shared" si="37"/>
        <v>0</v>
      </c>
      <c r="V144" s="143">
        <f t="shared" si="37"/>
        <v>0</v>
      </c>
      <c r="W144" s="143">
        <f t="shared" si="37"/>
        <v>0</v>
      </c>
      <c r="X144" s="143">
        <f t="shared" si="37"/>
        <v>0</v>
      </c>
      <c r="Y144" s="143">
        <f t="shared" si="37"/>
        <v>0</v>
      </c>
      <c r="Z144" s="143">
        <f t="shared" si="37"/>
        <v>0</v>
      </c>
      <c r="AA144" s="143">
        <f t="shared" si="37"/>
        <v>0</v>
      </c>
      <c r="AB144" s="143">
        <f t="shared" si="37"/>
        <v>0</v>
      </c>
      <c r="AC144" s="143">
        <f t="shared" si="37"/>
        <v>0</v>
      </c>
      <c r="AD144" s="143">
        <f t="shared" si="37"/>
        <v>0</v>
      </c>
      <c r="AE144" s="143">
        <f t="shared" si="37"/>
        <v>0</v>
      </c>
      <c r="AF144" s="142"/>
      <c r="AG144" s="142"/>
      <c r="AH144" s="142"/>
      <c r="AI144" s="142"/>
    </row>
    <row r="145" spans="2:35" customFormat="1" ht="14.25" x14ac:dyDescent="0.45">
      <c r="B145" s="14" t="s">
        <v>2762</v>
      </c>
      <c r="C145" s="14" t="s">
        <v>2701</v>
      </c>
      <c r="D145" s="15" t="s">
        <v>2763</v>
      </c>
      <c r="E145" s="16" t="s">
        <v>1870</v>
      </c>
      <c r="F145" s="14" t="s">
        <v>2728</v>
      </c>
      <c r="G145" s="17"/>
      <c r="H145" s="17"/>
      <c r="K145" s="140"/>
      <c r="L145" s="141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41">
        <f t="shared" si="38"/>
        <v>0</v>
      </c>
      <c r="N145" s="141">
        <f t="shared" si="38"/>
        <v>0</v>
      </c>
      <c r="O145" s="141">
        <f t="shared" si="38"/>
        <v>0</v>
      </c>
      <c r="P145" s="141">
        <f t="shared" si="38"/>
        <v>0</v>
      </c>
      <c r="Q145" s="141">
        <f t="shared" si="38"/>
        <v>0</v>
      </c>
      <c r="R145" s="141">
        <f t="shared" si="38"/>
        <v>0</v>
      </c>
      <c r="S145" s="141">
        <f t="shared" si="38"/>
        <v>0</v>
      </c>
      <c r="T145" s="141">
        <f t="shared" si="38"/>
        <v>0</v>
      </c>
      <c r="U145" s="141">
        <f t="shared" si="38"/>
        <v>0</v>
      </c>
      <c r="V145" s="141">
        <f t="shared" si="38"/>
        <v>0</v>
      </c>
      <c r="W145" s="141">
        <f t="shared" si="38"/>
        <v>0</v>
      </c>
      <c r="X145" s="141">
        <f t="shared" si="38"/>
        <v>0</v>
      </c>
      <c r="Y145" s="141">
        <f t="shared" si="38"/>
        <v>0</v>
      </c>
      <c r="Z145" s="141">
        <f t="shared" si="38"/>
        <v>0</v>
      </c>
      <c r="AA145" s="141">
        <f t="shared" si="38"/>
        <v>0</v>
      </c>
      <c r="AB145" s="141">
        <f t="shared" si="38"/>
        <v>0</v>
      </c>
      <c r="AC145" s="141">
        <f t="shared" si="38"/>
        <v>0</v>
      </c>
      <c r="AD145" s="141">
        <f t="shared" si="38"/>
        <v>0</v>
      </c>
      <c r="AE145" s="141">
        <f t="shared" si="38"/>
        <v>0</v>
      </c>
      <c r="AF145" s="142"/>
      <c r="AG145" s="142"/>
      <c r="AH145" s="142"/>
      <c r="AI145" s="142"/>
    </row>
    <row r="146" spans="2:35" customFormat="1" ht="14.25" x14ac:dyDescent="0.45">
      <c r="B146" s="14" t="s">
        <v>2764</v>
      </c>
      <c r="C146" s="14" t="s">
        <v>2701</v>
      </c>
      <c r="D146" s="15" t="s">
        <v>2765</v>
      </c>
      <c r="E146" s="16" t="s">
        <v>2731</v>
      </c>
      <c r="F146" s="14" t="s">
        <v>2732</v>
      </c>
      <c r="G146" s="17"/>
      <c r="H146" s="17"/>
      <c r="K146" s="140"/>
      <c r="L146" s="143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43">
        <f t="shared" si="39"/>
        <v>0</v>
      </c>
      <c r="N146" s="143">
        <f t="shared" si="39"/>
        <v>0</v>
      </c>
      <c r="O146" s="143">
        <f t="shared" si="39"/>
        <v>0</v>
      </c>
      <c r="P146" s="143">
        <f t="shared" si="39"/>
        <v>0</v>
      </c>
      <c r="Q146" s="143">
        <f t="shared" si="39"/>
        <v>0</v>
      </c>
      <c r="R146" s="143">
        <f t="shared" si="39"/>
        <v>0</v>
      </c>
      <c r="S146" s="143">
        <f t="shared" si="39"/>
        <v>0</v>
      </c>
      <c r="T146" s="143">
        <f t="shared" si="39"/>
        <v>0</v>
      </c>
      <c r="U146" s="143">
        <f t="shared" si="39"/>
        <v>0</v>
      </c>
      <c r="V146" s="143">
        <f t="shared" si="39"/>
        <v>0</v>
      </c>
      <c r="W146" s="143">
        <f t="shared" si="39"/>
        <v>0</v>
      </c>
      <c r="X146" s="143">
        <f t="shared" si="39"/>
        <v>0</v>
      </c>
      <c r="Y146" s="143">
        <f t="shared" si="39"/>
        <v>0</v>
      </c>
      <c r="Z146" s="143">
        <f t="shared" si="39"/>
        <v>0</v>
      </c>
      <c r="AA146" s="143">
        <f t="shared" si="39"/>
        <v>0</v>
      </c>
      <c r="AB146" s="143">
        <f t="shared" si="39"/>
        <v>0</v>
      </c>
      <c r="AC146" s="143">
        <f t="shared" si="39"/>
        <v>0</v>
      </c>
      <c r="AD146" s="143">
        <f t="shared" si="39"/>
        <v>0</v>
      </c>
      <c r="AE146" s="143">
        <f t="shared" si="39"/>
        <v>0</v>
      </c>
      <c r="AF146" s="142"/>
      <c r="AG146" s="142"/>
      <c r="AH146" s="142"/>
      <c r="AI146" s="142"/>
    </row>
    <row r="147" spans="2:35" customFormat="1" ht="14.25" x14ac:dyDescent="0.45">
      <c r="B147" s="14" t="s">
        <v>2766</v>
      </c>
      <c r="C147" s="14" t="s">
        <v>2701</v>
      </c>
      <c r="D147" s="15" t="s">
        <v>2767</v>
      </c>
      <c r="E147" s="16" t="s">
        <v>1414</v>
      </c>
      <c r="F147" s="14" t="s">
        <v>2735</v>
      </c>
      <c r="G147" s="17"/>
      <c r="H147" s="17"/>
      <c r="K147" s="140"/>
      <c r="L147" s="141">
        <f t="shared" ref="L147:AE147" si="40">IF(L$122&lt;=0,0,IF(L$146&lt;=0,L$143,MIN($F$5,IF(L$143-(L$145-L$122)/L$146&lt;=0,L$143/2,L$143-(L$145-L$122)/L$146))))</f>
        <v>0</v>
      </c>
      <c r="M147" s="141">
        <f t="shared" si="40"/>
        <v>0</v>
      </c>
      <c r="N147" s="141">
        <f t="shared" si="40"/>
        <v>0</v>
      </c>
      <c r="O147" s="141">
        <f t="shared" si="40"/>
        <v>0</v>
      </c>
      <c r="P147" s="141">
        <f t="shared" si="40"/>
        <v>0</v>
      </c>
      <c r="Q147" s="141">
        <f t="shared" si="40"/>
        <v>0</v>
      </c>
      <c r="R147" s="141">
        <f t="shared" si="40"/>
        <v>0</v>
      </c>
      <c r="S147" s="141">
        <f t="shared" si="40"/>
        <v>0</v>
      </c>
      <c r="T147" s="141">
        <f t="shared" si="40"/>
        <v>0</v>
      </c>
      <c r="U147" s="141">
        <f t="shared" si="40"/>
        <v>0</v>
      </c>
      <c r="V147" s="141">
        <f t="shared" si="40"/>
        <v>0</v>
      </c>
      <c r="W147" s="141">
        <f t="shared" si="40"/>
        <v>0</v>
      </c>
      <c r="X147" s="141">
        <f t="shared" si="40"/>
        <v>0</v>
      </c>
      <c r="Y147" s="141">
        <f t="shared" si="40"/>
        <v>0</v>
      </c>
      <c r="Z147" s="141">
        <f t="shared" si="40"/>
        <v>0</v>
      </c>
      <c r="AA147" s="141">
        <f t="shared" si="40"/>
        <v>0</v>
      </c>
      <c r="AB147" s="141">
        <f t="shared" si="40"/>
        <v>0</v>
      </c>
      <c r="AC147" s="141">
        <f t="shared" si="40"/>
        <v>0</v>
      </c>
      <c r="AD147" s="141">
        <f t="shared" si="40"/>
        <v>0</v>
      </c>
      <c r="AE147" s="141">
        <f t="shared" si="40"/>
        <v>0</v>
      </c>
      <c r="AF147" s="142"/>
      <c r="AG147" s="142"/>
      <c r="AH147" s="142"/>
      <c r="AI147" s="142"/>
    </row>
    <row r="148" spans="2:35" customFormat="1" ht="14.25" x14ac:dyDescent="0.45">
      <c r="B148" s="14" t="s">
        <v>2768</v>
      </c>
      <c r="C148" s="14" t="s">
        <v>2701</v>
      </c>
      <c r="D148" s="15" t="s">
        <v>2769</v>
      </c>
      <c r="E148" s="16" t="s">
        <v>2094</v>
      </c>
      <c r="F148" s="14" t="s">
        <v>2725</v>
      </c>
      <c r="G148" s="17"/>
      <c r="H148" s="17"/>
      <c r="K148" s="140"/>
      <c r="L148" s="143">
        <f t="shared" ref="L148:AE148" si="41">SUMPRODUCT(L$45:L$52*(1-EXP(-L$55:L$62*L$147)))+SUMPRODUCT(L$101:L$116*(1-EXP(-L$65:L$80*L$147)))</f>
        <v>0</v>
      </c>
      <c r="M148" s="143">
        <f t="shared" si="41"/>
        <v>0</v>
      </c>
      <c r="N148" s="143">
        <f t="shared" si="41"/>
        <v>0</v>
      </c>
      <c r="O148" s="143">
        <f t="shared" si="41"/>
        <v>0</v>
      </c>
      <c r="P148" s="143">
        <f t="shared" si="41"/>
        <v>0</v>
      </c>
      <c r="Q148" s="143">
        <f t="shared" si="41"/>
        <v>0</v>
      </c>
      <c r="R148" s="143">
        <f t="shared" si="41"/>
        <v>0</v>
      </c>
      <c r="S148" s="143">
        <f t="shared" si="41"/>
        <v>0</v>
      </c>
      <c r="T148" s="143">
        <f t="shared" si="41"/>
        <v>0</v>
      </c>
      <c r="U148" s="143">
        <f t="shared" si="41"/>
        <v>0</v>
      </c>
      <c r="V148" s="143">
        <f t="shared" si="41"/>
        <v>0</v>
      </c>
      <c r="W148" s="143">
        <f t="shared" si="41"/>
        <v>0</v>
      </c>
      <c r="X148" s="143">
        <f t="shared" si="41"/>
        <v>0</v>
      </c>
      <c r="Y148" s="143">
        <f t="shared" si="41"/>
        <v>0</v>
      </c>
      <c r="Z148" s="143">
        <f t="shared" si="41"/>
        <v>0</v>
      </c>
      <c r="AA148" s="143">
        <f t="shared" si="41"/>
        <v>0</v>
      </c>
      <c r="AB148" s="143">
        <f t="shared" si="41"/>
        <v>0</v>
      </c>
      <c r="AC148" s="143">
        <f t="shared" si="41"/>
        <v>0</v>
      </c>
      <c r="AD148" s="143">
        <f t="shared" si="41"/>
        <v>0</v>
      </c>
      <c r="AE148" s="143">
        <f t="shared" si="41"/>
        <v>0</v>
      </c>
      <c r="AF148" s="142"/>
      <c r="AG148" s="142"/>
      <c r="AH148" s="142"/>
      <c r="AI148" s="142"/>
    </row>
    <row r="149" spans="2:35" customFormat="1" ht="14.25" x14ac:dyDescent="0.45">
      <c r="B149" s="14" t="s">
        <v>2770</v>
      </c>
      <c r="C149" s="14" t="s">
        <v>2701</v>
      </c>
      <c r="D149" s="15" t="s">
        <v>2771</v>
      </c>
      <c r="E149" s="16" t="s">
        <v>1870</v>
      </c>
      <c r="F149" s="14" t="s">
        <v>2728</v>
      </c>
      <c r="G149" s="17"/>
      <c r="H149" s="17"/>
      <c r="K149" s="140"/>
      <c r="L149" s="141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41">
        <f t="shared" si="42"/>
        <v>0</v>
      </c>
      <c r="N149" s="141">
        <f t="shared" si="42"/>
        <v>0</v>
      </c>
      <c r="O149" s="141">
        <f t="shared" si="42"/>
        <v>0</v>
      </c>
      <c r="P149" s="141">
        <f t="shared" si="42"/>
        <v>0</v>
      </c>
      <c r="Q149" s="141">
        <f t="shared" si="42"/>
        <v>0</v>
      </c>
      <c r="R149" s="141">
        <f t="shared" si="42"/>
        <v>0</v>
      </c>
      <c r="S149" s="141">
        <f t="shared" si="42"/>
        <v>0</v>
      </c>
      <c r="T149" s="141">
        <f t="shared" si="42"/>
        <v>0</v>
      </c>
      <c r="U149" s="141">
        <f t="shared" si="42"/>
        <v>0</v>
      </c>
      <c r="V149" s="141">
        <f t="shared" si="42"/>
        <v>0</v>
      </c>
      <c r="W149" s="141">
        <f t="shared" si="42"/>
        <v>0</v>
      </c>
      <c r="X149" s="141">
        <f t="shared" si="42"/>
        <v>0</v>
      </c>
      <c r="Y149" s="141">
        <f t="shared" si="42"/>
        <v>0</v>
      </c>
      <c r="Z149" s="141">
        <f t="shared" si="42"/>
        <v>0</v>
      </c>
      <c r="AA149" s="141">
        <f t="shared" si="42"/>
        <v>0</v>
      </c>
      <c r="AB149" s="141">
        <f t="shared" si="42"/>
        <v>0</v>
      </c>
      <c r="AC149" s="141">
        <f t="shared" si="42"/>
        <v>0</v>
      </c>
      <c r="AD149" s="141">
        <f t="shared" si="42"/>
        <v>0</v>
      </c>
      <c r="AE149" s="141">
        <f t="shared" si="42"/>
        <v>0</v>
      </c>
      <c r="AF149" s="142"/>
      <c r="AG149" s="142"/>
      <c r="AH149" s="142"/>
      <c r="AI149" s="142"/>
    </row>
    <row r="150" spans="2:35" customFormat="1" ht="14.25" x14ac:dyDescent="0.45">
      <c r="B150" s="14" t="s">
        <v>2772</v>
      </c>
      <c r="C150" s="14" t="s">
        <v>2701</v>
      </c>
      <c r="D150" s="15" t="s">
        <v>2773</v>
      </c>
      <c r="E150" s="16" t="s">
        <v>2731</v>
      </c>
      <c r="F150" s="14" t="s">
        <v>2732</v>
      </c>
      <c r="G150" s="17"/>
      <c r="H150" s="17"/>
      <c r="K150" s="140"/>
      <c r="L150" s="143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43">
        <f t="shared" si="43"/>
        <v>0</v>
      </c>
      <c r="N150" s="143">
        <f t="shared" si="43"/>
        <v>0</v>
      </c>
      <c r="O150" s="143">
        <f t="shared" si="43"/>
        <v>0</v>
      </c>
      <c r="P150" s="143">
        <f t="shared" si="43"/>
        <v>0</v>
      </c>
      <c r="Q150" s="143">
        <f t="shared" si="43"/>
        <v>0</v>
      </c>
      <c r="R150" s="143">
        <f t="shared" si="43"/>
        <v>0</v>
      </c>
      <c r="S150" s="143">
        <f t="shared" si="43"/>
        <v>0</v>
      </c>
      <c r="T150" s="143">
        <f t="shared" si="43"/>
        <v>0</v>
      </c>
      <c r="U150" s="143">
        <f t="shared" si="43"/>
        <v>0</v>
      </c>
      <c r="V150" s="143">
        <f t="shared" si="43"/>
        <v>0</v>
      </c>
      <c r="W150" s="143">
        <f t="shared" si="43"/>
        <v>0</v>
      </c>
      <c r="X150" s="143">
        <f t="shared" si="43"/>
        <v>0</v>
      </c>
      <c r="Y150" s="143">
        <f t="shared" si="43"/>
        <v>0</v>
      </c>
      <c r="Z150" s="143">
        <f t="shared" si="43"/>
        <v>0</v>
      </c>
      <c r="AA150" s="143">
        <f t="shared" si="43"/>
        <v>0</v>
      </c>
      <c r="AB150" s="143">
        <f t="shared" si="43"/>
        <v>0</v>
      </c>
      <c r="AC150" s="143">
        <f t="shared" si="43"/>
        <v>0</v>
      </c>
      <c r="AD150" s="143">
        <f t="shared" si="43"/>
        <v>0</v>
      </c>
      <c r="AE150" s="143">
        <f t="shared" si="43"/>
        <v>0</v>
      </c>
      <c r="AF150" s="142"/>
      <c r="AG150" s="142"/>
      <c r="AH150" s="142"/>
      <c r="AI150" s="142"/>
    </row>
    <row r="151" spans="2:35" customFormat="1" ht="14.25" x14ac:dyDescent="0.45">
      <c r="B151" s="14" t="s">
        <v>2774</v>
      </c>
      <c r="C151" s="14" t="s">
        <v>2701</v>
      </c>
      <c r="D151" s="15" t="s">
        <v>2775</v>
      </c>
      <c r="E151" s="16" t="s">
        <v>1414</v>
      </c>
      <c r="F151" s="14" t="s">
        <v>2735</v>
      </c>
      <c r="G151" s="17"/>
      <c r="H151" s="17"/>
      <c r="K151" s="140"/>
      <c r="L151" s="141">
        <f t="shared" ref="L151:AE151" si="44">IF(L$122&lt;=0,0,IF(L$150&lt;=0,L$147,MIN($F$5,IF(L$147-(L$149-L$122)/L$150&lt;=0,L$147/2,L$147-(L$149-L$122)/L$150))))</f>
        <v>0</v>
      </c>
      <c r="M151" s="141">
        <f t="shared" si="44"/>
        <v>0</v>
      </c>
      <c r="N151" s="141">
        <f t="shared" si="44"/>
        <v>0</v>
      </c>
      <c r="O151" s="141">
        <f t="shared" si="44"/>
        <v>0</v>
      </c>
      <c r="P151" s="141">
        <f t="shared" si="44"/>
        <v>0</v>
      </c>
      <c r="Q151" s="141">
        <f t="shared" si="44"/>
        <v>0</v>
      </c>
      <c r="R151" s="141">
        <f t="shared" si="44"/>
        <v>0</v>
      </c>
      <c r="S151" s="141">
        <f t="shared" si="44"/>
        <v>0</v>
      </c>
      <c r="T151" s="141">
        <f t="shared" si="44"/>
        <v>0</v>
      </c>
      <c r="U151" s="141">
        <f t="shared" si="44"/>
        <v>0</v>
      </c>
      <c r="V151" s="141">
        <f t="shared" si="44"/>
        <v>0</v>
      </c>
      <c r="W151" s="141">
        <f t="shared" si="44"/>
        <v>0</v>
      </c>
      <c r="X151" s="141">
        <f t="shared" si="44"/>
        <v>0</v>
      </c>
      <c r="Y151" s="141">
        <f t="shared" si="44"/>
        <v>0</v>
      </c>
      <c r="Z151" s="141">
        <f t="shared" si="44"/>
        <v>0</v>
      </c>
      <c r="AA151" s="141">
        <f t="shared" si="44"/>
        <v>0</v>
      </c>
      <c r="AB151" s="141">
        <f t="shared" si="44"/>
        <v>0</v>
      </c>
      <c r="AC151" s="141">
        <f t="shared" si="44"/>
        <v>0</v>
      </c>
      <c r="AD151" s="141">
        <f t="shared" si="44"/>
        <v>0</v>
      </c>
      <c r="AE151" s="141">
        <f t="shared" si="44"/>
        <v>0</v>
      </c>
      <c r="AF151" s="142"/>
      <c r="AG151" s="142"/>
      <c r="AH151" s="142"/>
      <c r="AI151" s="142"/>
    </row>
    <row r="152" spans="2:35" customFormat="1" ht="14.25" x14ac:dyDescent="0.45">
      <c r="B152" s="14" t="s">
        <v>2776</v>
      </c>
      <c r="C152" s="14" t="s">
        <v>2701</v>
      </c>
      <c r="D152" s="15" t="s">
        <v>2777</v>
      </c>
      <c r="E152" s="16" t="s">
        <v>2094</v>
      </c>
      <c r="F152" s="14" t="s">
        <v>2725</v>
      </c>
      <c r="G152" s="17"/>
      <c r="H152" s="17"/>
      <c r="K152" s="140"/>
      <c r="L152" s="143">
        <f t="shared" ref="L152:AE152" si="45">SUMPRODUCT(L$45:L$52*(1-EXP(-L$55:L$62*L$151)))+SUMPRODUCT(L$101:L$116*(1-EXP(-L$65:L$80*L$151)))</f>
        <v>0</v>
      </c>
      <c r="M152" s="143">
        <f t="shared" si="45"/>
        <v>0</v>
      </c>
      <c r="N152" s="143">
        <f t="shared" si="45"/>
        <v>0</v>
      </c>
      <c r="O152" s="143">
        <f t="shared" si="45"/>
        <v>0</v>
      </c>
      <c r="P152" s="143">
        <f t="shared" si="45"/>
        <v>0</v>
      </c>
      <c r="Q152" s="143">
        <f t="shared" si="45"/>
        <v>0</v>
      </c>
      <c r="R152" s="143">
        <f t="shared" si="45"/>
        <v>0</v>
      </c>
      <c r="S152" s="143">
        <f t="shared" si="45"/>
        <v>0</v>
      </c>
      <c r="T152" s="143">
        <f t="shared" si="45"/>
        <v>0</v>
      </c>
      <c r="U152" s="143">
        <f t="shared" si="45"/>
        <v>0</v>
      </c>
      <c r="V152" s="143">
        <f t="shared" si="45"/>
        <v>0</v>
      </c>
      <c r="W152" s="143">
        <f t="shared" si="45"/>
        <v>0</v>
      </c>
      <c r="X152" s="143">
        <f t="shared" si="45"/>
        <v>0</v>
      </c>
      <c r="Y152" s="143">
        <f t="shared" si="45"/>
        <v>0</v>
      </c>
      <c r="Z152" s="143">
        <f t="shared" si="45"/>
        <v>0</v>
      </c>
      <c r="AA152" s="143">
        <f t="shared" si="45"/>
        <v>0</v>
      </c>
      <c r="AB152" s="143">
        <f t="shared" si="45"/>
        <v>0</v>
      </c>
      <c r="AC152" s="143">
        <f t="shared" si="45"/>
        <v>0</v>
      </c>
      <c r="AD152" s="143">
        <f t="shared" si="45"/>
        <v>0</v>
      </c>
      <c r="AE152" s="143">
        <f t="shared" si="45"/>
        <v>0</v>
      </c>
      <c r="AF152" s="142"/>
      <c r="AG152" s="142"/>
      <c r="AH152" s="142"/>
      <c r="AI152" s="142"/>
    </row>
    <row r="153" spans="2:35" customFormat="1" ht="14.25" x14ac:dyDescent="0.45">
      <c r="B153" s="14" t="s">
        <v>2778</v>
      </c>
      <c r="C153" s="14" t="s">
        <v>2701</v>
      </c>
      <c r="D153" s="15" t="s">
        <v>2779</v>
      </c>
      <c r="E153" s="16" t="s">
        <v>1870</v>
      </c>
      <c r="F153" s="14" t="s">
        <v>2728</v>
      </c>
      <c r="G153" s="17"/>
      <c r="H153" s="17"/>
      <c r="K153" s="140"/>
      <c r="L153" s="141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41">
        <f t="shared" si="46"/>
        <v>0</v>
      </c>
      <c r="N153" s="141">
        <f t="shared" si="46"/>
        <v>0</v>
      </c>
      <c r="O153" s="141">
        <f t="shared" si="46"/>
        <v>0</v>
      </c>
      <c r="P153" s="141">
        <f t="shared" si="46"/>
        <v>0</v>
      </c>
      <c r="Q153" s="141">
        <f t="shared" si="46"/>
        <v>0</v>
      </c>
      <c r="R153" s="141">
        <f t="shared" si="46"/>
        <v>0</v>
      </c>
      <c r="S153" s="141">
        <f t="shared" si="46"/>
        <v>0</v>
      </c>
      <c r="T153" s="141">
        <f t="shared" si="46"/>
        <v>0</v>
      </c>
      <c r="U153" s="141">
        <f t="shared" si="46"/>
        <v>0</v>
      </c>
      <c r="V153" s="141">
        <f t="shared" si="46"/>
        <v>0</v>
      </c>
      <c r="W153" s="141">
        <f t="shared" si="46"/>
        <v>0</v>
      </c>
      <c r="X153" s="141">
        <f t="shared" si="46"/>
        <v>0</v>
      </c>
      <c r="Y153" s="141">
        <f t="shared" si="46"/>
        <v>0</v>
      </c>
      <c r="Z153" s="141">
        <f t="shared" si="46"/>
        <v>0</v>
      </c>
      <c r="AA153" s="141">
        <f t="shared" si="46"/>
        <v>0</v>
      </c>
      <c r="AB153" s="141">
        <f t="shared" si="46"/>
        <v>0</v>
      </c>
      <c r="AC153" s="141">
        <f t="shared" si="46"/>
        <v>0</v>
      </c>
      <c r="AD153" s="141">
        <f t="shared" si="46"/>
        <v>0</v>
      </c>
      <c r="AE153" s="141">
        <f t="shared" si="46"/>
        <v>0</v>
      </c>
      <c r="AF153" s="142"/>
      <c r="AG153" s="142"/>
      <c r="AH153" s="142"/>
      <c r="AI153" s="142"/>
    </row>
    <row r="154" spans="2:35" customFormat="1" ht="14.25" x14ac:dyDescent="0.45">
      <c r="B154" s="14" t="s">
        <v>2780</v>
      </c>
      <c r="C154" s="14" t="s">
        <v>2701</v>
      </c>
      <c r="D154" s="15" t="s">
        <v>2781</v>
      </c>
      <c r="E154" s="16" t="s">
        <v>2731</v>
      </c>
      <c r="F154" s="14" t="s">
        <v>2732</v>
      </c>
      <c r="G154" s="17"/>
      <c r="H154" s="17"/>
      <c r="K154" s="140"/>
      <c r="L154" s="143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43">
        <f t="shared" si="47"/>
        <v>0</v>
      </c>
      <c r="N154" s="143">
        <f t="shared" si="47"/>
        <v>0</v>
      </c>
      <c r="O154" s="143">
        <f t="shared" si="47"/>
        <v>0</v>
      </c>
      <c r="P154" s="143">
        <f t="shared" si="47"/>
        <v>0</v>
      </c>
      <c r="Q154" s="143">
        <f t="shared" si="47"/>
        <v>0</v>
      </c>
      <c r="R154" s="143">
        <f t="shared" si="47"/>
        <v>0</v>
      </c>
      <c r="S154" s="143">
        <f t="shared" si="47"/>
        <v>0</v>
      </c>
      <c r="T154" s="143">
        <f t="shared" si="47"/>
        <v>0</v>
      </c>
      <c r="U154" s="143">
        <f t="shared" si="47"/>
        <v>0</v>
      </c>
      <c r="V154" s="143">
        <f t="shared" si="47"/>
        <v>0</v>
      </c>
      <c r="W154" s="143">
        <f t="shared" si="47"/>
        <v>0</v>
      </c>
      <c r="X154" s="143">
        <f t="shared" si="47"/>
        <v>0</v>
      </c>
      <c r="Y154" s="143">
        <f t="shared" si="47"/>
        <v>0</v>
      </c>
      <c r="Z154" s="143">
        <f t="shared" si="47"/>
        <v>0</v>
      </c>
      <c r="AA154" s="143">
        <f t="shared" si="47"/>
        <v>0</v>
      </c>
      <c r="AB154" s="143">
        <f t="shared" si="47"/>
        <v>0</v>
      </c>
      <c r="AC154" s="143">
        <f t="shared" si="47"/>
        <v>0</v>
      </c>
      <c r="AD154" s="143">
        <f t="shared" si="47"/>
        <v>0</v>
      </c>
      <c r="AE154" s="143">
        <f t="shared" si="47"/>
        <v>0</v>
      </c>
      <c r="AF154" s="142"/>
      <c r="AG154" s="142"/>
      <c r="AH154" s="142"/>
      <c r="AI154" s="142"/>
    </row>
    <row r="155" spans="2:35" customFormat="1" ht="14.25" x14ac:dyDescent="0.45">
      <c r="B155" s="14" t="s">
        <v>2782</v>
      </c>
      <c r="C155" s="14" t="s">
        <v>2701</v>
      </c>
      <c r="D155" s="15" t="s">
        <v>2783</v>
      </c>
      <c r="E155" s="16" t="s">
        <v>1414</v>
      </c>
      <c r="F155" s="14" t="s">
        <v>2735</v>
      </c>
      <c r="G155" s="17"/>
      <c r="H155" s="17"/>
      <c r="K155" s="140"/>
      <c r="L155" s="141">
        <f t="shared" ref="L155:AE155" si="48">IF(L$122&lt;=0,0,IF(L$154&lt;=0,L$151,MIN($F$5,IF(L$151-(L$153-L$122)/L$154&lt;=0,L$151/2,L$151-(L$153-L$122)/L$154))))</f>
        <v>0</v>
      </c>
      <c r="M155" s="141">
        <f t="shared" si="48"/>
        <v>0</v>
      </c>
      <c r="N155" s="141">
        <f t="shared" si="48"/>
        <v>0</v>
      </c>
      <c r="O155" s="141">
        <f t="shared" si="48"/>
        <v>0</v>
      </c>
      <c r="P155" s="141">
        <f t="shared" si="48"/>
        <v>0</v>
      </c>
      <c r="Q155" s="141">
        <f t="shared" si="48"/>
        <v>0</v>
      </c>
      <c r="R155" s="141">
        <f t="shared" si="48"/>
        <v>0</v>
      </c>
      <c r="S155" s="141">
        <f t="shared" si="48"/>
        <v>0</v>
      </c>
      <c r="T155" s="141">
        <f t="shared" si="48"/>
        <v>0</v>
      </c>
      <c r="U155" s="141">
        <f t="shared" si="48"/>
        <v>0</v>
      </c>
      <c r="V155" s="141">
        <f t="shared" si="48"/>
        <v>0</v>
      </c>
      <c r="W155" s="141">
        <f t="shared" si="48"/>
        <v>0</v>
      </c>
      <c r="X155" s="141">
        <f t="shared" si="48"/>
        <v>0</v>
      </c>
      <c r="Y155" s="141">
        <f t="shared" si="48"/>
        <v>0</v>
      </c>
      <c r="Z155" s="141">
        <f t="shared" si="48"/>
        <v>0</v>
      </c>
      <c r="AA155" s="141">
        <f t="shared" si="48"/>
        <v>0</v>
      </c>
      <c r="AB155" s="141">
        <f t="shared" si="48"/>
        <v>0</v>
      </c>
      <c r="AC155" s="141">
        <f t="shared" si="48"/>
        <v>0</v>
      </c>
      <c r="AD155" s="141">
        <f t="shared" si="48"/>
        <v>0</v>
      </c>
      <c r="AE155" s="141">
        <f t="shared" si="48"/>
        <v>0</v>
      </c>
      <c r="AF155" s="142"/>
      <c r="AG155" s="142"/>
      <c r="AH155" s="142"/>
      <c r="AI155" s="142"/>
    </row>
    <row r="156" spans="2:35" customFormat="1" ht="14.25" x14ac:dyDescent="0.45">
      <c r="B156" s="14" t="s">
        <v>2784</v>
      </c>
      <c r="C156" s="14" t="s">
        <v>2701</v>
      </c>
      <c r="D156" s="15" t="s">
        <v>2785</v>
      </c>
      <c r="E156" s="16" t="s">
        <v>2094</v>
      </c>
      <c r="F156" s="14" t="s">
        <v>2725</v>
      </c>
      <c r="G156" s="17"/>
      <c r="H156" s="17"/>
      <c r="K156" s="140"/>
      <c r="L156" s="143">
        <f t="shared" ref="L156:AE156" si="49">SUMPRODUCT(L$45:L$52*(1-EXP(-L$55:L$62*L$155)))+SUMPRODUCT(L$101:L$116*(1-EXP(-L$65:L$80*L$155)))</f>
        <v>0</v>
      </c>
      <c r="M156" s="143">
        <f t="shared" si="49"/>
        <v>0</v>
      </c>
      <c r="N156" s="143">
        <f t="shared" si="49"/>
        <v>0</v>
      </c>
      <c r="O156" s="143">
        <f t="shared" si="49"/>
        <v>0</v>
      </c>
      <c r="P156" s="143">
        <f t="shared" si="49"/>
        <v>0</v>
      </c>
      <c r="Q156" s="143">
        <f t="shared" si="49"/>
        <v>0</v>
      </c>
      <c r="R156" s="143">
        <f t="shared" si="49"/>
        <v>0</v>
      </c>
      <c r="S156" s="143">
        <f t="shared" si="49"/>
        <v>0</v>
      </c>
      <c r="T156" s="143">
        <f t="shared" si="49"/>
        <v>0</v>
      </c>
      <c r="U156" s="143">
        <f t="shared" si="49"/>
        <v>0</v>
      </c>
      <c r="V156" s="143">
        <f t="shared" si="49"/>
        <v>0</v>
      </c>
      <c r="W156" s="143">
        <f t="shared" si="49"/>
        <v>0</v>
      </c>
      <c r="X156" s="143">
        <f t="shared" si="49"/>
        <v>0</v>
      </c>
      <c r="Y156" s="143">
        <f t="shared" si="49"/>
        <v>0</v>
      </c>
      <c r="Z156" s="143">
        <f t="shared" si="49"/>
        <v>0</v>
      </c>
      <c r="AA156" s="143">
        <f t="shared" si="49"/>
        <v>0</v>
      </c>
      <c r="AB156" s="143">
        <f t="shared" si="49"/>
        <v>0</v>
      </c>
      <c r="AC156" s="143">
        <f t="shared" si="49"/>
        <v>0</v>
      </c>
      <c r="AD156" s="143">
        <f t="shared" si="49"/>
        <v>0</v>
      </c>
      <c r="AE156" s="143">
        <f t="shared" si="49"/>
        <v>0</v>
      </c>
      <c r="AF156" s="142"/>
      <c r="AG156" s="142"/>
      <c r="AH156" s="142"/>
      <c r="AI156" s="142"/>
    </row>
    <row r="157" spans="2:35" customFormat="1" ht="14.25" x14ac:dyDescent="0.45">
      <c r="B157" s="14" t="s">
        <v>2786</v>
      </c>
      <c r="C157" s="14" t="s">
        <v>2701</v>
      </c>
      <c r="D157" s="15" t="s">
        <v>2787</v>
      </c>
      <c r="E157" s="16" t="s">
        <v>1870</v>
      </c>
      <c r="F157" s="14" t="s">
        <v>2728</v>
      </c>
      <c r="G157" s="17"/>
      <c r="H157" s="17"/>
      <c r="K157" s="140"/>
      <c r="L157" s="141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41">
        <f t="shared" si="50"/>
        <v>0</v>
      </c>
      <c r="N157" s="141">
        <f t="shared" si="50"/>
        <v>0</v>
      </c>
      <c r="O157" s="141">
        <f t="shared" si="50"/>
        <v>0</v>
      </c>
      <c r="P157" s="141">
        <f t="shared" si="50"/>
        <v>0</v>
      </c>
      <c r="Q157" s="141">
        <f t="shared" si="50"/>
        <v>0</v>
      </c>
      <c r="R157" s="141">
        <f t="shared" si="50"/>
        <v>0</v>
      </c>
      <c r="S157" s="141">
        <f t="shared" si="50"/>
        <v>0</v>
      </c>
      <c r="T157" s="141">
        <f t="shared" si="50"/>
        <v>0</v>
      </c>
      <c r="U157" s="141">
        <f t="shared" si="50"/>
        <v>0</v>
      </c>
      <c r="V157" s="141">
        <f t="shared" si="50"/>
        <v>0</v>
      </c>
      <c r="W157" s="141">
        <f t="shared" si="50"/>
        <v>0</v>
      </c>
      <c r="X157" s="141">
        <f t="shared" si="50"/>
        <v>0</v>
      </c>
      <c r="Y157" s="141">
        <f t="shared" si="50"/>
        <v>0</v>
      </c>
      <c r="Z157" s="141">
        <f t="shared" si="50"/>
        <v>0</v>
      </c>
      <c r="AA157" s="141">
        <f t="shared" si="50"/>
        <v>0</v>
      </c>
      <c r="AB157" s="141">
        <f t="shared" si="50"/>
        <v>0</v>
      </c>
      <c r="AC157" s="141">
        <f t="shared" si="50"/>
        <v>0</v>
      </c>
      <c r="AD157" s="141">
        <f t="shared" si="50"/>
        <v>0</v>
      </c>
      <c r="AE157" s="141">
        <f t="shared" si="50"/>
        <v>0</v>
      </c>
      <c r="AF157" s="142"/>
      <c r="AG157" s="142"/>
      <c r="AH157" s="142"/>
      <c r="AI157" s="142"/>
    </row>
    <row r="158" spans="2:35" customFormat="1" ht="14.25" x14ac:dyDescent="0.45">
      <c r="B158" s="14" t="s">
        <v>2788</v>
      </c>
      <c r="C158" s="14" t="s">
        <v>2701</v>
      </c>
      <c r="D158" s="15" t="s">
        <v>2789</v>
      </c>
      <c r="E158" s="16" t="s">
        <v>2731</v>
      </c>
      <c r="F158" s="14" t="s">
        <v>2732</v>
      </c>
      <c r="G158" s="17"/>
      <c r="H158" s="17"/>
      <c r="K158" s="140"/>
      <c r="L158" s="143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43">
        <f t="shared" si="51"/>
        <v>0</v>
      </c>
      <c r="N158" s="143">
        <f t="shared" si="51"/>
        <v>0</v>
      </c>
      <c r="O158" s="143">
        <f t="shared" si="51"/>
        <v>0</v>
      </c>
      <c r="P158" s="143">
        <f t="shared" si="51"/>
        <v>0</v>
      </c>
      <c r="Q158" s="143">
        <f t="shared" si="51"/>
        <v>0</v>
      </c>
      <c r="R158" s="143">
        <f t="shared" si="51"/>
        <v>0</v>
      </c>
      <c r="S158" s="143">
        <f t="shared" si="51"/>
        <v>0</v>
      </c>
      <c r="T158" s="143">
        <f t="shared" si="51"/>
        <v>0</v>
      </c>
      <c r="U158" s="143">
        <f t="shared" si="51"/>
        <v>0</v>
      </c>
      <c r="V158" s="143">
        <f t="shared" si="51"/>
        <v>0</v>
      </c>
      <c r="W158" s="143">
        <f t="shared" si="51"/>
        <v>0</v>
      </c>
      <c r="X158" s="143">
        <f t="shared" si="51"/>
        <v>0</v>
      </c>
      <c r="Y158" s="143">
        <f t="shared" si="51"/>
        <v>0</v>
      </c>
      <c r="Z158" s="143">
        <f t="shared" si="51"/>
        <v>0</v>
      </c>
      <c r="AA158" s="143">
        <f t="shared" si="51"/>
        <v>0</v>
      </c>
      <c r="AB158" s="143">
        <f t="shared" si="51"/>
        <v>0</v>
      </c>
      <c r="AC158" s="143">
        <f t="shared" si="51"/>
        <v>0</v>
      </c>
      <c r="AD158" s="143">
        <f t="shared" si="51"/>
        <v>0</v>
      </c>
      <c r="AE158" s="143">
        <f t="shared" si="51"/>
        <v>0</v>
      </c>
      <c r="AF158" s="142"/>
      <c r="AG158" s="142"/>
      <c r="AH158" s="142"/>
      <c r="AI158" s="142"/>
    </row>
    <row r="159" spans="2:35" customFormat="1" ht="14.25" x14ac:dyDescent="0.45">
      <c r="B159" s="14" t="s">
        <v>2790</v>
      </c>
      <c r="C159" s="14" t="s">
        <v>2701</v>
      </c>
      <c r="D159" s="15" t="s">
        <v>2791</v>
      </c>
      <c r="E159" s="16" t="s">
        <v>1414</v>
      </c>
      <c r="F159" s="14" t="s">
        <v>2735</v>
      </c>
      <c r="G159" s="17"/>
      <c r="H159" s="17"/>
      <c r="K159" s="140"/>
      <c r="L159" s="141">
        <f t="shared" ref="L159:AE159" si="52">IF(L$122&lt;=0,0,IF(L$158&lt;=0,L$155,MIN($F$5,IF(L$155-(L$157-L$122)/L$158&lt;=0,L$155/2,L$155-(L$157-L$122)/L$158))))</f>
        <v>0</v>
      </c>
      <c r="M159" s="141">
        <f t="shared" si="52"/>
        <v>0</v>
      </c>
      <c r="N159" s="141">
        <f t="shared" si="52"/>
        <v>0</v>
      </c>
      <c r="O159" s="141">
        <f t="shared" si="52"/>
        <v>0</v>
      </c>
      <c r="P159" s="141">
        <f t="shared" si="52"/>
        <v>0</v>
      </c>
      <c r="Q159" s="141">
        <f t="shared" si="52"/>
        <v>0</v>
      </c>
      <c r="R159" s="141">
        <f t="shared" si="52"/>
        <v>0</v>
      </c>
      <c r="S159" s="141">
        <f t="shared" si="52"/>
        <v>0</v>
      </c>
      <c r="T159" s="141">
        <f t="shared" si="52"/>
        <v>0</v>
      </c>
      <c r="U159" s="141">
        <f t="shared" si="52"/>
        <v>0</v>
      </c>
      <c r="V159" s="141">
        <f t="shared" si="52"/>
        <v>0</v>
      </c>
      <c r="W159" s="141">
        <f t="shared" si="52"/>
        <v>0</v>
      </c>
      <c r="X159" s="141">
        <f t="shared" si="52"/>
        <v>0</v>
      </c>
      <c r="Y159" s="141">
        <f t="shared" si="52"/>
        <v>0</v>
      </c>
      <c r="Z159" s="141">
        <f t="shared" si="52"/>
        <v>0</v>
      </c>
      <c r="AA159" s="141">
        <f t="shared" si="52"/>
        <v>0</v>
      </c>
      <c r="AB159" s="141">
        <f t="shared" si="52"/>
        <v>0</v>
      </c>
      <c r="AC159" s="141">
        <f t="shared" si="52"/>
        <v>0</v>
      </c>
      <c r="AD159" s="141">
        <f t="shared" si="52"/>
        <v>0</v>
      </c>
      <c r="AE159" s="141">
        <f t="shared" si="52"/>
        <v>0</v>
      </c>
      <c r="AF159" s="142"/>
      <c r="AG159" s="142"/>
      <c r="AH159" s="142"/>
      <c r="AI159" s="142"/>
    </row>
    <row r="160" spans="2:35" customFormat="1" ht="14.25" x14ac:dyDescent="0.45">
      <c r="B160" s="14" t="s">
        <v>2792</v>
      </c>
      <c r="C160" s="14" t="s">
        <v>2701</v>
      </c>
      <c r="D160" s="15" t="s">
        <v>2793</v>
      </c>
      <c r="E160" s="16" t="s">
        <v>2094</v>
      </c>
      <c r="F160" s="14" t="s">
        <v>2725</v>
      </c>
      <c r="G160" s="17"/>
      <c r="H160" s="17"/>
      <c r="K160" s="140"/>
      <c r="L160" s="143">
        <f t="shared" ref="L160:AE160" si="53">SUMPRODUCT(L$45:L$52*(1-EXP(-L$55:L$62*L$159)))+SUMPRODUCT(L$101:L$116*(1-EXP(-L$65:L$80*L$159)))</f>
        <v>0</v>
      </c>
      <c r="M160" s="143">
        <f t="shared" si="53"/>
        <v>0</v>
      </c>
      <c r="N160" s="143">
        <f t="shared" si="53"/>
        <v>0</v>
      </c>
      <c r="O160" s="143">
        <f t="shared" si="53"/>
        <v>0</v>
      </c>
      <c r="P160" s="143">
        <f t="shared" si="53"/>
        <v>0</v>
      </c>
      <c r="Q160" s="143">
        <f t="shared" si="53"/>
        <v>0</v>
      </c>
      <c r="R160" s="143">
        <f t="shared" si="53"/>
        <v>0</v>
      </c>
      <c r="S160" s="143">
        <f t="shared" si="53"/>
        <v>0</v>
      </c>
      <c r="T160" s="143">
        <f t="shared" si="53"/>
        <v>0</v>
      </c>
      <c r="U160" s="143">
        <f t="shared" si="53"/>
        <v>0</v>
      </c>
      <c r="V160" s="143">
        <f t="shared" si="53"/>
        <v>0</v>
      </c>
      <c r="W160" s="143">
        <f t="shared" si="53"/>
        <v>0</v>
      </c>
      <c r="X160" s="143">
        <f t="shared" si="53"/>
        <v>0</v>
      </c>
      <c r="Y160" s="143">
        <f t="shared" si="53"/>
        <v>0</v>
      </c>
      <c r="Z160" s="143">
        <f t="shared" si="53"/>
        <v>0</v>
      </c>
      <c r="AA160" s="143">
        <f t="shared" si="53"/>
        <v>0</v>
      </c>
      <c r="AB160" s="143">
        <f t="shared" si="53"/>
        <v>0</v>
      </c>
      <c r="AC160" s="143">
        <f t="shared" si="53"/>
        <v>0</v>
      </c>
      <c r="AD160" s="143">
        <f t="shared" si="53"/>
        <v>0</v>
      </c>
      <c r="AE160" s="143">
        <f t="shared" si="53"/>
        <v>0</v>
      </c>
      <c r="AF160" s="142"/>
      <c r="AG160" s="142"/>
      <c r="AH160" s="142"/>
      <c r="AI160" s="142"/>
    </row>
    <row r="161" spans="2:35" customFormat="1" ht="14.25" x14ac:dyDescent="0.45">
      <c r="B161" s="14" t="s">
        <v>2794</v>
      </c>
      <c r="C161" s="14" t="s">
        <v>2701</v>
      </c>
      <c r="D161" s="15" t="s">
        <v>2795</v>
      </c>
      <c r="E161" s="16" t="s">
        <v>1870</v>
      </c>
      <c r="F161" s="14" t="s">
        <v>2728</v>
      </c>
      <c r="G161" s="17"/>
      <c r="H161" s="17"/>
      <c r="K161" s="140"/>
      <c r="L161" s="141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41">
        <f t="shared" si="54"/>
        <v>0</v>
      </c>
      <c r="N161" s="141">
        <f t="shared" si="54"/>
        <v>0</v>
      </c>
      <c r="O161" s="141">
        <f t="shared" si="54"/>
        <v>0</v>
      </c>
      <c r="P161" s="141">
        <f t="shared" si="54"/>
        <v>0</v>
      </c>
      <c r="Q161" s="141">
        <f t="shared" si="54"/>
        <v>0</v>
      </c>
      <c r="R161" s="141">
        <f t="shared" si="54"/>
        <v>0</v>
      </c>
      <c r="S161" s="141">
        <f t="shared" si="54"/>
        <v>0</v>
      </c>
      <c r="T161" s="141">
        <f t="shared" si="54"/>
        <v>0</v>
      </c>
      <c r="U161" s="141">
        <f t="shared" si="54"/>
        <v>0</v>
      </c>
      <c r="V161" s="141">
        <f t="shared" si="54"/>
        <v>0</v>
      </c>
      <c r="W161" s="141">
        <f t="shared" si="54"/>
        <v>0</v>
      </c>
      <c r="X161" s="141">
        <f t="shared" si="54"/>
        <v>0</v>
      </c>
      <c r="Y161" s="141">
        <f t="shared" si="54"/>
        <v>0</v>
      </c>
      <c r="Z161" s="141">
        <f t="shared" si="54"/>
        <v>0</v>
      </c>
      <c r="AA161" s="141">
        <f t="shared" si="54"/>
        <v>0</v>
      </c>
      <c r="AB161" s="141">
        <f t="shared" si="54"/>
        <v>0</v>
      </c>
      <c r="AC161" s="141">
        <f t="shared" si="54"/>
        <v>0</v>
      </c>
      <c r="AD161" s="141">
        <f t="shared" si="54"/>
        <v>0</v>
      </c>
      <c r="AE161" s="141">
        <f t="shared" si="54"/>
        <v>0</v>
      </c>
      <c r="AF161" s="142"/>
      <c r="AG161" s="142"/>
      <c r="AH161" s="142"/>
      <c r="AI161" s="142"/>
    </row>
    <row r="162" spans="2:35" customFormat="1" ht="14.25" x14ac:dyDescent="0.45">
      <c r="B162" s="14" t="s">
        <v>2796</v>
      </c>
      <c r="C162" s="14" t="s">
        <v>2701</v>
      </c>
      <c r="D162" s="15" t="s">
        <v>2797</v>
      </c>
      <c r="E162" s="16" t="s">
        <v>2731</v>
      </c>
      <c r="F162" s="14" t="s">
        <v>2732</v>
      </c>
      <c r="G162" s="17"/>
      <c r="H162" s="17"/>
      <c r="K162" s="140"/>
      <c r="L162" s="143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43">
        <f t="shared" si="55"/>
        <v>0</v>
      </c>
      <c r="N162" s="143">
        <f t="shared" si="55"/>
        <v>0</v>
      </c>
      <c r="O162" s="143">
        <f t="shared" si="55"/>
        <v>0</v>
      </c>
      <c r="P162" s="143">
        <f t="shared" si="55"/>
        <v>0</v>
      </c>
      <c r="Q162" s="143">
        <f t="shared" si="55"/>
        <v>0</v>
      </c>
      <c r="R162" s="143">
        <f t="shared" si="55"/>
        <v>0</v>
      </c>
      <c r="S162" s="143">
        <f t="shared" si="55"/>
        <v>0</v>
      </c>
      <c r="T162" s="143">
        <f t="shared" si="55"/>
        <v>0</v>
      </c>
      <c r="U162" s="143">
        <f t="shared" si="55"/>
        <v>0</v>
      </c>
      <c r="V162" s="143">
        <f t="shared" si="55"/>
        <v>0</v>
      </c>
      <c r="W162" s="143">
        <f t="shared" si="55"/>
        <v>0</v>
      </c>
      <c r="X162" s="143">
        <f t="shared" si="55"/>
        <v>0</v>
      </c>
      <c r="Y162" s="143">
        <f t="shared" si="55"/>
        <v>0</v>
      </c>
      <c r="Z162" s="143">
        <f t="shared" si="55"/>
        <v>0</v>
      </c>
      <c r="AA162" s="143">
        <f t="shared" si="55"/>
        <v>0</v>
      </c>
      <c r="AB162" s="143">
        <f t="shared" si="55"/>
        <v>0</v>
      </c>
      <c r="AC162" s="143">
        <f t="shared" si="55"/>
        <v>0</v>
      </c>
      <c r="AD162" s="143">
        <f t="shared" si="55"/>
        <v>0</v>
      </c>
      <c r="AE162" s="143">
        <f t="shared" si="55"/>
        <v>0</v>
      </c>
      <c r="AF162" s="142"/>
      <c r="AG162" s="142"/>
      <c r="AH162" s="142"/>
      <c r="AI162" s="142"/>
    </row>
    <row r="163" spans="2:35" customFormat="1" ht="14.25" x14ac:dyDescent="0.45">
      <c r="B163" s="14" t="s">
        <v>2798</v>
      </c>
      <c r="C163" s="14" t="s">
        <v>2701</v>
      </c>
      <c r="D163" s="15" t="s">
        <v>2799</v>
      </c>
      <c r="E163" s="16" t="s">
        <v>1414</v>
      </c>
      <c r="F163" s="14" t="s">
        <v>2735</v>
      </c>
      <c r="G163" s="17"/>
      <c r="H163" s="17"/>
      <c r="K163" s="140"/>
      <c r="L163" s="141">
        <f t="shared" ref="L163:AE163" si="56">IF(L$122&lt;=0,0,IF(L$162&lt;=0,L$159,MIN($F$5,IF(L$159-(L$161-L$122)/L$162&lt;=0,L$159/2,L$159-(L$161-L$122)/L$162))))</f>
        <v>0</v>
      </c>
      <c r="M163" s="141">
        <f t="shared" si="56"/>
        <v>0</v>
      </c>
      <c r="N163" s="141">
        <f t="shared" si="56"/>
        <v>0</v>
      </c>
      <c r="O163" s="141">
        <f t="shared" si="56"/>
        <v>0</v>
      </c>
      <c r="P163" s="141">
        <f t="shared" si="56"/>
        <v>0</v>
      </c>
      <c r="Q163" s="141">
        <f t="shared" si="56"/>
        <v>0</v>
      </c>
      <c r="R163" s="141">
        <f t="shared" si="56"/>
        <v>0</v>
      </c>
      <c r="S163" s="141">
        <f t="shared" si="56"/>
        <v>0</v>
      </c>
      <c r="T163" s="141">
        <f t="shared" si="56"/>
        <v>0</v>
      </c>
      <c r="U163" s="141">
        <f t="shared" si="56"/>
        <v>0</v>
      </c>
      <c r="V163" s="141">
        <f t="shared" si="56"/>
        <v>0</v>
      </c>
      <c r="W163" s="141">
        <f t="shared" si="56"/>
        <v>0</v>
      </c>
      <c r="X163" s="141">
        <f t="shared" si="56"/>
        <v>0</v>
      </c>
      <c r="Y163" s="141">
        <f t="shared" si="56"/>
        <v>0</v>
      </c>
      <c r="Z163" s="141">
        <f t="shared" si="56"/>
        <v>0</v>
      </c>
      <c r="AA163" s="141">
        <f t="shared" si="56"/>
        <v>0</v>
      </c>
      <c r="AB163" s="141">
        <f t="shared" si="56"/>
        <v>0</v>
      </c>
      <c r="AC163" s="141">
        <f t="shared" si="56"/>
        <v>0</v>
      </c>
      <c r="AD163" s="141">
        <f t="shared" si="56"/>
        <v>0</v>
      </c>
      <c r="AE163" s="141">
        <f t="shared" si="56"/>
        <v>0</v>
      </c>
      <c r="AF163" s="142"/>
      <c r="AG163" s="142"/>
      <c r="AH163" s="142"/>
      <c r="AI163" s="142"/>
    </row>
    <row r="164" spans="2:35" customFormat="1" ht="14.25" x14ac:dyDescent="0.45">
      <c r="B164" s="14" t="s">
        <v>2800</v>
      </c>
      <c r="C164" s="14" t="s">
        <v>2701</v>
      </c>
      <c r="D164" s="15" t="s">
        <v>2801</v>
      </c>
      <c r="E164" s="16" t="s">
        <v>2094</v>
      </c>
      <c r="F164" s="14" t="s">
        <v>2725</v>
      </c>
      <c r="G164" s="17"/>
      <c r="H164" s="17"/>
      <c r="K164" s="140"/>
      <c r="L164" s="143">
        <f t="shared" ref="L164:AE164" si="57">SUMPRODUCT(L$45:L$52*(1-EXP(-L$55:L$62*L$163)))+SUMPRODUCT(L$101:L$116*(1-EXP(-L$65:L$80*L$163)))</f>
        <v>0</v>
      </c>
      <c r="M164" s="143">
        <f t="shared" si="57"/>
        <v>0</v>
      </c>
      <c r="N164" s="143">
        <f t="shared" si="57"/>
        <v>0</v>
      </c>
      <c r="O164" s="143">
        <f t="shared" si="57"/>
        <v>0</v>
      </c>
      <c r="P164" s="143">
        <f t="shared" si="57"/>
        <v>0</v>
      </c>
      <c r="Q164" s="143">
        <f t="shared" si="57"/>
        <v>0</v>
      </c>
      <c r="R164" s="143">
        <f t="shared" si="57"/>
        <v>0</v>
      </c>
      <c r="S164" s="143">
        <f t="shared" si="57"/>
        <v>0</v>
      </c>
      <c r="T164" s="143">
        <f t="shared" si="57"/>
        <v>0</v>
      </c>
      <c r="U164" s="143">
        <f t="shared" si="57"/>
        <v>0</v>
      </c>
      <c r="V164" s="143">
        <f t="shared" si="57"/>
        <v>0</v>
      </c>
      <c r="W164" s="143">
        <f t="shared" si="57"/>
        <v>0</v>
      </c>
      <c r="X164" s="143">
        <f t="shared" si="57"/>
        <v>0</v>
      </c>
      <c r="Y164" s="143">
        <f t="shared" si="57"/>
        <v>0</v>
      </c>
      <c r="Z164" s="143">
        <f t="shared" si="57"/>
        <v>0</v>
      </c>
      <c r="AA164" s="143">
        <f t="shared" si="57"/>
        <v>0</v>
      </c>
      <c r="AB164" s="143">
        <f t="shared" si="57"/>
        <v>0</v>
      </c>
      <c r="AC164" s="143">
        <f t="shared" si="57"/>
        <v>0</v>
      </c>
      <c r="AD164" s="143">
        <f t="shared" si="57"/>
        <v>0</v>
      </c>
      <c r="AE164" s="143">
        <f t="shared" si="57"/>
        <v>0</v>
      </c>
      <c r="AF164" s="142"/>
      <c r="AG164" s="142"/>
      <c r="AH164" s="142"/>
      <c r="AI164" s="142"/>
    </row>
    <row r="165" spans="2:35" customFormat="1" ht="14.25" x14ac:dyDescent="0.45">
      <c r="B165" s="14" t="s">
        <v>2802</v>
      </c>
      <c r="C165" s="14" t="s">
        <v>2701</v>
      </c>
      <c r="D165" s="15" t="s">
        <v>2803</v>
      </c>
      <c r="E165" s="16" t="s">
        <v>1870</v>
      </c>
      <c r="F165" s="14" t="s">
        <v>2728</v>
      </c>
      <c r="G165" s="17"/>
      <c r="H165" s="17"/>
      <c r="K165" s="140"/>
      <c r="L165" s="141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41">
        <f t="shared" si="58"/>
        <v>0</v>
      </c>
      <c r="N165" s="141">
        <f t="shared" si="58"/>
        <v>0</v>
      </c>
      <c r="O165" s="141">
        <f t="shared" si="58"/>
        <v>0</v>
      </c>
      <c r="P165" s="141">
        <f t="shared" si="58"/>
        <v>0</v>
      </c>
      <c r="Q165" s="141">
        <f t="shared" si="58"/>
        <v>0</v>
      </c>
      <c r="R165" s="141">
        <f t="shared" si="58"/>
        <v>0</v>
      </c>
      <c r="S165" s="141">
        <f t="shared" si="58"/>
        <v>0</v>
      </c>
      <c r="T165" s="141">
        <f t="shared" si="58"/>
        <v>0</v>
      </c>
      <c r="U165" s="141">
        <f t="shared" si="58"/>
        <v>0</v>
      </c>
      <c r="V165" s="141">
        <f t="shared" si="58"/>
        <v>0</v>
      </c>
      <c r="W165" s="141">
        <f t="shared" si="58"/>
        <v>0</v>
      </c>
      <c r="X165" s="141">
        <f t="shared" si="58"/>
        <v>0</v>
      </c>
      <c r="Y165" s="141">
        <f t="shared" si="58"/>
        <v>0</v>
      </c>
      <c r="Z165" s="141">
        <f t="shared" si="58"/>
        <v>0</v>
      </c>
      <c r="AA165" s="141">
        <f t="shared" si="58"/>
        <v>0</v>
      </c>
      <c r="AB165" s="141">
        <f t="shared" si="58"/>
        <v>0</v>
      </c>
      <c r="AC165" s="141">
        <f t="shared" si="58"/>
        <v>0</v>
      </c>
      <c r="AD165" s="141">
        <f t="shared" si="58"/>
        <v>0</v>
      </c>
      <c r="AE165" s="141">
        <f t="shared" si="58"/>
        <v>0</v>
      </c>
      <c r="AF165" s="142"/>
      <c r="AG165" s="142"/>
      <c r="AH165" s="142"/>
      <c r="AI165" s="142"/>
    </row>
    <row r="166" spans="2:35" customFormat="1" ht="14.25" x14ac:dyDescent="0.45">
      <c r="B166" s="14" t="s">
        <v>2804</v>
      </c>
      <c r="C166" s="14" t="s">
        <v>2701</v>
      </c>
      <c r="D166" s="15" t="s">
        <v>2805</v>
      </c>
      <c r="E166" s="16" t="s">
        <v>2731</v>
      </c>
      <c r="F166" s="14" t="s">
        <v>2732</v>
      </c>
      <c r="G166" s="17"/>
      <c r="H166" s="17"/>
      <c r="K166" s="140"/>
      <c r="L166" s="143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43">
        <f t="shared" si="59"/>
        <v>0</v>
      </c>
      <c r="N166" s="143">
        <f t="shared" si="59"/>
        <v>0</v>
      </c>
      <c r="O166" s="143">
        <f t="shared" si="59"/>
        <v>0</v>
      </c>
      <c r="P166" s="143">
        <f t="shared" si="59"/>
        <v>0</v>
      </c>
      <c r="Q166" s="143">
        <f t="shared" si="59"/>
        <v>0</v>
      </c>
      <c r="R166" s="143">
        <f t="shared" si="59"/>
        <v>0</v>
      </c>
      <c r="S166" s="143">
        <f t="shared" si="59"/>
        <v>0</v>
      </c>
      <c r="T166" s="143">
        <f t="shared" si="59"/>
        <v>0</v>
      </c>
      <c r="U166" s="143">
        <f t="shared" si="59"/>
        <v>0</v>
      </c>
      <c r="V166" s="143">
        <f t="shared" si="59"/>
        <v>0</v>
      </c>
      <c r="W166" s="143">
        <f t="shared" si="59"/>
        <v>0</v>
      </c>
      <c r="X166" s="143">
        <f t="shared" si="59"/>
        <v>0</v>
      </c>
      <c r="Y166" s="143">
        <f t="shared" si="59"/>
        <v>0</v>
      </c>
      <c r="Z166" s="143">
        <f t="shared" si="59"/>
        <v>0</v>
      </c>
      <c r="AA166" s="143">
        <f t="shared" si="59"/>
        <v>0</v>
      </c>
      <c r="AB166" s="143">
        <f t="shared" si="59"/>
        <v>0</v>
      </c>
      <c r="AC166" s="143">
        <f t="shared" si="59"/>
        <v>0</v>
      </c>
      <c r="AD166" s="143">
        <f t="shared" si="59"/>
        <v>0</v>
      </c>
      <c r="AE166" s="143">
        <f t="shared" si="59"/>
        <v>0</v>
      </c>
      <c r="AF166" s="142"/>
      <c r="AG166" s="142"/>
      <c r="AH166" s="142"/>
      <c r="AI166" s="142"/>
    </row>
    <row r="167" spans="2:35" customFormat="1" ht="14.25" x14ac:dyDescent="0.45">
      <c r="B167" s="14" t="s">
        <v>2806</v>
      </c>
      <c r="C167" s="14" t="s">
        <v>2701</v>
      </c>
      <c r="D167" s="15" t="s">
        <v>2807</v>
      </c>
      <c r="E167" s="16" t="s">
        <v>1414</v>
      </c>
      <c r="F167" s="14" t="s">
        <v>2735</v>
      </c>
      <c r="G167" s="17"/>
      <c r="H167" s="17"/>
      <c r="K167" s="140"/>
      <c r="L167" s="141">
        <f t="shared" ref="L167:AE167" si="60">IF(L$122&lt;=0,0,IF(L$166&lt;=0,L$163,MIN($F$5,IF(L$163-(L$165-L$122)/L$166&lt;=0,L$163/2,L$163-(L$165-L$122)/L$166))))</f>
        <v>0</v>
      </c>
      <c r="M167" s="141">
        <f t="shared" si="60"/>
        <v>0</v>
      </c>
      <c r="N167" s="141">
        <f t="shared" si="60"/>
        <v>0</v>
      </c>
      <c r="O167" s="141">
        <f t="shared" si="60"/>
        <v>0</v>
      </c>
      <c r="P167" s="141">
        <f t="shared" si="60"/>
        <v>0</v>
      </c>
      <c r="Q167" s="141">
        <f t="shared" si="60"/>
        <v>0</v>
      </c>
      <c r="R167" s="141">
        <f t="shared" si="60"/>
        <v>0</v>
      </c>
      <c r="S167" s="141">
        <f t="shared" si="60"/>
        <v>0</v>
      </c>
      <c r="T167" s="141">
        <f t="shared" si="60"/>
        <v>0</v>
      </c>
      <c r="U167" s="141">
        <f t="shared" si="60"/>
        <v>0</v>
      </c>
      <c r="V167" s="141">
        <f t="shared" si="60"/>
        <v>0</v>
      </c>
      <c r="W167" s="141">
        <f t="shared" si="60"/>
        <v>0</v>
      </c>
      <c r="X167" s="141">
        <f t="shared" si="60"/>
        <v>0</v>
      </c>
      <c r="Y167" s="141">
        <f t="shared" si="60"/>
        <v>0</v>
      </c>
      <c r="Z167" s="141">
        <f t="shared" si="60"/>
        <v>0</v>
      </c>
      <c r="AA167" s="141">
        <f t="shared" si="60"/>
        <v>0</v>
      </c>
      <c r="AB167" s="141">
        <f t="shared" si="60"/>
        <v>0</v>
      </c>
      <c r="AC167" s="141">
        <f t="shared" si="60"/>
        <v>0</v>
      </c>
      <c r="AD167" s="141">
        <f t="shared" si="60"/>
        <v>0</v>
      </c>
      <c r="AE167" s="141">
        <f t="shared" si="60"/>
        <v>0</v>
      </c>
      <c r="AF167" s="142"/>
      <c r="AG167" s="142"/>
      <c r="AH167" s="142"/>
      <c r="AI167" s="142"/>
    </row>
    <row r="168" spans="2:35" customFormat="1" ht="14.25" x14ac:dyDescent="0.45">
      <c r="B168" s="14" t="s">
        <v>2808</v>
      </c>
      <c r="C168" s="14" t="s">
        <v>2701</v>
      </c>
      <c r="D168" s="15" t="s">
        <v>2809</v>
      </c>
      <c r="E168" s="16" t="s">
        <v>2094</v>
      </c>
      <c r="F168" s="14" t="s">
        <v>2725</v>
      </c>
      <c r="G168" s="17"/>
      <c r="H168" s="17"/>
      <c r="K168" s="140"/>
      <c r="L168" s="143">
        <f t="shared" ref="L168:AE168" si="61">SUMPRODUCT(L$45:L$52*(1-EXP(-L$55:L$62*L$167)))+SUMPRODUCT(L$101:L$116*(1-EXP(-L$65:L$80*L$167)))</f>
        <v>0</v>
      </c>
      <c r="M168" s="143">
        <f t="shared" si="61"/>
        <v>0</v>
      </c>
      <c r="N168" s="143">
        <f t="shared" si="61"/>
        <v>0</v>
      </c>
      <c r="O168" s="143">
        <f t="shared" si="61"/>
        <v>0</v>
      </c>
      <c r="P168" s="143">
        <f t="shared" si="61"/>
        <v>0</v>
      </c>
      <c r="Q168" s="143">
        <f t="shared" si="61"/>
        <v>0</v>
      </c>
      <c r="R168" s="143">
        <f t="shared" si="61"/>
        <v>0</v>
      </c>
      <c r="S168" s="143">
        <f t="shared" si="61"/>
        <v>0</v>
      </c>
      <c r="T168" s="143">
        <f t="shared" si="61"/>
        <v>0</v>
      </c>
      <c r="U168" s="143">
        <f t="shared" si="61"/>
        <v>0</v>
      </c>
      <c r="V168" s="143">
        <f t="shared" si="61"/>
        <v>0</v>
      </c>
      <c r="W168" s="143">
        <f t="shared" si="61"/>
        <v>0</v>
      </c>
      <c r="X168" s="143">
        <f t="shared" si="61"/>
        <v>0</v>
      </c>
      <c r="Y168" s="143">
        <f t="shared" si="61"/>
        <v>0</v>
      </c>
      <c r="Z168" s="143">
        <f t="shared" si="61"/>
        <v>0</v>
      </c>
      <c r="AA168" s="143">
        <f t="shared" si="61"/>
        <v>0</v>
      </c>
      <c r="AB168" s="143">
        <f t="shared" si="61"/>
        <v>0</v>
      </c>
      <c r="AC168" s="143">
        <f t="shared" si="61"/>
        <v>0</v>
      </c>
      <c r="AD168" s="143">
        <f t="shared" si="61"/>
        <v>0</v>
      </c>
      <c r="AE168" s="143">
        <f t="shared" si="61"/>
        <v>0</v>
      </c>
      <c r="AF168" s="142"/>
      <c r="AG168" s="142"/>
      <c r="AH168" s="142"/>
      <c r="AI168" s="142"/>
    </row>
    <row r="169" spans="2:35" customFormat="1" ht="14.25" x14ac:dyDescent="0.45">
      <c r="B169" s="14" t="s">
        <v>2810</v>
      </c>
      <c r="C169" s="14" t="s">
        <v>2701</v>
      </c>
      <c r="D169" s="15" t="s">
        <v>2811</v>
      </c>
      <c r="E169" s="16" t="s">
        <v>1870</v>
      </c>
      <c r="F169" s="14" t="s">
        <v>2728</v>
      </c>
      <c r="G169" s="17"/>
      <c r="H169" s="17"/>
      <c r="K169" s="140"/>
      <c r="L169" s="141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41">
        <f t="shared" si="62"/>
        <v>0</v>
      </c>
      <c r="N169" s="141">
        <f t="shared" si="62"/>
        <v>0</v>
      </c>
      <c r="O169" s="141">
        <f t="shared" si="62"/>
        <v>0</v>
      </c>
      <c r="P169" s="141">
        <f t="shared" si="62"/>
        <v>0</v>
      </c>
      <c r="Q169" s="141">
        <f t="shared" si="62"/>
        <v>0</v>
      </c>
      <c r="R169" s="141">
        <f t="shared" si="62"/>
        <v>0</v>
      </c>
      <c r="S169" s="141">
        <f t="shared" si="62"/>
        <v>0</v>
      </c>
      <c r="T169" s="141">
        <f t="shared" si="62"/>
        <v>0</v>
      </c>
      <c r="U169" s="141">
        <f t="shared" si="62"/>
        <v>0</v>
      </c>
      <c r="V169" s="141">
        <f t="shared" si="62"/>
        <v>0</v>
      </c>
      <c r="W169" s="141">
        <f t="shared" si="62"/>
        <v>0</v>
      </c>
      <c r="X169" s="141">
        <f t="shared" si="62"/>
        <v>0</v>
      </c>
      <c r="Y169" s="141">
        <f t="shared" si="62"/>
        <v>0</v>
      </c>
      <c r="Z169" s="141">
        <f t="shared" si="62"/>
        <v>0</v>
      </c>
      <c r="AA169" s="141">
        <f t="shared" si="62"/>
        <v>0</v>
      </c>
      <c r="AB169" s="141">
        <f t="shared" si="62"/>
        <v>0</v>
      </c>
      <c r="AC169" s="141">
        <f t="shared" si="62"/>
        <v>0</v>
      </c>
      <c r="AD169" s="141">
        <f t="shared" si="62"/>
        <v>0</v>
      </c>
      <c r="AE169" s="141">
        <f t="shared" si="62"/>
        <v>0</v>
      </c>
      <c r="AF169" s="142"/>
      <c r="AG169" s="142"/>
      <c r="AH169" s="142"/>
      <c r="AI169" s="142"/>
    </row>
    <row r="170" spans="2:35" customFormat="1" ht="14.25" x14ac:dyDescent="0.45">
      <c r="B170" s="14" t="s">
        <v>2812</v>
      </c>
      <c r="C170" s="14" t="s">
        <v>2701</v>
      </c>
      <c r="D170" s="15" t="s">
        <v>2813</v>
      </c>
      <c r="E170" s="16" t="s">
        <v>2731</v>
      </c>
      <c r="F170" s="14" t="s">
        <v>2732</v>
      </c>
      <c r="G170" s="17"/>
      <c r="H170" s="17"/>
      <c r="K170" s="140"/>
      <c r="L170" s="143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43">
        <f t="shared" si="63"/>
        <v>0</v>
      </c>
      <c r="N170" s="143">
        <f t="shared" si="63"/>
        <v>0</v>
      </c>
      <c r="O170" s="143">
        <f t="shared" si="63"/>
        <v>0</v>
      </c>
      <c r="P170" s="143">
        <f t="shared" si="63"/>
        <v>0</v>
      </c>
      <c r="Q170" s="143">
        <f t="shared" si="63"/>
        <v>0</v>
      </c>
      <c r="R170" s="143">
        <f t="shared" si="63"/>
        <v>0</v>
      </c>
      <c r="S170" s="143">
        <f t="shared" si="63"/>
        <v>0</v>
      </c>
      <c r="T170" s="143">
        <f t="shared" si="63"/>
        <v>0</v>
      </c>
      <c r="U170" s="143">
        <f t="shared" si="63"/>
        <v>0</v>
      </c>
      <c r="V170" s="143">
        <f t="shared" si="63"/>
        <v>0</v>
      </c>
      <c r="W170" s="143">
        <f t="shared" si="63"/>
        <v>0</v>
      </c>
      <c r="X170" s="143">
        <f t="shared" si="63"/>
        <v>0</v>
      </c>
      <c r="Y170" s="143">
        <f t="shared" si="63"/>
        <v>0</v>
      </c>
      <c r="Z170" s="143">
        <f t="shared" si="63"/>
        <v>0</v>
      </c>
      <c r="AA170" s="143">
        <f t="shared" si="63"/>
        <v>0</v>
      </c>
      <c r="AB170" s="143">
        <f t="shared" si="63"/>
        <v>0</v>
      </c>
      <c r="AC170" s="143">
        <f t="shared" si="63"/>
        <v>0</v>
      </c>
      <c r="AD170" s="143">
        <f t="shared" si="63"/>
        <v>0</v>
      </c>
      <c r="AE170" s="143">
        <f t="shared" si="63"/>
        <v>0</v>
      </c>
      <c r="AF170" s="142"/>
      <c r="AG170" s="142"/>
      <c r="AH170" s="142"/>
      <c r="AI170" s="142"/>
    </row>
    <row r="171" spans="2:35" customFormat="1" ht="14.25" x14ac:dyDescent="0.45">
      <c r="B171" s="14" t="s">
        <v>2814</v>
      </c>
      <c r="C171" s="14" t="s">
        <v>2701</v>
      </c>
      <c r="D171" s="15" t="s">
        <v>2815</v>
      </c>
      <c r="E171" s="16" t="s">
        <v>1414</v>
      </c>
      <c r="F171" s="14" t="s">
        <v>2735</v>
      </c>
      <c r="G171" s="17"/>
      <c r="H171" s="17"/>
      <c r="K171" s="140"/>
      <c r="L171" s="141">
        <f t="shared" ref="L171:AE171" si="64">IF(L$122&lt;=0,0,IF(L$170&lt;=0,L$167,MIN($F$5,IF(L$167-(L$169-L$122)/L$170&lt;=0,L$167/2,L$167-(L$169-L$122)/L$170))))</f>
        <v>0</v>
      </c>
      <c r="M171" s="141">
        <f t="shared" si="64"/>
        <v>0</v>
      </c>
      <c r="N171" s="141">
        <f t="shared" si="64"/>
        <v>0</v>
      </c>
      <c r="O171" s="141">
        <f t="shared" si="64"/>
        <v>0</v>
      </c>
      <c r="P171" s="141">
        <f t="shared" si="64"/>
        <v>0</v>
      </c>
      <c r="Q171" s="141">
        <f t="shared" si="64"/>
        <v>0</v>
      </c>
      <c r="R171" s="141">
        <f t="shared" si="64"/>
        <v>0</v>
      </c>
      <c r="S171" s="141">
        <f t="shared" si="64"/>
        <v>0</v>
      </c>
      <c r="T171" s="141">
        <f t="shared" si="64"/>
        <v>0</v>
      </c>
      <c r="U171" s="141">
        <f t="shared" si="64"/>
        <v>0</v>
      </c>
      <c r="V171" s="141">
        <f t="shared" si="64"/>
        <v>0</v>
      </c>
      <c r="W171" s="141">
        <f t="shared" si="64"/>
        <v>0</v>
      </c>
      <c r="X171" s="141">
        <f t="shared" si="64"/>
        <v>0</v>
      </c>
      <c r="Y171" s="141">
        <f t="shared" si="64"/>
        <v>0</v>
      </c>
      <c r="Z171" s="141">
        <f t="shared" si="64"/>
        <v>0</v>
      </c>
      <c r="AA171" s="141">
        <f t="shared" si="64"/>
        <v>0</v>
      </c>
      <c r="AB171" s="141">
        <f t="shared" si="64"/>
        <v>0</v>
      </c>
      <c r="AC171" s="141">
        <f t="shared" si="64"/>
        <v>0</v>
      </c>
      <c r="AD171" s="141">
        <f t="shared" si="64"/>
        <v>0</v>
      </c>
      <c r="AE171" s="141">
        <f t="shared" si="64"/>
        <v>0</v>
      </c>
      <c r="AF171" s="142"/>
      <c r="AG171" s="142"/>
      <c r="AH171" s="142"/>
      <c r="AI171" s="142"/>
    </row>
    <row r="172" spans="2:35" customFormat="1" ht="14.25" x14ac:dyDescent="0.45">
      <c r="B172" s="14" t="s">
        <v>2816</v>
      </c>
      <c r="C172" s="14" t="s">
        <v>2701</v>
      </c>
      <c r="D172" s="15" t="s">
        <v>2817</v>
      </c>
      <c r="E172" s="16" t="s">
        <v>2094</v>
      </c>
      <c r="F172" s="14" t="s">
        <v>2725</v>
      </c>
      <c r="G172" s="17"/>
      <c r="H172" s="17"/>
      <c r="K172" s="140"/>
      <c r="L172" s="143">
        <f t="shared" ref="L172:AE172" si="65">SUMPRODUCT(L$45:L$52*(1-EXP(-L$55:L$62*L$171)))+SUMPRODUCT(L$101:L$116*(1-EXP(-L$65:L$80*L$171)))</f>
        <v>0</v>
      </c>
      <c r="M172" s="143">
        <f t="shared" si="65"/>
        <v>0</v>
      </c>
      <c r="N172" s="143">
        <f t="shared" si="65"/>
        <v>0</v>
      </c>
      <c r="O172" s="143">
        <f t="shared" si="65"/>
        <v>0</v>
      </c>
      <c r="P172" s="143">
        <f t="shared" si="65"/>
        <v>0</v>
      </c>
      <c r="Q172" s="143">
        <f t="shared" si="65"/>
        <v>0</v>
      </c>
      <c r="R172" s="143">
        <f t="shared" si="65"/>
        <v>0</v>
      </c>
      <c r="S172" s="143">
        <f t="shared" si="65"/>
        <v>0</v>
      </c>
      <c r="T172" s="143">
        <f t="shared" si="65"/>
        <v>0</v>
      </c>
      <c r="U172" s="143">
        <f t="shared" si="65"/>
        <v>0</v>
      </c>
      <c r="V172" s="143">
        <f t="shared" si="65"/>
        <v>0</v>
      </c>
      <c r="W172" s="143">
        <f t="shared" si="65"/>
        <v>0</v>
      </c>
      <c r="X172" s="143">
        <f t="shared" si="65"/>
        <v>0</v>
      </c>
      <c r="Y172" s="143">
        <f t="shared" si="65"/>
        <v>0</v>
      </c>
      <c r="Z172" s="143">
        <f t="shared" si="65"/>
        <v>0</v>
      </c>
      <c r="AA172" s="143">
        <f t="shared" si="65"/>
        <v>0</v>
      </c>
      <c r="AB172" s="143">
        <f t="shared" si="65"/>
        <v>0</v>
      </c>
      <c r="AC172" s="143">
        <f t="shared" si="65"/>
        <v>0</v>
      </c>
      <c r="AD172" s="143">
        <f t="shared" si="65"/>
        <v>0</v>
      </c>
      <c r="AE172" s="143">
        <f t="shared" si="65"/>
        <v>0</v>
      </c>
      <c r="AF172" s="142"/>
      <c r="AG172" s="142"/>
      <c r="AH172" s="142"/>
      <c r="AI172" s="142"/>
    </row>
    <row r="173" spans="2:35" customFormat="1" ht="14.25" x14ac:dyDescent="0.45">
      <c r="B173" s="14" t="s">
        <v>2818</v>
      </c>
      <c r="C173" s="14" t="s">
        <v>2701</v>
      </c>
      <c r="D173" s="15" t="s">
        <v>2819</v>
      </c>
      <c r="E173" s="16" t="s">
        <v>1870</v>
      </c>
      <c r="F173" s="14" t="s">
        <v>2728</v>
      </c>
      <c r="G173" s="17"/>
      <c r="H173" s="17"/>
      <c r="K173" s="140"/>
      <c r="L173" s="141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41">
        <f t="shared" si="66"/>
        <v>0</v>
      </c>
      <c r="N173" s="141">
        <f t="shared" si="66"/>
        <v>0</v>
      </c>
      <c r="O173" s="141">
        <f t="shared" si="66"/>
        <v>0</v>
      </c>
      <c r="P173" s="141">
        <f t="shared" si="66"/>
        <v>0</v>
      </c>
      <c r="Q173" s="141">
        <f t="shared" si="66"/>
        <v>0</v>
      </c>
      <c r="R173" s="141">
        <f t="shared" si="66"/>
        <v>0</v>
      </c>
      <c r="S173" s="141">
        <f t="shared" si="66"/>
        <v>0</v>
      </c>
      <c r="T173" s="141">
        <f t="shared" si="66"/>
        <v>0</v>
      </c>
      <c r="U173" s="141">
        <f t="shared" si="66"/>
        <v>0</v>
      </c>
      <c r="V173" s="141">
        <f t="shared" si="66"/>
        <v>0</v>
      </c>
      <c r="W173" s="141">
        <f t="shared" si="66"/>
        <v>0</v>
      </c>
      <c r="X173" s="141">
        <f t="shared" si="66"/>
        <v>0</v>
      </c>
      <c r="Y173" s="141">
        <f t="shared" si="66"/>
        <v>0</v>
      </c>
      <c r="Z173" s="141">
        <f t="shared" si="66"/>
        <v>0</v>
      </c>
      <c r="AA173" s="141">
        <f t="shared" si="66"/>
        <v>0</v>
      </c>
      <c r="AB173" s="141">
        <f t="shared" si="66"/>
        <v>0</v>
      </c>
      <c r="AC173" s="141">
        <f t="shared" si="66"/>
        <v>0</v>
      </c>
      <c r="AD173" s="141">
        <f t="shared" si="66"/>
        <v>0</v>
      </c>
      <c r="AE173" s="141">
        <f t="shared" si="66"/>
        <v>0</v>
      </c>
      <c r="AF173" s="142"/>
      <c r="AG173" s="142"/>
      <c r="AH173" s="142"/>
      <c r="AI173" s="142"/>
    </row>
    <row r="174" spans="2:35" customFormat="1" ht="14.25" x14ac:dyDescent="0.45">
      <c r="B174" s="14" t="s">
        <v>2820</v>
      </c>
      <c r="C174" s="14" t="s">
        <v>2701</v>
      </c>
      <c r="D174" s="15" t="s">
        <v>2821</v>
      </c>
      <c r="E174" s="16" t="s">
        <v>2731</v>
      </c>
      <c r="F174" s="14" t="s">
        <v>2732</v>
      </c>
      <c r="G174" s="17"/>
      <c r="H174" s="17"/>
      <c r="K174" s="140"/>
      <c r="L174" s="143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43">
        <f t="shared" si="67"/>
        <v>0</v>
      </c>
      <c r="N174" s="143">
        <f t="shared" si="67"/>
        <v>0</v>
      </c>
      <c r="O174" s="143">
        <f t="shared" si="67"/>
        <v>0</v>
      </c>
      <c r="P174" s="143">
        <f t="shared" si="67"/>
        <v>0</v>
      </c>
      <c r="Q174" s="143">
        <f t="shared" si="67"/>
        <v>0</v>
      </c>
      <c r="R174" s="143">
        <f t="shared" si="67"/>
        <v>0</v>
      </c>
      <c r="S174" s="143">
        <f t="shared" si="67"/>
        <v>0</v>
      </c>
      <c r="T174" s="143">
        <f t="shared" si="67"/>
        <v>0</v>
      </c>
      <c r="U174" s="143">
        <f t="shared" si="67"/>
        <v>0</v>
      </c>
      <c r="V174" s="143">
        <f t="shared" si="67"/>
        <v>0</v>
      </c>
      <c r="W174" s="143">
        <f t="shared" si="67"/>
        <v>0</v>
      </c>
      <c r="X174" s="143">
        <f t="shared" si="67"/>
        <v>0</v>
      </c>
      <c r="Y174" s="143">
        <f t="shared" si="67"/>
        <v>0</v>
      </c>
      <c r="Z174" s="143">
        <f t="shared" si="67"/>
        <v>0</v>
      </c>
      <c r="AA174" s="143">
        <f t="shared" si="67"/>
        <v>0</v>
      </c>
      <c r="AB174" s="143">
        <f t="shared" si="67"/>
        <v>0</v>
      </c>
      <c r="AC174" s="143">
        <f t="shared" si="67"/>
        <v>0</v>
      </c>
      <c r="AD174" s="143">
        <f t="shared" si="67"/>
        <v>0</v>
      </c>
      <c r="AE174" s="143">
        <f t="shared" si="67"/>
        <v>0</v>
      </c>
      <c r="AF174" s="142"/>
      <c r="AG174" s="142"/>
      <c r="AH174" s="142"/>
      <c r="AI174" s="142"/>
    </row>
    <row r="175" spans="2:35" customFormat="1" ht="14.25" x14ac:dyDescent="0.45">
      <c r="B175" s="14" t="s">
        <v>2822</v>
      </c>
      <c r="C175" s="14" t="s">
        <v>2701</v>
      </c>
      <c r="D175" s="15" t="s">
        <v>2823</v>
      </c>
      <c r="E175" s="16" t="s">
        <v>1414</v>
      </c>
      <c r="F175" s="14" t="s">
        <v>2735</v>
      </c>
      <c r="G175" s="17"/>
      <c r="H175" s="17"/>
      <c r="K175" s="140"/>
      <c r="L175" s="141">
        <f t="shared" ref="L175:AE175" si="68">IF(L$122&lt;=0,0,IF(L$174&lt;=0,L$171,MIN($F$5,IF(L$171-(L$173-L$122)/L$174&lt;=0,L$171/2,L$171-(L$173-L$122)/L$174))))</f>
        <v>0</v>
      </c>
      <c r="M175" s="141">
        <f t="shared" si="68"/>
        <v>0</v>
      </c>
      <c r="N175" s="141">
        <f t="shared" si="68"/>
        <v>0</v>
      </c>
      <c r="O175" s="141">
        <f t="shared" si="68"/>
        <v>0</v>
      </c>
      <c r="P175" s="141">
        <f t="shared" si="68"/>
        <v>0</v>
      </c>
      <c r="Q175" s="141">
        <f t="shared" si="68"/>
        <v>0</v>
      </c>
      <c r="R175" s="141">
        <f t="shared" si="68"/>
        <v>0</v>
      </c>
      <c r="S175" s="141">
        <f t="shared" si="68"/>
        <v>0</v>
      </c>
      <c r="T175" s="141">
        <f t="shared" si="68"/>
        <v>0</v>
      </c>
      <c r="U175" s="141">
        <f t="shared" si="68"/>
        <v>0</v>
      </c>
      <c r="V175" s="141">
        <f t="shared" si="68"/>
        <v>0</v>
      </c>
      <c r="W175" s="141">
        <f t="shared" si="68"/>
        <v>0</v>
      </c>
      <c r="X175" s="141">
        <f t="shared" si="68"/>
        <v>0</v>
      </c>
      <c r="Y175" s="141">
        <f t="shared" si="68"/>
        <v>0</v>
      </c>
      <c r="Z175" s="141">
        <f t="shared" si="68"/>
        <v>0</v>
      </c>
      <c r="AA175" s="141">
        <f t="shared" si="68"/>
        <v>0</v>
      </c>
      <c r="AB175" s="141">
        <f t="shared" si="68"/>
        <v>0</v>
      </c>
      <c r="AC175" s="141">
        <f t="shared" si="68"/>
        <v>0</v>
      </c>
      <c r="AD175" s="141">
        <f t="shared" si="68"/>
        <v>0</v>
      </c>
      <c r="AE175" s="141">
        <f t="shared" si="68"/>
        <v>0</v>
      </c>
      <c r="AF175" s="142"/>
      <c r="AG175" s="142"/>
      <c r="AH175" s="142"/>
      <c r="AI175" s="142"/>
    </row>
    <row r="176" spans="2:35" customFormat="1" ht="14.25" x14ac:dyDescent="0.45">
      <c r="B176" s="14" t="s">
        <v>2824</v>
      </c>
      <c r="C176" s="14" t="s">
        <v>2701</v>
      </c>
      <c r="D176" s="15" t="s">
        <v>2825</v>
      </c>
      <c r="E176" s="16" t="s">
        <v>2094</v>
      </c>
      <c r="F176" s="14" t="s">
        <v>2725</v>
      </c>
      <c r="G176" s="17"/>
      <c r="H176" s="17"/>
      <c r="K176" s="140"/>
      <c r="L176" s="143">
        <f t="shared" ref="L176:AE176" si="69">SUMPRODUCT(L$45:L$52*(1-EXP(-L$55:L$62*L$175)))+SUMPRODUCT(L$101:L$116*(1-EXP(-L$65:L$80*L$175)))</f>
        <v>0</v>
      </c>
      <c r="M176" s="143">
        <f t="shared" si="69"/>
        <v>0</v>
      </c>
      <c r="N176" s="143">
        <f t="shared" si="69"/>
        <v>0</v>
      </c>
      <c r="O176" s="143">
        <f t="shared" si="69"/>
        <v>0</v>
      </c>
      <c r="P176" s="143">
        <f t="shared" si="69"/>
        <v>0</v>
      </c>
      <c r="Q176" s="143">
        <f t="shared" si="69"/>
        <v>0</v>
      </c>
      <c r="R176" s="143">
        <f t="shared" si="69"/>
        <v>0</v>
      </c>
      <c r="S176" s="143">
        <f t="shared" si="69"/>
        <v>0</v>
      </c>
      <c r="T176" s="143">
        <f t="shared" si="69"/>
        <v>0</v>
      </c>
      <c r="U176" s="143">
        <f t="shared" si="69"/>
        <v>0</v>
      </c>
      <c r="V176" s="143">
        <f t="shared" si="69"/>
        <v>0</v>
      </c>
      <c r="W176" s="143">
        <f t="shared" si="69"/>
        <v>0</v>
      </c>
      <c r="X176" s="143">
        <f t="shared" si="69"/>
        <v>0</v>
      </c>
      <c r="Y176" s="143">
        <f t="shared" si="69"/>
        <v>0</v>
      </c>
      <c r="Z176" s="143">
        <f t="shared" si="69"/>
        <v>0</v>
      </c>
      <c r="AA176" s="143">
        <f t="shared" si="69"/>
        <v>0</v>
      </c>
      <c r="AB176" s="143">
        <f t="shared" si="69"/>
        <v>0</v>
      </c>
      <c r="AC176" s="143">
        <f t="shared" si="69"/>
        <v>0</v>
      </c>
      <c r="AD176" s="143">
        <f t="shared" si="69"/>
        <v>0</v>
      </c>
      <c r="AE176" s="143">
        <f t="shared" si="69"/>
        <v>0</v>
      </c>
      <c r="AF176" s="142"/>
      <c r="AG176" s="142"/>
      <c r="AH176" s="142"/>
      <c r="AI176" s="142"/>
    </row>
    <row r="177" spans="1:35" customFormat="1" ht="14.25" x14ac:dyDescent="0.45">
      <c r="B177" s="14" t="s">
        <v>2826</v>
      </c>
      <c r="C177" s="14" t="s">
        <v>2701</v>
      </c>
      <c r="D177" s="15" t="s">
        <v>2827</v>
      </c>
      <c r="E177" s="16" t="s">
        <v>1870</v>
      </c>
      <c r="F177" s="14" t="s">
        <v>2728</v>
      </c>
      <c r="G177" s="17"/>
      <c r="H177" s="17"/>
      <c r="K177" s="140"/>
      <c r="L177" s="141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41">
        <f t="shared" si="70"/>
        <v>0</v>
      </c>
      <c r="N177" s="141">
        <f t="shared" si="70"/>
        <v>0</v>
      </c>
      <c r="O177" s="141">
        <f t="shared" si="70"/>
        <v>0</v>
      </c>
      <c r="P177" s="141">
        <f t="shared" si="70"/>
        <v>0</v>
      </c>
      <c r="Q177" s="141">
        <f t="shared" si="70"/>
        <v>0</v>
      </c>
      <c r="R177" s="141">
        <f t="shared" si="70"/>
        <v>0</v>
      </c>
      <c r="S177" s="141">
        <f t="shared" si="70"/>
        <v>0</v>
      </c>
      <c r="T177" s="141">
        <f t="shared" si="70"/>
        <v>0</v>
      </c>
      <c r="U177" s="141">
        <f t="shared" si="70"/>
        <v>0</v>
      </c>
      <c r="V177" s="141">
        <f t="shared" si="70"/>
        <v>0</v>
      </c>
      <c r="W177" s="141">
        <f t="shared" si="70"/>
        <v>0</v>
      </c>
      <c r="X177" s="141">
        <f t="shared" si="70"/>
        <v>0</v>
      </c>
      <c r="Y177" s="141">
        <f t="shared" si="70"/>
        <v>0</v>
      </c>
      <c r="Z177" s="141">
        <f t="shared" si="70"/>
        <v>0</v>
      </c>
      <c r="AA177" s="141">
        <f t="shared" si="70"/>
        <v>0</v>
      </c>
      <c r="AB177" s="141">
        <f t="shared" si="70"/>
        <v>0</v>
      </c>
      <c r="AC177" s="141">
        <f t="shared" si="70"/>
        <v>0</v>
      </c>
      <c r="AD177" s="141">
        <f t="shared" si="70"/>
        <v>0</v>
      </c>
      <c r="AE177" s="141">
        <f t="shared" si="70"/>
        <v>0</v>
      </c>
      <c r="AF177" s="142"/>
      <c r="AG177" s="142"/>
      <c r="AH177" s="142"/>
      <c r="AI177" s="142"/>
    </row>
    <row r="178" spans="1:35" customFormat="1" ht="14.25" x14ac:dyDescent="0.45">
      <c r="B178" s="14" t="s">
        <v>2828</v>
      </c>
      <c r="C178" s="14" t="s">
        <v>2701</v>
      </c>
      <c r="D178" s="15" t="s">
        <v>2829</v>
      </c>
      <c r="E178" s="16" t="s">
        <v>2731</v>
      </c>
      <c r="F178" s="14" t="s">
        <v>2732</v>
      </c>
      <c r="G178" s="17"/>
      <c r="H178" s="17"/>
      <c r="K178" s="140"/>
      <c r="L178" s="143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43">
        <f t="shared" si="71"/>
        <v>0</v>
      </c>
      <c r="N178" s="143">
        <f t="shared" si="71"/>
        <v>0</v>
      </c>
      <c r="O178" s="143">
        <f t="shared" si="71"/>
        <v>0</v>
      </c>
      <c r="P178" s="143">
        <f t="shared" si="71"/>
        <v>0</v>
      </c>
      <c r="Q178" s="143">
        <f t="shared" si="71"/>
        <v>0</v>
      </c>
      <c r="R178" s="143">
        <f t="shared" si="71"/>
        <v>0</v>
      </c>
      <c r="S178" s="143">
        <f t="shared" si="71"/>
        <v>0</v>
      </c>
      <c r="T178" s="143">
        <f t="shared" si="71"/>
        <v>0</v>
      </c>
      <c r="U178" s="143">
        <f t="shared" si="71"/>
        <v>0</v>
      </c>
      <c r="V178" s="143">
        <f t="shared" si="71"/>
        <v>0</v>
      </c>
      <c r="W178" s="143">
        <f t="shared" si="71"/>
        <v>0</v>
      </c>
      <c r="X178" s="143">
        <f t="shared" si="71"/>
        <v>0</v>
      </c>
      <c r="Y178" s="143">
        <f t="shared" si="71"/>
        <v>0</v>
      </c>
      <c r="Z178" s="143">
        <f t="shared" si="71"/>
        <v>0</v>
      </c>
      <c r="AA178" s="143">
        <f t="shared" si="71"/>
        <v>0</v>
      </c>
      <c r="AB178" s="143">
        <f t="shared" si="71"/>
        <v>0</v>
      </c>
      <c r="AC178" s="143">
        <f t="shared" si="71"/>
        <v>0</v>
      </c>
      <c r="AD178" s="143">
        <f t="shared" si="71"/>
        <v>0</v>
      </c>
      <c r="AE178" s="143">
        <f t="shared" si="71"/>
        <v>0</v>
      </c>
      <c r="AF178" s="142"/>
      <c r="AG178" s="142"/>
      <c r="AH178" s="142"/>
      <c r="AI178" s="142"/>
    </row>
    <row r="179" spans="1:35" customFormat="1" ht="14.25" x14ac:dyDescent="0.45">
      <c r="B179" s="14" t="s">
        <v>2830</v>
      </c>
      <c r="C179" s="14" t="s">
        <v>2701</v>
      </c>
      <c r="D179" s="15" t="s">
        <v>2831</v>
      </c>
      <c r="E179" s="16" t="s">
        <v>1414</v>
      </c>
      <c r="F179" s="14" t="s">
        <v>2735</v>
      </c>
      <c r="G179" s="17"/>
      <c r="H179" s="17"/>
      <c r="K179" s="140"/>
      <c r="L179" s="141">
        <f t="shared" ref="L179:AE179" si="72">IF(L$122&lt;=0,0,IF(L$178&lt;=0,L$175,MIN($F$5,IF(L$175-(L$177-L$122)/L$178&lt;=0,L$175/2,L$175-(L$177-L$122)/L$178))))</f>
        <v>0</v>
      </c>
      <c r="M179" s="141">
        <f t="shared" si="72"/>
        <v>0</v>
      </c>
      <c r="N179" s="141">
        <f t="shared" si="72"/>
        <v>0</v>
      </c>
      <c r="O179" s="141">
        <f t="shared" si="72"/>
        <v>0</v>
      </c>
      <c r="P179" s="141">
        <f t="shared" si="72"/>
        <v>0</v>
      </c>
      <c r="Q179" s="141">
        <f t="shared" si="72"/>
        <v>0</v>
      </c>
      <c r="R179" s="141">
        <f t="shared" si="72"/>
        <v>0</v>
      </c>
      <c r="S179" s="141">
        <f t="shared" si="72"/>
        <v>0</v>
      </c>
      <c r="T179" s="141">
        <f t="shared" si="72"/>
        <v>0</v>
      </c>
      <c r="U179" s="141">
        <f t="shared" si="72"/>
        <v>0</v>
      </c>
      <c r="V179" s="141">
        <f t="shared" si="72"/>
        <v>0</v>
      </c>
      <c r="W179" s="141">
        <f t="shared" si="72"/>
        <v>0</v>
      </c>
      <c r="X179" s="141">
        <f t="shared" si="72"/>
        <v>0</v>
      </c>
      <c r="Y179" s="141">
        <f t="shared" si="72"/>
        <v>0</v>
      </c>
      <c r="Z179" s="141">
        <f t="shared" si="72"/>
        <v>0</v>
      </c>
      <c r="AA179" s="141">
        <f t="shared" si="72"/>
        <v>0</v>
      </c>
      <c r="AB179" s="141">
        <f t="shared" si="72"/>
        <v>0</v>
      </c>
      <c r="AC179" s="141">
        <f t="shared" si="72"/>
        <v>0</v>
      </c>
      <c r="AD179" s="141">
        <f t="shared" si="72"/>
        <v>0</v>
      </c>
      <c r="AE179" s="141">
        <f t="shared" si="72"/>
        <v>0</v>
      </c>
      <c r="AF179" s="142"/>
      <c r="AG179" s="142"/>
      <c r="AH179" s="142"/>
      <c r="AI179" s="142"/>
    </row>
    <row r="180" spans="1:35" customFormat="1" ht="14.25" x14ac:dyDescent="0.45">
      <c r="B180" s="14" t="s">
        <v>2832</v>
      </c>
      <c r="C180" s="14" t="s">
        <v>2701</v>
      </c>
      <c r="D180" s="15" t="s">
        <v>2833</v>
      </c>
      <c r="E180" s="16" t="s">
        <v>2094</v>
      </c>
      <c r="F180" s="14" t="s">
        <v>2725</v>
      </c>
      <c r="G180" s="17"/>
      <c r="H180" s="17"/>
      <c r="K180" s="140"/>
      <c r="L180" s="143">
        <f t="shared" ref="L180:AE180" si="73">SUMPRODUCT(L$45:L$52*(1-EXP(-L$55:L$62*L$179)))+SUMPRODUCT(L$101:L$116*(1-EXP(-L$65:L$80*L$179)))</f>
        <v>0</v>
      </c>
      <c r="M180" s="143">
        <f t="shared" si="73"/>
        <v>0</v>
      </c>
      <c r="N180" s="143">
        <f t="shared" si="73"/>
        <v>0</v>
      </c>
      <c r="O180" s="143">
        <f t="shared" si="73"/>
        <v>0</v>
      </c>
      <c r="P180" s="143">
        <f t="shared" si="73"/>
        <v>0</v>
      </c>
      <c r="Q180" s="143">
        <f t="shared" si="73"/>
        <v>0</v>
      </c>
      <c r="R180" s="143">
        <f t="shared" si="73"/>
        <v>0</v>
      </c>
      <c r="S180" s="143">
        <f t="shared" si="73"/>
        <v>0</v>
      </c>
      <c r="T180" s="143">
        <f t="shared" si="73"/>
        <v>0</v>
      </c>
      <c r="U180" s="143">
        <f t="shared" si="73"/>
        <v>0</v>
      </c>
      <c r="V180" s="143">
        <f t="shared" si="73"/>
        <v>0</v>
      </c>
      <c r="W180" s="143">
        <f t="shared" si="73"/>
        <v>0</v>
      </c>
      <c r="X180" s="143">
        <f t="shared" si="73"/>
        <v>0</v>
      </c>
      <c r="Y180" s="143">
        <f t="shared" si="73"/>
        <v>0</v>
      </c>
      <c r="Z180" s="143">
        <f t="shared" si="73"/>
        <v>0</v>
      </c>
      <c r="AA180" s="143">
        <f t="shared" si="73"/>
        <v>0</v>
      </c>
      <c r="AB180" s="143">
        <f t="shared" si="73"/>
        <v>0</v>
      </c>
      <c r="AC180" s="143">
        <f t="shared" si="73"/>
        <v>0</v>
      </c>
      <c r="AD180" s="143">
        <f t="shared" si="73"/>
        <v>0</v>
      </c>
      <c r="AE180" s="143">
        <f t="shared" si="73"/>
        <v>0</v>
      </c>
      <c r="AF180" s="142"/>
      <c r="AG180" s="142"/>
      <c r="AH180" s="142"/>
      <c r="AI180" s="142"/>
    </row>
    <row r="181" spans="1:35" customFormat="1" ht="14.25" x14ac:dyDescent="0.45">
      <c r="B181" s="14" t="s">
        <v>2834</v>
      </c>
      <c r="C181" s="14" t="s">
        <v>2701</v>
      </c>
      <c r="D181" s="15" t="s">
        <v>2835</v>
      </c>
      <c r="E181" s="16" t="s">
        <v>1870</v>
      </c>
      <c r="F181" s="14" t="s">
        <v>2728</v>
      </c>
      <c r="G181" s="17"/>
      <c r="H181" s="17"/>
      <c r="K181" s="140"/>
      <c r="L181" s="141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41">
        <f t="shared" si="74"/>
        <v>0</v>
      </c>
      <c r="N181" s="141">
        <f t="shared" si="74"/>
        <v>0</v>
      </c>
      <c r="O181" s="141">
        <f t="shared" si="74"/>
        <v>0</v>
      </c>
      <c r="P181" s="141">
        <f t="shared" si="74"/>
        <v>0</v>
      </c>
      <c r="Q181" s="141">
        <f t="shared" si="74"/>
        <v>0</v>
      </c>
      <c r="R181" s="141">
        <f t="shared" si="74"/>
        <v>0</v>
      </c>
      <c r="S181" s="141">
        <f t="shared" si="74"/>
        <v>0</v>
      </c>
      <c r="T181" s="141">
        <f t="shared" si="74"/>
        <v>0</v>
      </c>
      <c r="U181" s="141">
        <f t="shared" si="74"/>
        <v>0</v>
      </c>
      <c r="V181" s="141">
        <f t="shared" si="74"/>
        <v>0</v>
      </c>
      <c r="W181" s="141">
        <f t="shared" si="74"/>
        <v>0</v>
      </c>
      <c r="X181" s="141">
        <f t="shared" si="74"/>
        <v>0</v>
      </c>
      <c r="Y181" s="141">
        <f t="shared" si="74"/>
        <v>0</v>
      </c>
      <c r="Z181" s="141">
        <f t="shared" si="74"/>
        <v>0</v>
      </c>
      <c r="AA181" s="141">
        <f t="shared" si="74"/>
        <v>0</v>
      </c>
      <c r="AB181" s="141">
        <f t="shared" si="74"/>
        <v>0</v>
      </c>
      <c r="AC181" s="141">
        <f t="shared" si="74"/>
        <v>0</v>
      </c>
      <c r="AD181" s="141">
        <f t="shared" si="74"/>
        <v>0</v>
      </c>
      <c r="AE181" s="141">
        <f t="shared" si="74"/>
        <v>0</v>
      </c>
      <c r="AF181" s="142"/>
      <c r="AG181" s="142"/>
      <c r="AH181" s="142"/>
      <c r="AI181" s="142"/>
    </row>
    <row r="182" spans="1:35" customFormat="1" ht="14.25" x14ac:dyDescent="0.45">
      <c r="B182" s="14" t="s">
        <v>2836</v>
      </c>
      <c r="C182" s="14" t="s">
        <v>2701</v>
      </c>
      <c r="D182" s="15" t="s">
        <v>2837</v>
      </c>
      <c r="E182" s="16" t="s">
        <v>2731</v>
      </c>
      <c r="F182" s="14" t="s">
        <v>2732</v>
      </c>
      <c r="G182" s="17"/>
      <c r="H182" s="17"/>
      <c r="K182" s="140"/>
      <c r="L182" s="143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43">
        <f t="shared" si="75"/>
        <v>0</v>
      </c>
      <c r="N182" s="143">
        <f t="shared" si="75"/>
        <v>0</v>
      </c>
      <c r="O182" s="143">
        <f t="shared" si="75"/>
        <v>0</v>
      </c>
      <c r="P182" s="143">
        <f t="shared" si="75"/>
        <v>0</v>
      </c>
      <c r="Q182" s="143">
        <f t="shared" si="75"/>
        <v>0</v>
      </c>
      <c r="R182" s="143">
        <f t="shared" si="75"/>
        <v>0</v>
      </c>
      <c r="S182" s="143">
        <f t="shared" si="75"/>
        <v>0</v>
      </c>
      <c r="T182" s="143">
        <f t="shared" si="75"/>
        <v>0</v>
      </c>
      <c r="U182" s="143">
        <f t="shared" si="75"/>
        <v>0</v>
      </c>
      <c r="V182" s="143">
        <f t="shared" si="75"/>
        <v>0</v>
      </c>
      <c r="W182" s="143">
        <f t="shared" si="75"/>
        <v>0</v>
      </c>
      <c r="X182" s="143">
        <f t="shared" si="75"/>
        <v>0</v>
      </c>
      <c r="Y182" s="143">
        <f t="shared" si="75"/>
        <v>0</v>
      </c>
      <c r="Z182" s="143">
        <f t="shared" si="75"/>
        <v>0</v>
      </c>
      <c r="AA182" s="143">
        <f t="shared" si="75"/>
        <v>0</v>
      </c>
      <c r="AB182" s="143">
        <f t="shared" si="75"/>
        <v>0</v>
      </c>
      <c r="AC182" s="143">
        <f t="shared" si="75"/>
        <v>0</v>
      </c>
      <c r="AD182" s="143">
        <f t="shared" si="75"/>
        <v>0</v>
      </c>
      <c r="AE182" s="143">
        <f t="shared" si="75"/>
        <v>0</v>
      </c>
      <c r="AF182" s="142"/>
      <c r="AG182" s="142"/>
      <c r="AH182" s="142"/>
      <c r="AI182" s="142"/>
    </row>
    <row r="183" spans="1:35" customFormat="1" ht="14.25" x14ac:dyDescent="0.45">
      <c r="B183" s="14" t="s">
        <v>2838</v>
      </c>
      <c r="C183" s="14" t="s">
        <v>2701</v>
      </c>
      <c r="D183" s="15" t="s">
        <v>2839</v>
      </c>
      <c r="E183" s="16" t="s">
        <v>1414</v>
      </c>
      <c r="F183" s="14" t="s">
        <v>2735</v>
      </c>
      <c r="G183" s="17"/>
      <c r="H183" s="17"/>
      <c r="K183" s="140"/>
      <c r="L183" s="141">
        <f t="shared" ref="L183:AE183" si="76">IF(L$122&lt;=0,0,IF(L$182&lt;=0,L$179,MIN($F$5,IF(L$179-(L$181-L$122)/L$182&lt;=0,L$179/2,L$179-(L$181-L$122)/L$182))))</f>
        <v>0</v>
      </c>
      <c r="M183" s="141">
        <f t="shared" si="76"/>
        <v>0</v>
      </c>
      <c r="N183" s="141">
        <f t="shared" si="76"/>
        <v>0</v>
      </c>
      <c r="O183" s="141">
        <f t="shared" si="76"/>
        <v>0</v>
      </c>
      <c r="P183" s="141">
        <f t="shared" si="76"/>
        <v>0</v>
      </c>
      <c r="Q183" s="141">
        <f t="shared" si="76"/>
        <v>0</v>
      </c>
      <c r="R183" s="141">
        <f t="shared" si="76"/>
        <v>0</v>
      </c>
      <c r="S183" s="141">
        <f t="shared" si="76"/>
        <v>0</v>
      </c>
      <c r="T183" s="141">
        <f t="shared" si="76"/>
        <v>0</v>
      </c>
      <c r="U183" s="141">
        <f t="shared" si="76"/>
        <v>0</v>
      </c>
      <c r="V183" s="141">
        <f t="shared" si="76"/>
        <v>0</v>
      </c>
      <c r="W183" s="141">
        <f t="shared" si="76"/>
        <v>0</v>
      </c>
      <c r="X183" s="141">
        <f t="shared" si="76"/>
        <v>0</v>
      </c>
      <c r="Y183" s="141">
        <f t="shared" si="76"/>
        <v>0</v>
      </c>
      <c r="Z183" s="141">
        <f t="shared" si="76"/>
        <v>0</v>
      </c>
      <c r="AA183" s="141">
        <f t="shared" si="76"/>
        <v>0</v>
      </c>
      <c r="AB183" s="141">
        <f t="shared" si="76"/>
        <v>0</v>
      </c>
      <c r="AC183" s="141">
        <f t="shared" si="76"/>
        <v>0</v>
      </c>
      <c r="AD183" s="141">
        <f t="shared" si="76"/>
        <v>0</v>
      </c>
      <c r="AE183" s="141">
        <f t="shared" si="76"/>
        <v>0</v>
      </c>
      <c r="AF183" s="142"/>
      <c r="AG183" s="142"/>
      <c r="AH183" s="142"/>
      <c r="AI183" s="142"/>
    </row>
    <row r="184" spans="1:35" customFormat="1" ht="14.25" x14ac:dyDescent="0.45">
      <c r="B184" s="14" t="s">
        <v>2840</v>
      </c>
      <c r="C184" s="14" t="s">
        <v>2701</v>
      </c>
      <c r="D184" s="15" t="s">
        <v>2841</v>
      </c>
      <c r="E184" s="16" t="s">
        <v>2094</v>
      </c>
      <c r="F184" s="14" t="s">
        <v>2725</v>
      </c>
      <c r="G184" s="17"/>
      <c r="H184" s="17"/>
      <c r="K184" s="140"/>
      <c r="L184" s="143">
        <f t="shared" ref="L184:AE184" si="77">SUMPRODUCT(L$45:L$52*(1-EXP(-L$55:L$62*L$183)))+SUMPRODUCT(L$101:L$116*(1-EXP(-L$65:L$80*L$183)))</f>
        <v>0</v>
      </c>
      <c r="M184" s="143">
        <f t="shared" si="77"/>
        <v>0</v>
      </c>
      <c r="N184" s="143">
        <f t="shared" si="77"/>
        <v>0</v>
      </c>
      <c r="O184" s="143">
        <f t="shared" si="77"/>
        <v>0</v>
      </c>
      <c r="P184" s="143">
        <f t="shared" si="77"/>
        <v>0</v>
      </c>
      <c r="Q184" s="143">
        <f t="shared" si="77"/>
        <v>0</v>
      </c>
      <c r="R184" s="143">
        <f t="shared" si="77"/>
        <v>0</v>
      </c>
      <c r="S184" s="143">
        <f t="shared" si="77"/>
        <v>0</v>
      </c>
      <c r="T184" s="143">
        <f t="shared" si="77"/>
        <v>0</v>
      </c>
      <c r="U184" s="143">
        <f t="shared" si="77"/>
        <v>0</v>
      </c>
      <c r="V184" s="143">
        <f t="shared" si="77"/>
        <v>0</v>
      </c>
      <c r="W184" s="143">
        <f t="shared" si="77"/>
        <v>0</v>
      </c>
      <c r="X184" s="143">
        <f t="shared" si="77"/>
        <v>0</v>
      </c>
      <c r="Y184" s="143">
        <f t="shared" si="77"/>
        <v>0</v>
      </c>
      <c r="Z184" s="143">
        <f t="shared" si="77"/>
        <v>0</v>
      </c>
      <c r="AA184" s="143">
        <f t="shared" si="77"/>
        <v>0</v>
      </c>
      <c r="AB184" s="143">
        <f t="shared" si="77"/>
        <v>0</v>
      </c>
      <c r="AC184" s="143">
        <f t="shared" si="77"/>
        <v>0</v>
      </c>
      <c r="AD184" s="143">
        <f t="shared" si="77"/>
        <v>0</v>
      </c>
      <c r="AE184" s="143">
        <f t="shared" si="77"/>
        <v>0</v>
      </c>
      <c r="AF184" s="142"/>
      <c r="AG184" s="142"/>
      <c r="AH184" s="142"/>
      <c r="AI184" s="142"/>
    </row>
    <row r="185" spans="1:35" customFormat="1" ht="14.25" x14ac:dyDescent="0.45">
      <c r="B185" s="14" t="s">
        <v>2842</v>
      </c>
      <c r="C185" s="14" t="s">
        <v>2701</v>
      </c>
      <c r="D185" s="15" t="s">
        <v>2843</v>
      </c>
      <c r="E185" s="16" t="s">
        <v>1870</v>
      </c>
      <c r="F185" s="14" t="s">
        <v>2728</v>
      </c>
      <c r="G185" s="17"/>
      <c r="H185" s="17"/>
      <c r="K185" s="140"/>
      <c r="L185" s="141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41">
        <f t="shared" si="78"/>
        <v>0</v>
      </c>
      <c r="N185" s="141">
        <f t="shared" si="78"/>
        <v>0</v>
      </c>
      <c r="O185" s="141">
        <f t="shared" si="78"/>
        <v>0</v>
      </c>
      <c r="P185" s="141">
        <f t="shared" si="78"/>
        <v>0</v>
      </c>
      <c r="Q185" s="141">
        <f t="shared" si="78"/>
        <v>0</v>
      </c>
      <c r="R185" s="141">
        <f t="shared" si="78"/>
        <v>0</v>
      </c>
      <c r="S185" s="141">
        <f t="shared" si="78"/>
        <v>0</v>
      </c>
      <c r="T185" s="141">
        <f t="shared" si="78"/>
        <v>0</v>
      </c>
      <c r="U185" s="141">
        <f t="shared" si="78"/>
        <v>0</v>
      </c>
      <c r="V185" s="141">
        <f t="shared" si="78"/>
        <v>0</v>
      </c>
      <c r="W185" s="141">
        <f t="shared" si="78"/>
        <v>0</v>
      </c>
      <c r="X185" s="141">
        <f t="shared" si="78"/>
        <v>0</v>
      </c>
      <c r="Y185" s="141">
        <f t="shared" si="78"/>
        <v>0</v>
      </c>
      <c r="Z185" s="141">
        <f t="shared" si="78"/>
        <v>0</v>
      </c>
      <c r="AA185" s="141">
        <f t="shared" si="78"/>
        <v>0</v>
      </c>
      <c r="AB185" s="141">
        <f t="shared" si="78"/>
        <v>0</v>
      </c>
      <c r="AC185" s="141">
        <f t="shared" si="78"/>
        <v>0</v>
      </c>
      <c r="AD185" s="141">
        <f t="shared" si="78"/>
        <v>0</v>
      </c>
      <c r="AE185" s="141">
        <f t="shared" si="78"/>
        <v>0</v>
      </c>
      <c r="AF185" s="142"/>
      <c r="AG185" s="142"/>
      <c r="AH185" s="142"/>
      <c r="AI185" s="142"/>
    </row>
    <row r="186" spans="1:35" customFormat="1" ht="14.25" x14ac:dyDescent="0.45">
      <c r="B186" s="14" t="s">
        <v>2844</v>
      </c>
      <c r="C186" s="14" t="s">
        <v>2701</v>
      </c>
      <c r="D186" s="15" t="s">
        <v>2845</v>
      </c>
      <c r="E186" s="16" t="s">
        <v>2731</v>
      </c>
      <c r="F186" s="14" t="s">
        <v>2732</v>
      </c>
      <c r="G186" s="17"/>
      <c r="H186" s="17"/>
      <c r="K186" s="140"/>
      <c r="L186" s="143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43">
        <f t="shared" si="79"/>
        <v>0</v>
      </c>
      <c r="N186" s="143">
        <f t="shared" si="79"/>
        <v>0</v>
      </c>
      <c r="O186" s="143">
        <f t="shared" si="79"/>
        <v>0</v>
      </c>
      <c r="P186" s="143">
        <f t="shared" si="79"/>
        <v>0</v>
      </c>
      <c r="Q186" s="143">
        <f t="shared" si="79"/>
        <v>0</v>
      </c>
      <c r="R186" s="143">
        <f t="shared" si="79"/>
        <v>0</v>
      </c>
      <c r="S186" s="143">
        <f t="shared" si="79"/>
        <v>0</v>
      </c>
      <c r="T186" s="143">
        <f t="shared" si="79"/>
        <v>0</v>
      </c>
      <c r="U186" s="143">
        <f t="shared" si="79"/>
        <v>0</v>
      </c>
      <c r="V186" s="143">
        <f t="shared" si="79"/>
        <v>0</v>
      </c>
      <c r="W186" s="143">
        <f t="shared" si="79"/>
        <v>0</v>
      </c>
      <c r="X186" s="143">
        <f t="shared" si="79"/>
        <v>0</v>
      </c>
      <c r="Y186" s="143">
        <f t="shared" si="79"/>
        <v>0</v>
      </c>
      <c r="Z186" s="143">
        <f t="shared" si="79"/>
        <v>0</v>
      </c>
      <c r="AA186" s="143">
        <f t="shared" si="79"/>
        <v>0</v>
      </c>
      <c r="AB186" s="143">
        <f t="shared" si="79"/>
        <v>0</v>
      </c>
      <c r="AC186" s="143">
        <f t="shared" si="79"/>
        <v>0</v>
      </c>
      <c r="AD186" s="143">
        <f t="shared" si="79"/>
        <v>0</v>
      </c>
      <c r="AE186" s="143">
        <f t="shared" si="79"/>
        <v>0</v>
      </c>
      <c r="AF186" s="142"/>
      <c r="AG186" s="142"/>
      <c r="AH186" s="142"/>
      <c r="AI186" s="142"/>
    </row>
    <row r="187" spans="1:35" customFormat="1" ht="14.25" x14ac:dyDescent="0.45">
      <c r="B187" s="14" t="s">
        <v>2846</v>
      </c>
      <c r="C187" s="14" t="s">
        <v>2701</v>
      </c>
      <c r="D187" s="15" t="s">
        <v>2847</v>
      </c>
      <c r="E187" s="16" t="s">
        <v>1414</v>
      </c>
      <c r="F187" s="14" t="s">
        <v>2735</v>
      </c>
      <c r="G187" s="17"/>
      <c r="H187" s="17"/>
      <c r="K187" s="140"/>
      <c r="L187" s="141">
        <f t="shared" ref="L187:AE187" si="80">IF(L$122&lt;=0,0,IF(L$186&lt;=0,L$183,MIN($F$5,IF(L$183-(L$185-L$122)/L$186&lt;=0,L$183/2,L$183-(L$185-L$122)/L$186))))</f>
        <v>0</v>
      </c>
      <c r="M187" s="141">
        <f t="shared" si="80"/>
        <v>0</v>
      </c>
      <c r="N187" s="141">
        <f t="shared" si="80"/>
        <v>0</v>
      </c>
      <c r="O187" s="141">
        <f t="shared" si="80"/>
        <v>0</v>
      </c>
      <c r="P187" s="141">
        <f t="shared" si="80"/>
        <v>0</v>
      </c>
      <c r="Q187" s="141">
        <f t="shared" si="80"/>
        <v>0</v>
      </c>
      <c r="R187" s="141">
        <f t="shared" si="80"/>
        <v>0</v>
      </c>
      <c r="S187" s="141">
        <f t="shared" si="80"/>
        <v>0</v>
      </c>
      <c r="T187" s="141">
        <f t="shared" si="80"/>
        <v>0</v>
      </c>
      <c r="U187" s="141">
        <f t="shared" si="80"/>
        <v>0</v>
      </c>
      <c r="V187" s="141">
        <f t="shared" si="80"/>
        <v>0</v>
      </c>
      <c r="W187" s="141">
        <f t="shared" si="80"/>
        <v>0</v>
      </c>
      <c r="X187" s="141">
        <f t="shared" si="80"/>
        <v>0</v>
      </c>
      <c r="Y187" s="141">
        <f t="shared" si="80"/>
        <v>0</v>
      </c>
      <c r="Z187" s="141">
        <f t="shared" si="80"/>
        <v>0</v>
      </c>
      <c r="AA187" s="141">
        <f t="shared" si="80"/>
        <v>0</v>
      </c>
      <c r="AB187" s="141">
        <f t="shared" si="80"/>
        <v>0</v>
      </c>
      <c r="AC187" s="141">
        <f t="shared" si="80"/>
        <v>0</v>
      </c>
      <c r="AD187" s="141">
        <f t="shared" si="80"/>
        <v>0</v>
      </c>
      <c r="AE187" s="141">
        <f t="shared" si="80"/>
        <v>0</v>
      </c>
      <c r="AF187" s="142"/>
      <c r="AG187" s="142"/>
      <c r="AH187" s="142"/>
      <c r="AI187" s="142"/>
    </row>
    <row r="188" spans="1:35" x14ac:dyDescent="0.35"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</row>
    <row r="189" spans="1:35" customFormat="1" ht="14.25" x14ac:dyDescent="0.45">
      <c r="A189" s="11"/>
      <c r="B189" s="6"/>
      <c r="C189" s="7" t="s">
        <v>2848</v>
      </c>
      <c r="D189" s="6" t="s">
        <v>1504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8">
        <v>2021</v>
      </c>
      <c r="L189" s="139">
        <v>2022</v>
      </c>
      <c r="M189" s="138">
        <v>2023</v>
      </c>
      <c r="N189" s="138">
        <v>2024</v>
      </c>
      <c r="O189" s="138">
        <v>2025</v>
      </c>
      <c r="P189" s="138">
        <v>2026</v>
      </c>
      <c r="Q189" s="138">
        <v>2027</v>
      </c>
      <c r="R189" s="138">
        <v>2028</v>
      </c>
      <c r="S189" s="138">
        <v>2029</v>
      </c>
      <c r="T189" s="138">
        <v>2030</v>
      </c>
      <c r="U189" s="138">
        <v>2031</v>
      </c>
      <c r="V189" s="138">
        <v>2032</v>
      </c>
      <c r="W189" s="138">
        <v>2033</v>
      </c>
      <c r="X189" s="138">
        <v>2034</v>
      </c>
      <c r="Y189" s="138">
        <v>2035</v>
      </c>
      <c r="Z189" s="138">
        <v>2036</v>
      </c>
      <c r="AA189" s="138">
        <v>2037</v>
      </c>
      <c r="AB189" s="138">
        <v>2038</v>
      </c>
      <c r="AC189" s="138">
        <v>2039</v>
      </c>
      <c r="AD189" s="138">
        <v>2040</v>
      </c>
      <c r="AE189" s="138">
        <v>2041</v>
      </c>
      <c r="AF189" s="138">
        <v>2042</v>
      </c>
      <c r="AG189" s="138">
        <v>2043</v>
      </c>
      <c r="AH189" s="138">
        <v>2044</v>
      </c>
      <c r="AI189" s="138">
        <v>2045</v>
      </c>
    </row>
    <row r="190" spans="1:35" customFormat="1" ht="14.25" x14ac:dyDescent="0.45">
      <c r="B190" s="14" t="s">
        <v>1809</v>
      </c>
      <c r="C190" s="14" t="s">
        <v>2701</v>
      </c>
      <c r="D190" s="15" t="s">
        <v>2849</v>
      </c>
      <c r="E190" s="16" t="s">
        <v>1414</v>
      </c>
      <c r="F190" s="14" t="s">
        <v>1809</v>
      </c>
      <c r="G190" s="17"/>
      <c r="H190" s="129" t="str">
        <f>Settings!$B$3&amp;".mit.fundsp.cbam.tot.1"</f>
        <v>egy.mit.fundsp.cbam.tot.1</v>
      </c>
      <c r="I190" t="s">
        <v>2850</v>
      </c>
      <c r="K190" s="140"/>
      <c r="L190" s="141">
        <f t="shared" ref="L190:AE190" si="81">L$187</f>
        <v>0</v>
      </c>
      <c r="M190" s="141">
        <f t="shared" si="81"/>
        <v>0</v>
      </c>
      <c r="N190" s="141">
        <f t="shared" si="81"/>
        <v>0</v>
      </c>
      <c r="O190" s="141">
        <f t="shared" si="81"/>
        <v>0</v>
      </c>
      <c r="P190" s="141">
        <f t="shared" si="81"/>
        <v>0</v>
      </c>
      <c r="Q190" s="141">
        <f t="shared" si="81"/>
        <v>0</v>
      </c>
      <c r="R190" s="141">
        <f t="shared" si="81"/>
        <v>0</v>
      </c>
      <c r="S190" s="141">
        <f t="shared" si="81"/>
        <v>0</v>
      </c>
      <c r="T190" s="141">
        <f t="shared" si="81"/>
        <v>0</v>
      </c>
      <c r="U190" s="141">
        <f t="shared" si="81"/>
        <v>0</v>
      </c>
      <c r="V190" s="141">
        <f t="shared" si="81"/>
        <v>0</v>
      </c>
      <c r="W190" s="141">
        <f t="shared" si="81"/>
        <v>0</v>
      </c>
      <c r="X190" s="141">
        <f t="shared" si="81"/>
        <v>0</v>
      </c>
      <c r="Y190" s="141">
        <f t="shared" si="81"/>
        <v>0</v>
      </c>
      <c r="Z190" s="141">
        <f t="shared" si="81"/>
        <v>0</v>
      </c>
      <c r="AA190" s="141">
        <f t="shared" si="81"/>
        <v>0</v>
      </c>
      <c r="AB190" s="141">
        <f t="shared" si="81"/>
        <v>0</v>
      </c>
      <c r="AC190" s="141">
        <f t="shared" si="81"/>
        <v>0</v>
      </c>
      <c r="AD190" s="141">
        <f t="shared" si="81"/>
        <v>0</v>
      </c>
      <c r="AE190" s="141">
        <f t="shared" si="81"/>
        <v>0</v>
      </c>
      <c r="AF190" s="142"/>
      <c r="AG190" s="142"/>
      <c r="AH190" s="142"/>
      <c r="AI190" s="142"/>
    </row>
    <row r="191" spans="1:35" customFormat="1" ht="14.25" x14ac:dyDescent="0.45">
      <c r="B191" s="14" t="s">
        <v>2851</v>
      </c>
      <c r="C191" s="14" t="s">
        <v>2701</v>
      </c>
      <c r="D191" s="15" t="s">
        <v>2852</v>
      </c>
      <c r="E191" s="16" t="s">
        <v>2094</v>
      </c>
      <c r="F191" s="14" t="s">
        <v>2851</v>
      </c>
      <c r="G191" s="17"/>
      <c r="H191" s="129" t="str">
        <f>Settings!$B$3&amp;".mit.abat.cbam.tot.1"</f>
        <v>egy.mit.abat.cbam.tot.1</v>
      </c>
      <c r="I191" t="s">
        <v>2853</v>
      </c>
      <c r="K191" s="140"/>
      <c r="L191" s="143">
        <f t="shared" ref="L191:AE191" si="82">L192+L193</f>
        <v>0</v>
      </c>
      <c r="M191" s="143">
        <f t="shared" si="82"/>
        <v>0</v>
      </c>
      <c r="N191" s="143">
        <f t="shared" si="82"/>
        <v>0</v>
      </c>
      <c r="O191" s="143">
        <f t="shared" si="82"/>
        <v>0</v>
      </c>
      <c r="P191" s="143">
        <f t="shared" si="82"/>
        <v>0</v>
      </c>
      <c r="Q191" s="143">
        <f t="shared" si="82"/>
        <v>0</v>
      </c>
      <c r="R191" s="143">
        <f t="shared" si="82"/>
        <v>0</v>
      </c>
      <c r="S191" s="143">
        <f t="shared" si="82"/>
        <v>0</v>
      </c>
      <c r="T191" s="143">
        <f t="shared" si="82"/>
        <v>0</v>
      </c>
      <c r="U191" s="143">
        <f t="shared" si="82"/>
        <v>0</v>
      </c>
      <c r="V191" s="143">
        <f t="shared" si="82"/>
        <v>0</v>
      </c>
      <c r="W191" s="143">
        <f t="shared" si="82"/>
        <v>0</v>
      </c>
      <c r="X191" s="143">
        <f t="shared" si="82"/>
        <v>0</v>
      </c>
      <c r="Y191" s="143">
        <f t="shared" si="82"/>
        <v>0</v>
      </c>
      <c r="Z191" s="143">
        <f t="shared" si="82"/>
        <v>0</v>
      </c>
      <c r="AA191" s="143">
        <f t="shared" si="82"/>
        <v>0</v>
      </c>
      <c r="AB191" s="143">
        <f t="shared" si="82"/>
        <v>0</v>
      </c>
      <c r="AC191" s="143">
        <f t="shared" si="82"/>
        <v>0</v>
      </c>
      <c r="AD191" s="143">
        <f t="shared" si="82"/>
        <v>0</v>
      </c>
      <c r="AE191" s="143">
        <f t="shared" si="82"/>
        <v>0</v>
      </c>
      <c r="AF191" s="142"/>
      <c r="AG191" s="142"/>
      <c r="AH191" s="142"/>
      <c r="AI191" s="142"/>
    </row>
    <row r="192" spans="1:35" customFormat="1" ht="14.25" x14ac:dyDescent="0.45">
      <c r="B192" s="14" t="s">
        <v>2854</v>
      </c>
      <c r="C192" s="14" t="s">
        <v>2701</v>
      </c>
      <c r="D192" s="15" t="s">
        <v>2855</v>
      </c>
      <c r="E192" s="16" t="s">
        <v>2094</v>
      </c>
      <c r="F192" s="14" t="s">
        <v>2854</v>
      </c>
      <c r="G192" s="17"/>
      <c r="H192" s="129" t="str">
        <f>Settings!$B$3&amp;".mit.abatf.cbam.tot.1"</f>
        <v>egy.mit.abatf.cbam.tot.1</v>
      </c>
      <c r="I192" t="s">
        <v>2856</v>
      </c>
      <c r="K192" s="140"/>
      <c r="L192" s="143">
        <f t="shared" ref="L192:AE192" si="83">SUMPRODUCT(L$45:L$52*(1-EXP(-L$55:L$62*L$190)))</f>
        <v>0</v>
      </c>
      <c r="M192" s="143">
        <f t="shared" si="83"/>
        <v>0</v>
      </c>
      <c r="N192" s="143">
        <f t="shared" si="83"/>
        <v>0</v>
      </c>
      <c r="O192" s="143">
        <f t="shared" si="83"/>
        <v>0</v>
      </c>
      <c r="P192" s="143">
        <f t="shared" si="83"/>
        <v>0</v>
      </c>
      <c r="Q192" s="143">
        <f t="shared" si="83"/>
        <v>0</v>
      </c>
      <c r="R192" s="143">
        <f t="shared" si="83"/>
        <v>0</v>
      </c>
      <c r="S192" s="143">
        <f t="shared" si="83"/>
        <v>0</v>
      </c>
      <c r="T192" s="143">
        <f t="shared" si="83"/>
        <v>0</v>
      </c>
      <c r="U192" s="143">
        <f t="shared" si="83"/>
        <v>0</v>
      </c>
      <c r="V192" s="143">
        <f t="shared" si="83"/>
        <v>0</v>
      </c>
      <c r="W192" s="143">
        <f t="shared" si="83"/>
        <v>0</v>
      </c>
      <c r="X192" s="143">
        <f t="shared" si="83"/>
        <v>0</v>
      </c>
      <c r="Y192" s="143">
        <f t="shared" si="83"/>
        <v>0</v>
      </c>
      <c r="Z192" s="143">
        <f t="shared" si="83"/>
        <v>0</v>
      </c>
      <c r="AA192" s="143">
        <f t="shared" si="83"/>
        <v>0</v>
      </c>
      <c r="AB192" s="143">
        <f t="shared" si="83"/>
        <v>0</v>
      </c>
      <c r="AC192" s="143">
        <f t="shared" si="83"/>
        <v>0</v>
      </c>
      <c r="AD192" s="143">
        <f t="shared" si="83"/>
        <v>0</v>
      </c>
      <c r="AE192" s="143">
        <f t="shared" si="83"/>
        <v>0</v>
      </c>
      <c r="AF192" s="142"/>
      <c r="AG192" s="142"/>
      <c r="AH192" s="142"/>
      <c r="AI192" s="142"/>
    </row>
    <row r="193" spans="1:35" customFormat="1" ht="14.25" x14ac:dyDescent="0.45">
      <c r="B193" s="14" t="s">
        <v>2857</v>
      </c>
      <c r="C193" s="14" t="s">
        <v>2701</v>
      </c>
      <c r="D193" s="15" t="s">
        <v>2858</v>
      </c>
      <c r="E193" s="16" t="s">
        <v>2094</v>
      </c>
      <c r="F193" s="14" t="s">
        <v>2857</v>
      </c>
      <c r="G193" s="17"/>
      <c r="H193" s="129" t="str">
        <f>Settings!$B$3&amp;".mit.abatp.cbam.tot.1"</f>
        <v>egy.mit.abatp.cbam.tot.1</v>
      </c>
      <c r="I193" t="s">
        <v>2859</v>
      </c>
      <c r="K193" s="140"/>
      <c r="L193" s="143">
        <f t="shared" ref="L193:AE193" si="84">SUMPRODUCT(L$101:L$116*(1-EXP(-L$65:L$80*L$190)))</f>
        <v>0</v>
      </c>
      <c r="M193" s="143">
        <f t="shared" si="84"/>
        <v>0</v>
      </c>
      <c r="N193" s="143">
        <f t="shared" si="84"/>
        <v>0</v>
      </c>
      <c r="O193" s="143">
        <f t="shared" si="84"/>
        <v>0</v>
      </c>
      <c r="P193" s="143">
        <f t="shared" si="84"/>
        <v>0</v>
      </c>
      <c r="Q193" s="143">
        <f t="shared" si="84"/>
        <v>0</v>
      </c>
      <c r="R193" s="143">
        <f t="shared" si="84"/>
        <v>0</v>
      </c>
      <c r="S193" s="143">
        <f t="shared" si="84"/>
        <v>0</v>
      </c>
      <c r="T193" s="143">
        <f t="shared" si="84"/>
        <v>0</v>
      </c>
      <c r="U193" s="143">
        <f t="shared" si="84"/>
        <v>0</v>
      </c>
      <c r="V193" s="143">
        <f t="shared" si="84"/>
        <v>0</v>
      </c>
      <c r="W193" s="143">
        <f t="shared" si="84"/>
        <v>0</v>
      </c>
      <c r="X193" s="143">
        <f t="shared" si="84"/>
        <v>0</v>
      </c>
      <c r="Y193" s="143">
        <f t="shared" si="84"/>
        <v>0</v>
      </c>
      <c r="Z193" s="143">
        <f t="shared" si="84"/>
        <v>0</v>
      </c>
      <c r="AA193" s="143">
        <f t="shared" si="84"/>
        <v>0</v>
      </c>
      <c r="AB193" s="143">
        <f t="shared" si="84"/>
        <v>0</v>
      </c>
      <c r="AC193" s="143">
        <f t="shared" si="84"/>
        <v>0</v>
      </c>
      <c r="AD193" s="143">
        <f t="shared" si="84"/>
        <v>0</v>
      </c>
      <c r="AE193" s="143">
        <f t="shared" si="84"/>
        <v>0</v>
      </c>
      <c r="AF193" s="142"/>
      <c r="AG193" s="142"/>
      <c r="AH193" s="142"/>
      <c r="AI193" s="142"/>
    </row>
    <row r="194" spans="1:35" customFormat="1" ht="14.25" x14ac:dyDescent="0.45">
      <c r="B194" s="14" t="s">
        <v>2860</v>
      </c>
      <c r="C194" s="14" t="s">
        <v>2701</v>
      </c>
      <c r="D194" s="15" t="s">
        <v>2861</v>
      </c>
      <c r="E194" s="16" t="s">
        <v>1870</v>
      </c>
      <c r="F194" s="14" t="s">
        <v>2860</v>
      </c>
      <c r="G194" s="17"/>
      <c r="H194" s="129" t="str">
        <f>Settings!$B$3&amp;".mit.outlay.cbam.tot.1"</f>
        <v>egy.mit.outlay.cbam.tot.1</v>
      </c>
      <c r="K194" s="140"/>
      <c r="L194" s="141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41">
        <f t="shared" si="85"/>
        <v>0</v>
      </c>
      <c r="N194" s="141">
        <f t="shared" si="85"/>
        <v>0</v>
      </c>
      <c r="O194" s="141">
        <f t="shared" si="85"/>
        <v>0</v>
      </c>
      <c r="P194" s="141">
        <f t="shared" si="85"/>
        <v>0</v>
      </c>
      <c r="Q194" s="141">
        <f t="shared" si="85"/>
        <v>0</v>
      </c>
      <c r="R194" s="141">
        <f t="shared" si="85"/>
        <v>0</v>
      </c>
      <c r="S194" s="141">
        <f t="shared" si="85"/>
        <v>0</v>
      </c>
      <c r="T194" s="141">
        <f t="shared" si="85"/>
        <v>0</v>
      </c>
      <c r="U194" s="141">
        <f t="shared" si="85"/>
        <v>0</v>
      </c>
      <c r="V194" s="141">
        <f t="shared" si="85"/>
        <v>0</v>
      </c>
      <c r="W194" s="141">
        <f t="shared" si="85"/>
        <v>0</v>
      </c>
      <c r="X194" s="141">
        <f t="shared" si="85"/>
        <v>0</v>
      </c>
      <c r="Y194" s="141">
        <f t="shared" si="85"/>
        <v>0</v>
      </c>
      <c r="Z194" s="141">
        <f t="shared" si="85"/>
        <v>0</v>
      </c>
      <c r="AA194" s="141">
        <f t="shared" si="85"/>
        <v>0</v>
      </c>
      <c r="AB194" s="141">
        <f t="shared" si="85"/>
        <v>0</v>
      </c>
      <c r="AC194" s="141">
        <f t="shared" si="85"/>
        <v>0</v>
      </c>
      <c r="AD194" s="141">
        <f t="shared" si="85"/>
        <v>0</v>
      </c>
      <c r="AE194" s="141">
        <f t="shared" si="85"/>
        <v>0</v>
      </c>
      <c r="AF194" s="142"/>
      <c r="AG194" s="142"/>
      <c r="AH194" s="142"/>
      <c r="AI194" s="142"/>
    </row>
    <row r="195" spans="1:35" customFormat="1" ht="14.25" x14ac:dyDescent="0.45">
      <c r="B195" s="14" t="s">
        <v>2862</v>
      </c>
      <c r="C195" s="14" t="s">
        <v>2701</v>
      </c>
      <c r="D195" s="15" t="s">
        <v>2863</v>
      </c>
      <c r="E195" s="16" t="s">
        <v>1870</v>
      </c>
      <c r="F195" s="14" t="s">
        <v>2862</v>
      </c>
      <c r="G195" s="17"/>
      <c r="H195" s="17"/>
      <c r="K195" s="140"/>
      <c r="L195" s="143">
        <f t="shared" ref="L195:AE195" si="86">L$194-L$122</f>
        <v>0</v>
      </c>
      <c r="M195" s="143">
        <f t="shared" si="86"/>
        <v>0</v>
      </c>
      <c r="N195" s="143">
        <f t="shared" si="86"/>
        <v>0</v>
      </c>
      <c r="O195" s="143">
        <f t="shared" si="86"/>
        <v>0</v>
      </c>
      <c r="P195" s="143">
        <f t="shared" si="86"/>
        <v>0</v>
      </c>
      <c r="Q195" s="143">
        <f t="shared" si="86"/>
        <v>0</v>
      </c>
      <c r="R195" s="143">
        <f t="shared" si="86"/>
        <v>0</v>
      </c>
      <c r="S195" s="143">
        <f t="shared" si="86"/>
        <v>0</v>
      </c>
      <c r="T195" s="143">
        <f t="shared" si="86"/>
        <v>0</v>
      </c>
      <c r="U195" s="143">
        <f t="shared" si="86"/>
        <v>0</v>
      </c>
      <c r="V195" s="143">
        <f t="shared" si="86"/>
        <v>0</v>
      </c>
      <c r="W195" s="143">
        <f t="shared" si="86"/>
        <v>0</v>
      </c>
      <c r="X195" s="143">
        <f t="shared" si="86"/>
        <v>0</v>
      </c>
      <c r="Y195" s="143">
        <f t="shared" si="86"/>
        <v>0</v>
      </c>
      <c r="Z195" s="143">
        <f t="shared" si="86"/>
        <v>0</v>
      </c>
      <c r="AA195" s="143">
        <f t="shared" si="86"/>
        <v>0</v>
      </c>
      <c r="AB195" s="143">
        <f t="shared" si="86"/>
        <v>0</v>
      </c>
      <c r="AC195" s="143">
        <f t="shared" si="86"/>
        <v>0</v>
      </c>
      <c r="AD195" s="143">
        <f t="shared" si="86"/>
        <v>0</v>
      </c>
      <c r="AE195" s="143">
        <f t="shared" si="86"/>
        <v>0</v>
      </c>
      <c r="AF195" s="142"/>
      <c r="AG195" s="142"/>
      <c r="AH195" s="142"/>
      <c r="AI195" s="142"/>
    </row>
    <row r="196" spans="1:35" customFormat="1" ht="14.25" x14ac:dyDescent="0.45">
      <c r="B196" s="14" t="s">
        <v>2864</v>
      </c>
      <c r="C196" s="14" t="s">
        <v>2701</v>
      </c>
      <c r="D196" s="15" t="s">
        <v>2865</v>
      </c>
      <c r="E196" s="16" t="s">
        <v>1870</v>
      </c>
      <c r="F196" s="14" t="s">
        <v>2864</v>
      </c>
      <c r="G196" s="17"/>
      <c r="H196" s="129" t="str">
        <f>Settings!$B$3&amp;".mit.unspent.cbam.tot.1"</f>
        <v>egy.mit.unspent.cbam.tot.1</v>
      </c>
      <c r="K196" s="140"/>
      <c r="L196" s="141">
        <f t="shared" ref="L196:AE196" si="87">MAX(0,L$122-L$194)</f>
        <v>0</v>
      </c>
      <c r="M196" s="141">
        <f t="shared" si="87"/>
        <v>0</v>
      </c>
      <c r="N196" s="141">
        <f t="shared" si="87"/>
        <v>0</v>
      </c>
      <c r="O196" s="141">
        <f t="shared" si="87"/>
        <v>0</v>
      </c>
      <c r="P196" s="141">
        <f t="shared" si="87"/>
        <v>0</v>
      </c>
      <c r="Q196" s="141">
        <f t="shared" si="87"/>
        <v>0</v>
      </c>
      <c r="R196" s="141">
        <f t="shared" si="87"/>
        <v>0</v>
      </c>
      <c r="S196" s="141">
        <f t="shared" si="87"/>
        <v>0</v>
      </c>
      <c r="T196" s="141">
        <f t="shared" si="87"/>
        <v>0</v>
      </c>
      <c r="U196" s="141">
        <f t="shared" si="87"/>
        <v>0</v>
      </c>
      <c r="V196" s="141">
        <f t="shared" si="87"/>
        <v>0</v>
      </c>
      <c r="W196" s="141">
        <f t="shared" si="87"/>
        <v>0</v>
      </c>
      <c r="X196" s="141">
        <f t="shared" si="87"/>
        <v>0</v>
      </c>
      <c r="Y196" s="141">
        <f t="shared" si="87"/>
        <v>0</v>
      </c>
      <c r="Z196" s="141">
        <f t="shared" si="87"/>
        <v>0</v>
      </c>
      <c r="AA196" s="141">
        <f t="shared" si="87"/>
        <v>0</v>
      </c>
      <c r="AB196" s="141">
        <f t="shared" si="87"/>
        <v>0</v>
      </c>
      <c r="AC196" s="141">
        <f t="shared" si="87"/>
        <v>0</v>
      </c>
      <c r="AD196" s="141">
        <f t="shared" si="87"/>
        <v>0</v>
      </c>
      <c r="AE196" s="141">
        <f t="shared" si="87"/>
        <v>0</v>
      </c>
      <c r="AF196" s="142"/>
      <c r="AG196" s="142"/>
      <c r="AH196" s="142"/>
      <c r="AI196" s="142"/>
    </row>
    <row r="197" spans="1:35" customFormat="1" ht="14.25" x14ac:dyDescent="0.45">
      <c r="B197" s="14" t="s">
        <v>2866</v>
      </c>
      <c r="C197" s="14" t="s">
        <v>2701</v>
      </c>
      <c r="D197" s="15" t="s">
        <v>2867</v>
      </c>
      <c r="E197" s="16" t="s">
        <v>2868</v>
      </c>
      <c r="F197" s="14" t="s">
        <v>2866</v>
      </c>
      <c r="G197" s="17"/>
      <c r="H197" s="17"/>
      <c r="K197" s="140"/>
      <c r="L197" s="145">
        <f t="shared" ref="L197:AE197" si="88">(L$122&gt;0)*(L$190&gt;=$F$5-0.000000001)</f>
        <v>0</v>
      </c>
      <c r="M197" s="145">
        <f t="shared" si="88"/>
        <v>0</v>
      </c>
      <c r="N197" s="145">
        <f t="shared" si="88"/>
        <v>0</v>
      </c>
      <c r="O197" s="145">
        <f t="shared" si="88"/>
        <v>0</v>
      </c>
      <c r="P197" s="145">
        <f t="shared" si="88"/>
        <v>0</v>
      </c>
      <c r="Q197" s="145">
        <f t="shared" si="88"/>
        <v>0</v>
      </c>
      <c r="R197" s="145">
        <f t="shared" si="88"/>
        <v>0</v>
      </c>
      <c r="S197" s="145">
        <f t="shared" si="88"/>
        <v>0</v>
      </c>
      <c r="T197" s="145">
        <f t="shared" si="88"/>
        <v>0</v>
      </c>
      <c r="U197" s="145">
        <f t="shared" si="88"/>
        <v>0</v>
      </c>
      <c r="V197" s="145">
        <f t="shared" si="88"/>
        <v>0</v>
      </c>
      <c r="W197" s="145">
        <f t="shared" si="88"/>
        <v>0</v>
      </c>
      <c r="X197" s="145">
        <f t="shared" si="88"/>
        <v>0</v>
      </c>
      <c r="Y197" s="145">
        <f t="shared" si="88"/>
        <v>0</v>
      </c>
      <c r="Z197" s="145">
        <f t="shared" si="88"/>
        <v>0</v>
      </c>
      <c r="AA197" s="145">
        <f t="shared" si="88"/>
        <v>0</v>
      </c>
      <c r="AB197" s="145">
        <f t="shared" si="88"/>
        <v>0</v>
      </c>
      <c r="AC197" s="145">
        <f t="shared" si="88"/>
        <v>0</v>
      </c>
      <c r="AD197" s="145">
        <f t="shared" si="88"/>
        <v>0</v>
      </c>
      <c r="AE197" s="145">
        <f t="shared" si="88"/>
        <v>0</v>
      </c>
      <c r="AF197" s="142"/>
      <c r="AG197" s="142"/>
      <c r="AH197" s="142"/>
      <c r="AI197" s="142"/>
    </row>
    <row r="198" spans="1:35" customFormat="1" ht="14.25" x14ac:dyDescent="0.45">
      <c r="B198" s="14" t="s">
        <v>2869</v>
      </c>
      <c r="C198" s="14" t="s">
        <v>2701</v>
      </c>
      <c r="D198" s="15" t="s">
        <v>2870</v>
      </c>
      <c r="E198" s="16" t="s">
        <v>1414</v>
      </c>
      <c r="F198" s="14" t="s">
        <v>2869</v>
      </c>
      <c r="G198" s="17"/>
      <c r="H198" s="129" t="str">
        <f>Settings!$B$3&amp;".mit.cpt.cbam.tot.1"</f>
        <v>egy.mit.cpt.cbam.tot.1</v>
      </c>
      <c r="K198" s="140"/>
      <c r="L198" s="141">
        <f t="shared" ref="L198:AE198" si="89">IF(L$191&gt;0,L$194/L$191,0)</f>
        <v>0</v>
      </c>
      <c r="M198" s="141">
        <f t="shared" si="89"/>
        <v>0</v>
      </c>
      <c r="N198" s="141">
        <f t="shared" si="89"/>
        <v>0</v>
      </c>
      <c r="O198" s="141">
        <f t="shared" si="89"/>
        <v>0</v>
      </c>
      <c r="P198" s="141">
        <f t="shared" si="89"/>
        <v>0</v>
      </c>
      <c r="Q198" s="141">
        <f t="shared" si="89"/>
        <v>0</v>
      </c>
      <c r="R198" s="141">
        <f t="shared" si="89"/>
        <v>0</v>
      </c>
      <c r="S198" s="141">
        <f t="shared" si="89"/>
        <v>0</v>
      </c>
      <c r="T198" s="141">
        <f t="shared" si="89"/>
        <v>0</v>
      </c>
      <c r="U198" s="141">
        <f t="shared" si="89"/>
        <v>0</v>
      </c>
      <c r="V198" s="141">
        <f t="shared" si="89"/>
        <v>0</v>
      </c>
      <c r="W198" s="141">
        <f t="shared" si="89"/>
        <v>0</v>
      </c>
      <c r="X198" s="141">
        <f t="shared" si="89"/>
        <v>0</v>
      </c>
      <c r="Y198" s="141">
        <f t="shared" si="89"/>
        <v>0</v>
      </c>
      <c r="Z198" s="141">
        <f t="shared" si="89"/>
        <v>0</v>
      </c>
      <c r="AA198" s="141">
        <f t="shared" si="89"/>
        <v>0</v>
      </c>
      <c r="AB198" s="141">
        <f t="shared" si="89"/>
        <v>0</v>
      </c>
      <c r="AC198" s="141">
        <f t="shared" si="89"/>
        <v>0</v>
      </c>
      <c r="AD198" s="141">
        <f t="shared" si="89"/>
        <v>0</v>
      </c>
      <c r="AE198" s="141">
        <f t="shared" si="89"/>
        <v>0</v>
      </c>
      <c r="AF198" s="142"/>
      <c r="AG198" s="142"/>
      <c r="AH198" s="142"/>
      <c r="AI198" s="142"/>
    </row>
    <row r="199" spans="1:35" customFormat="1" ht="14.25" x14ac:dyDescent="0.45">
      <c r="B199" s="14" t="s">
        <v>2871</v>
      </c>
      <c r="C199" s="14" t="s">
        <v>2701</v>
      </c>
      <c r="D199" s="15" t="s">
        <v>2872</v>
      </c>
      <c r="E199" s="16" t="s">
        <v>1870</v>
      </c>
      <c r="F199" s="14" t="s">
        <v>2871</v>
      </c>
      <c r="G199" s="17"/>
      <c r="H199" s="17"/>
      <c r="I199" t="s">
        <v>2873</v>
      </c>
      <c r="K199" s="140"/>
      <c r="L199" s="144">
        <f>L$11*Mitigation_Industry!L$400</f>
        <v>0</v>
      </c>
      <c r="M199" s="144">
        <f>M$11*Mitigation_Industry!M$400</f>
        <v>0</v>
      </c>
      <c r="N199" s="144">
        <f>N$11*Mitigation_Industry!N$400</f>
        <v>0</v>
      </c>
      <c r="O199" s="144">
        <f>O$11*Mitigation_Industry!O$400</f>
        <v>0</v>
      </c>
      <c r="P199" s="144">
        <f>P$11*Mitigation_Industry!P$400</f>
        <v>0</v>
      </c>
      <c r="Q199" s="144">
        <f>Q$11*Mitigation_Industry!Q$400</f>
        <v>0</v>
      </c>
      <c r="R199" s="144">
        <f>R$11*Mitigation_Industry!R$400</f>
        <v>0</v>
      </c>
      <c r="S199" s="144">
        <f>S$11*Mitigation_Industry!S$400</f>
        <v>0</v>
      </c>
      <c r="T199" s="144">
        <f>T$11*Mitigation_Industry!T$400</f>
        <v>0</v>
      </c>
      <c r="U199" s="144">
        <f>U$11*Mitigation_Industry!U$400</f>
        <v>0</v>
      </c>
      <c r="V199" s="144">
        <f>V$11*Mitigation_Industry!V$400</f>
        <v>0</v>
      </c>
      <c r="W199" s="144">
        <f>W$11*Mitigation_Industry!W$400</f>
        <v>0</v>
      </c>
      <c r="X199" s="144">
        <f>X$11*Mitigation_Industry!X$400</f>
        <v>0</v>
      </c>
      <c r="Y199" s="144">
        <f>Y$11*Mitigation_Industry!Y$400</f>
        <v>0</v>
      </c>
      <c r="Z199" s="144">
        <f>Z$11*Mitigation_Industry!Z$400</f>
        <v>0</v>
      </c>
      <c r="AA199" s="144">
        <f>AA$11*Mitigation_Industry!AA$400</f>
        <v>0</v>
      </c>
      <c r="AB199" s="144">
        <f>AB$11*Mitigation_Industry!AB$400</f>
        <v>0</v>
      </c>
      <c r="AC199" s="144">
        <f>AC$11*Mitigation_Industry!AC$400</f>
        <v>0</v>
      </c>
      <c r="AD199" s="144">
        <f>AD$11*Mitigation_Industry!AD$400</f>
        <v>0</v>
      </c>
      <c r="AE199" s="144">
        <f>AE$11*Mitigation_Industry!AE$400</f>
        <v>0</v>
      </c>
      <c r="AF199" s="142"/>
      <c r="AG199" s="142"/>
      <c r="AH199" s="142"/>
      <c r="AI199" s="142"/>
    </row>
    <row r="200" spans="1:35" customFormat="1" ht="14.25" x14ac:dyDescent="0.45">
      <c r="B200" s="14" t="s">
        <v>2874</v>
      </c>
      <c r="C200" s="14" t="s">
        <v>2701</v>
      </c>
      <c r="D200" s="15" t="s">
        <v>2875</v>
      </c>
      <c r="E200" s="16" t="s">
        <v>1870</v>
      </c>
      <c r="F200" s="14" t="s">
        <v>2874</v>
      </c>
      <c r="G200" s="17"/>
      <c r="H200" s="17"/>
      <c r="I200" t="s">
        <v>2876</v>
      </c>
      <c r="K200" s="140"/>
      <c r="L200" s="144">
        <f t="shared" ref="L200:AE200" si="90">L199-L$122</f>
        <v>0</v>
      </c>
      <c r="M200" s="144">
        <f t="shared" si="90"/>
        <v>0</v>
      </c>
      <c r="N200" s="144">
        <f t="shared" si="90"/>
        <v>0</v>
      </c>
      <c r="O200" s="144">
        <f t="shared" si="90"/>
        <v>0</v>
      </c>
      <c r="P200" s="144">
        <f t="shared" si="90"/>
        <v>0</v>
      </c>
      <c r="Q200" s="144">
        <f t="shared" si="90"/>
        <v>0</v>
      </c>
      <c r="R200" s="144">
        <f t="shared" si="90"/>
        <v>0</v>
      </c>
      <c r="S200" s="144">
        <f t="shared" si="90"/>
        <v>0</v>
      </c>
      <c r="T200" s="144">
        <f t="shared" si="90"/>
        <v>0</v>
      </c>
      <c r="U200" s="144">
        <f t="shared" si="90"/>
        <v>0</v>
      </c>
      <c r="V200" s="144">
        <f t="shared" si="90"/>
        <v>0</v>
      </c>
      <c r="W200" s="144">
        <f t="shared" si="90"/>
        <v>0</v>
      </c>
      <c r="X200" s="144">
        <f t="shared" si="90"/>
        <v>0</v>
      </c>
      <c r="Y200" s="144">
        <f t="shared" si="90"/>
        <v>0</v>
      </c>
      <c r="Z200" s="144">
        <f t="shared" si="90"/>
        <v>0</v>
      </c>
      <c r="AA200" s="144">
        <f t="shared" si="90"/>
        <v>0</v>
      </c>
      <c r="AB200" s="144">
        <f t="shared" si="90"/>
        <v>0</v>
      </c>
      <c r="AC200" s="144">
        <f t="shared" si="90"/>
        <v>0</v>
      </c>
      <c r="AD200" s="144">
        <f t="shared" si="90"/>
        <v>0</v>
      </c>
      <c r="AE200" s="144">
        <f t="shared" si="90"/>
        <v>0</v>
      </c>
      <c r="AF200" s="142"/>
      <c r="AG200" s="142"/>
      <c r="AH200" s="142"/>
      <c r="AI200" s="142"/>
    </row>
    <row r="201" spans="1:35" x14ac:dyDescent="0.35"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</row>
    <row r="202" spans="1:35" customFormat="1" ht="14.25" x14ac:dyDescent="0.45">
      <c r="A202" s="11"/>
      <c r="B202" s="6"/>
      <c r="C202" s="7" t="s">
        <v>1160</v>
      </c>
      <c r="D202" s="6" t="s">
        <v>1504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2877</v>
      </c>
      <c r="J202" s="48">
        <v>1</v>
      </c>
      <c r="K202" s="138">
        <v>2021</v>
      </c>
      <c r="L202" s="139">
        <v>2022</v>
      </c>
      <c r="M202" s="138">
        <v>2023</v>
      </c>
      <c r="N202" s="138">
        <v>2024</v>
      </c>
      <c r="O202" s="138">
        <v>2025</v>
      </c>
      <c r="P202" s="138">
        <v>2026</v>
      </c>
      <c r="Q202" s="138">
        <v>2027</v>
      </c>
      <c r="R202" s="138">
        <v>2028</v>
      </c>
      <c r="S202" s="138">
        <v>2029</v>
      </c>
      <c r="T202" s="138">
        <v>2030</v>
      </c>
      <c r="U202" s="138">
        <v>2031</v>
      </c>
      <c r="V202" s="138">
        <v>2032</v>
      </c>
      <c r="W202" s="138">
        <v>2033</v>
      </c>
      <c r="X202" s="138">
        <v>2034</v>
      </c>
      <c r="Y202" s="138">
        <v>2035</v>
      </c>
      <c r="Z202" s="138">
        <v>2036</v>
      </c>
      <c r="AA202" s="138">
        <v>2037</v>
      </c>
      <c r="AB202" s="138">
        <v>2038</v>
      </c>
      <c r="AC202" s="138">
        <v>2039</v>
      </c>
      <c r="AD202" s="138">
        <v>2040</v>
      </c>
      <c r="AE202" s="138">
        <v>2041</v>
      </c>
      <c r="AF202" s="138">
        <v>2042</v>
      </c>
      <c r="AG202" s="138">
        <v>2043</v>
      </c>
      <c r="AH202" s="138">
        <v>2044</v>
      </c>
      <c r="AI202" s="138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2878</v>
      </c>
      <c r="E203" s="16" t="s">
        <v>51</v>
      </c>
      <c r="F203" s="14" t="s">
        <v>2879</v>
      </c>
      <c r="G203" s="17"/>
      <c r="H203" s="129" t="str">
        <f>Settings!$B$3&amp;".mit.shpf.coa.ind.1"</f>
        <v>egy.mit.shpf.coa.ind.1</v>
      </c>
      <c r="K203" s="141"/>
      <c r="L203" s="141">
        <f>L$190*Scenarios!$E$30</f>
        <v>0</v>
      </c>
      <c r="M203" s="141">
        <f>M$190*Scenarios!$E$30</f>
        <v>0</v>
      </c>
      <c r="N203" s="141">
        <f>N$190*Scenarios!$E$30</f>
        <v>0</v>
      </c>
      <c r="O203" s="141">
        <f>O$190*Scenarios!$E$30</f>
        <v>0</v>
      </c>
      <c r="P203" s="141">
        <f>P$190*Scenarios!$E$30</f>
        <v>0</v>
      </c>
      <c r="Q203" s="141">
        <f>Q$190*Scenarios!$E$30</f>
        <v>0</v>
      </c>
      <c r="R203" s="141">
        <f>R$190*Scenarios!$E$30</f>
        <v>0</v>
      </c>
      <c r="S203" s="141">
        <f>S$190*Scenarios!$E$30</f>
        <v>0</v>
      </c>
      <c r="T203" s="141">
        <f>T$190*Scenarios!$E$30</f>
        <v>0</v>
      </c>
      <c r="U203" s="141">
        <f>U$190*Scenarios!$E$30</f>
        <v>0</v>
      </c>
      <c r="V203" s="141">
        <f>V$190*Scenarios!$E$30</f>
        <v>0</v>
      </c>
      <c r="W203" s="141">
        <f>W$190*Scenarios!$E$30</f>
        <v>0</v>
      </c>
      <c r="X203" s="141">
        <f>X$190*Scenarios!$E$30</f>
        <v>0</v>
      </c>
      <c r="Y203" s="141">
        <f>Y$190*Scenarios!$E$30</f>
        <v>0</v>
      </c>
      <c r="Z203" s="141">
        <f>Z$190*Scenarios!$E$30</f>
        <v>0</v>
      </c>
      <c r="AA203" s="141">
        <f>AA$190*Scenarios!$E$30</f>
        <v>0</v>
      </c>
      <c r="AB203" s="141">
        <f>AB$190*Scenarios!$E$30</f>
        <v>0</v>
      </c>
      <c r="AC203" s="141">
        <f>AC$190*Scenarios!$E$30</f>
        <v>0</v>
      </c>
      <c r="AD203" s="141">
        <f>AD$190*Scenarios!$E$30</f>
        <v>0</v>
      </c>
      <c r="AE203" s="141">
        <f>AE$190*Scenarios!$E$30</f>
        <v>0</v>
      </c>
      <c r="AF203" s="142"/>
      <c r="AG203" s="142"/>
      <c r="AH203" s="142"/>
      <c r="AI203" s="142"/>
    </row>
    <row r="204" spans="1:35" customFormat="1" ht="14.25" x14ac:dyDescent="0.45">
      <c r="B204" s="14" t="s">
        <v>53</v>
      </c>
      <c r="C204" s="14" t="s">
        <v>4</v>
      </c>
      <c r="D204" s="15" t="s">
        <v>2880</v>
      </c>
      <c r="E204" s="16" t="s">
        <v>51</v>
      </c>
      <c r="F204" s="14" t="s">
        <v>2879</v>
      </c>
      <c r="G204" s="17"/>
      <c r="H204" s="129" t="str">
        <f>Settings!$B$3&amp;".mit.shpf.nga.ind.1"</f>
        <v>egy.mit.shpf.nga.ind.1</v>
      </c>
      <c r="K204" s="141"/>
      <c r="L204" s="141">
        <f>L$190*Scenarios!$E$31</f>
        <v>0</v>
      </c>
      <c r="M204" s="141">
        <f>M$190*Scenarios!$E$31</f>
        <v>0</v>
      </c>
      <c r="N204" s="141">
        <f>N$190*Scenarios!$E$31</f>
        <v>0</v>
      </c>
      <c r="O204" s="141">
        <f>O$190*Scenarios!$E$31</f>
        <v>0</v>
      </c>
      <c r="P204" s="141">
        <f>P$190*Scenarios!$E$31</f>
        <v>0</v>
      </c>
      <c r="Q204" s="141">
        <f>Q$190*Scenarios!$E$31</f>
        <v>0</v>
      </c>
      <c r="R204" s="141">
        <f>R$190*Scenarios!$E$31</f>
        <v>0</v>
      </c>
      <c r="S204" s="141">
        <f>S$190*Scenarios!$E$31</f>
        <v>0</v>
      </c>
      <c r="T204" s="141">
        <f>T$190*Scenarios!$E$31</f>
        <v>0</v>
      </c>
      <c r="U204" s="141">
        <f>U$190*Scenarios!$E$31</f>
        <v>0</v>
      </c>
      <c r="V204" s="141">
        <f>V$190*Scenarios!$E$31</f>
        <v>0</v>
      </c>
      <c r="W204" s="141">
        <f>W$190*Scenarios!$E$31</f>
        <v>0</v>
      </c>
      <c r="X204" s="141">
        <f>X$190*Scenarios!$E$31</f>
        <v>0</v>
      </c>
      <c r="Y204" s="141">
        <f>Y$190*Scenarios!$E$31</f>
        <v>0</v>
      </c>
      <c r="Z204" s="141">
        <f>Z$190*Scenarios!$E$31</f>
        <v>0</v>
      </c>
      <c r="AA204" s="141">
        <f>AA$190*Scenarios!$E$31</f>
        <v>0</v>
      </c>
      <c r="AB204" s="141">
        <f>AB$190*Scenarios!$E$31</f>
        <v>0</v>
      </c>
      <c r="AC204" s="141">
        <f>AC$190*Scenarios!$E$31</f>
        <v>0</v>
      </c>
      <c r="AD204" s="141">
        <f>AD$190*Scenarios!$E$31</f>
        <v>0</v>
      </c>
      <c r="AE204" s="141">
        <f>AE$190*Scenarios!$E$31</f>
        <v>0</v>
      </c>
      <c r="AF204" s="142"/>
      <c r="AG204" s="142"/>
      <c r="AH204" s="142"/>
      <c r="AI204" s="142"/>
    </row>
    <row r="205" spans="1:35" customFormat="1" ht="14.25" x14ac:dyDescent="0.45">
      <c r="B205" s="14" t="s">
        <v>55</v>
      </c>
      <c r="C205" s="14" t="s">
        <v>4</v>
      </c>
      <c r="D205" s="15" t="s">
        <v>2881</v>
      </c>
      <c r="E205" s="16" t="s">
        <v>57</v>
      </c>
      <c r="F205" s="14" t="s">
        <v>2879</v>
      </c>
      <c r="G205" s="17"/>
      <c r="H205" s="129" t="str">
        <f>Settings!$B$3&amp;".mit.shpf.gso.ind.1"</f>
        <v>egy.mit.shpf.gso.ind.1</v>
      </c>
      <c r="K205" s="141"/>
      <c r="L205" s="141">
        <f>L$190*Scenarios!$E$32</f>
        <v>0</v>
      </c>
      <c r="M205" s="141">
        <f>M$190*Scenarios!$E$32</f>
        <v>0</v>
      </c>
      <c r="N205" s="141">
        <f>N$190*Scenarios!$E$32</f>
        <v>0</v>
      </c>
      <c r="O205" s="141">
        <f>O$190*Scenarios!$E$32</f>
        <v>0</v>
      </c>
      <c r="P205" s="141">
        <f>P$190*Scenarios!$E$32</f>
        <v>0</v>
      </c>
      <c r="Q205" s="141">
        <f>Q$190*Scenarios!$E$32</f>
        <v>0</v>
      </c>
      <c r="R205" s="141">
        <f>R$190*Scenarios!$E$32</f>
        <v>0</v>
      </c>
      <c r="S205" s="141">
        <f>S$190*Scenarios!$E$32</f>
        <v>0</v>
      </c>
      <c r="T205" s="141">
        <f>T$190*Scenarios!$E$32</f>
        <v>0</v>
      </c>
      <c r="U205" s="141">
        <f>U$190*Scenarios!$E$32</f>
        <v>0</v>
      </c>
      <c r="V205" s="141">
        <f>V$190*Scenarios!$E$32</f>
        <v>0</v>
      </c>
      <c r="W205" s="141">
        <f>W$190*Scenarios!$E$32</f>
        <v>0</v>
      </c>
      <c r="X205" s="141">
        <f>X$190*Scenarios!$E$32</f>
        <v>0</v>
      </c>
      <c r="Y205" s="141">
        <f>Y$190*Scenarios!$E$32</f>
        <v>0</v>
      </c>
      <c r="Z205" s="141">
        <f>Z$190*Scenarios!$E$32</f>
        <v>0</v>
      </c>
      <c r="AA205" s="141">
        <f>AA$190*Scenarios!$E$32</f>
        <v>0</v>
      </c>
      <c r="AB205" s="141">
        <f>AB$190*Scenarios!$E$32</f>
        <v>0</v>
      </c>
      <c r="AC205" s="141">
        <f>AC$190*Scenarios!$E$32</f>
        <v>0</v>
      </c>
      <c r="AD205" s="141">
        <f>AD$190*Scenarios!$E$32</f>
        <v>0</v>
      </c>
      <c r="AE205" s="141">
        <f>AE$190*Scenarios!$E$32</f>
        <v>0</v>
      </c>
      <c r="AF205" s="142"/>
      <c r="AG205" s="142"/>
      <c r="AH205" s="142"/>
      <c r="AI205" s="142"/>
    </row>
    <row r="206" spans="1:35" customFormat="1" ht="14.25" x14ac:dyDescent="0.45">
      <c r="B206" s="14" t="s">
        <v>58</v>
      </c>
      <c r="C206" s="14" t="s">
        <v>4</v>
      </c>
      <c r="D206" s="15" t="s">
        <v>2882</v>
      </c>
      <c r="E206" s="16" t="s">
        <v>57</v>
      </c>
      <c r="F206" s="14" t="s">
        <v>2879</v>
      </c>
      <c r="G206" s="17"/>
      <c r="H206" s="129" t="str">
        <f>Settings!$B$3&amp;".mit.shpf.die.ind.1"</f>
        <v>egy.mit.shpf.die.ind.1</v>
      </c>
      <c r="K206" s="141"/>
      <c r="L206" s="141">
        <f>L$190*Scenarios!$E$33</f>
        <v>0</v>
      </c>
      <c r="M206" s="141">
        <f>M$190*Scenarios!$E$33</f>
        <v>0</v>
      </c>
      <c r="N206" s="141">
        <f>N$190*Scenarios!$E$33</f>
        <v>0</v>
      </c>
      <c r="O206" s="141">
        <f>O$190*Scenarios!$E$33</f>
        <v>0</v>
      </c>
      <c r="P206" s="141">
        <f>P$190*Scenarios!$E$33</f>
        <v>0</v>
      </c>
      <c r="Q206" s="141">
        <f>Q$190*Scenarios!$E$33</f>
        <v>0</v>
      </c>
      <c r="R206" s="141">
        <f>R$190*Scenarios!$E$33</f>
        <v>0</v>
      </c>
      <c r="S206" s="141">
        <f>S$190*Scenarios!$E$33</f>
        <v>0</v>
      </c>
      <c r="T206" s="141">
        <f>T$190*Scenarios!$E$33</f>
        <v>0</v>
      </c>
      <c r="U206" s="141">
        <f>U$190*Scenarios!$E$33</f>
        <v>0</v>
      </c>
      <c r="V206" s="141">
        <f>V$190*Scenarios!$E$33</f>
        <v>0</v>
      </c>
      <c r="W206" s="141">
        <f>W$190*Scenarios!$E$33</f>
        <v>0</v>
      </c>
      <c r="X206" s="141">
        <f>X$190*Scenarios!$E$33</f>
        <v>0</v>
      </c>
      <c r="Y206" s="141">
        <f>Y$190*Scenarios!$E$33</f>
        <v>0</v>
      </c>
      <c r="Z206" s="141">
        <f>Z$190*Scenarios!$E$33</f>
        <v>0</v>
      </c>
      <c r="AA206" s="141">
        <f>AA$190*Scenarios!$E$33</f>
        <v>0</v>
      </c>
      <c r="AB206" s="141">
        <f>AB$190*Scenarios!$E$33</f>
        <v>0</v>
      </c>
      <c r="AC206" s="141">
        <f>AC$190*Scenarios!$E$33</f>
        <v>0</v>
      </c>
      <c r="AD206" s="141">
        <f>AD$190*Scenarios!$E$33</f>
        <v>0</v>
      </c>
      <c r="AE206" s="141">
        <f>AE$190*Scenarios!$E$33</f>
        <v>0</v>
      </c>
      <c r="AF206" s="142"/>
      <c r="AG206" s="142"/>
      <c r="AH206" s="142"/>
      <c r="AI206" s="142"/>
    </row>
    <row r="207" spans="1:35" customFormat="1" ht="14.25" x14ac:dyDescent="0.45">
      <c r="B207" s="14" t="s">
        <v>60</v>
      </c>
      <c r="C207" s="14" t="s">
        <v>4</v>
      </c>
      <c r="D207" s="15" t="s">
        <v>2883</v>
      </c>
      <c r="E207" s="16" t="s">
        <v>57</v>
      </c>
      <c r="F207" s="14" t="s">
        <v>2879</v>
      </c>
      <c r="G207" s="17"/>
      <c r="H207" s="129" t="str">
        <f>Settings!$B$3&amp;".mit.shpf.lpg.ind.1"</f>
        <v>egy.mit.shpf.lpg.ind.1</v>
      </c>
      <c r="K207" s="141"/>
      <c r="L207" s="141">
        <f>L$190*Scenarios!$E$34</f>
        <v>0</v>
      </c>
      <c r="M207" s="141">
        <f>M$190*Scenarios!$E$34</f>
        <v>0</v>
      </c>
      <c r="N207" s="141">
        <f>N$190*Scenarios!$E$34</f>
        <v>0</v>
      </c>
      <c r="O207" s="141">
        <f>O$190*Scenarios!$E$34</f>
        <v>0</v>
      </c>
      <c r="P207" s="141">
        <f>P$190*Scenarios!$E$34</f>
        <v>0</v>
      </c>
      <c r="Q207" s="141">
        <f>Q$190*Scenarios!$E$34</f>
        <v>0</v>
      </c>
      <c r="R207" s="141">
        <f>R$190*Scenarios!$E$34</f>
        <v>0</v>
      </c>
      <c r="S207" s="141">
        <f>S$190*Scenarios!$E$34</f>
        <v>0</v>
      </c>
      <c r="T207" s="141">
        <f>T$190*Scenarios!$E$34</f>
        <v>0</v>
      </c>
      <c r="U207" s="141">
        <f>U$190*Scenarios!$E$34</f>
        <v>0</v>
      </c>
      <c r="V207" s="141">
        <f>V$190*Scenarios!$E$34</f>
        <v>0</v>
      </c>
      <c r="W207" s="141">
        <f>W$190*Scenarios!$E$34</f>
        <v>0</v>
      </c>
      <c r="X207" s="141">
        <f>X$190*Scenarios!$E$34</f>
        <v>0</v>
      </c>
      <c r="Y207" s="141">
        <f>Y$190*Scenarios!$E$34</f>
        <v>0</v>
      </c>
      <c r="Z207" s="141">
        <f>Z$190*Scenarios!$E$34</f>
        <v>0</v>
      </c>
      <c r="AA207" s="141">
        <f>AA$190*Scenarios!$E$34</f>
        <v>0</v>
      </c>
      <c r="AB207" s="141">
        <f>AB$190*Scenarios!$E$34</f>
        <v>0</v>
      </c>
      <c r="AC207" s="141">
        <f>AC$190*Scenarios!$E$34</f>
        <v>0</v>
      </c>
      <c r="AD207" s="141">
        <f>AD$190*Scenarios!$E$34</f>
        <v>0</v>
      </c>
      <c r="AE207" s="141">
        <f>AE$190*Scenarios!$E$34</f>
        <v>0</v>
      </c>
      <c r="AF207" s="142"/>
      <c r="AG207" s="142"/>
      <c r="AH207" s="142"/>
      <c r="AI207" s="142"/>
    </row>
    <row r="208" spans="1:35" customFormat="1" ht="14.25" x14ac:dyDescent="0.45">
      <c r="B208" s="14" t="s">
        <v>62</v>
      </c>
      <c r="C208" s="14" t="s">
        <v>4</v>
      </c>
      <c r="D208" s="15" t="s">
        <v>2884</v>
      </c>
      <c r="E208" s="16" t="s">
        <v>57</v>
      </c>
      <c r="F208" s="14" t="s">
        <v>2879</v>
      </c>
      <c r="G208" s="17"/>
      <c r="H208" s="129" t="str">
        <f>Settings!$B$3&amp;".mit.shpf.ker.ind.1"</f>
        <v>egy.mit.shpf.ker.ind.1</v>
      </c>
      <c r="K208" s="141"/>
      <c r="L208" s="141">
        <f>L$190*Scenarios!$E$35</f>
        <v>0</v>
      </c>
      <c r="M208" s="141">
        <f>M$190*Scenarios!$E$35</f>
        <v>0</v>
      </c>
      <c r="N208" s="141">
        <f>N$190*Scenarios!$E$35</f>
        <v>0</v>
      </c>
      <c r="O208" s="141">
        <f>O$190*Scenarios!$E$35</f>
        <v>0</v>
      </c>
      <c r="P208" s="141">
        <f>P$190*Scenarios!$E$35</f>
        <v>0</v>
      </c>
      <c r="Q208" s="141">
        <f>Q$190*Scenarios!$E$35</f>
        <v>0</v>
      </c>
      <c r="R208" s="141">
        <f>R$190*Scenarios!$E$35</f>
        <v>0</v>
      </c>
      <c r="S208" s="141">
        <f>S$190*Scenarios!$E$35</f>
        <v>0</v>
      </c>
      <c r="T208" s="141">
        <f>T$190*Scenarios!$E$35</f>
        <v>0</v>
      </c>
      <c r="U208" s="141">
        <f>U$190*Scenarios!$E$35</f>
        <v>0</v>
      </c>
      <c r="V208" s="141">
        <f>V$190*Scenarios!$E$35</f>
        <v>0</v>
      </c>
      <c r="W208" s="141">
        <f>W$190*Scenarios!$E$35</f>
        <v>0</v>
      </c>
      <c r="X208" s="141">
        <f>X$190*Scenarios!$E$35</f>
        <v>0</v>
      </c>
      <c r="Y208" s="141">
        <f>Y$190*Scenarios!$E$35</f>
        <v>0</v>
      </c>
      <c r="Z208" s="141">
        <f>Z$190*Scenarios!$E$35</f>
        <v>0</v>
      </c>
      <c r="AA208" s="141">
        <f>AA$190*Scenarios!$E$35</f>
        <v>0</v>
      </c>
      <c r="AB208" s="141">
        <f>AB$190*Scenarios!$E$35</f>
        <v>0</v>
      </c>
      <c r="AC208" s="141">
        <f>AC$190*Scenarios!$E$35</f>
        <v>0</v>
      </c>
      <c r="AD208" s="141">
        <f>AD$190*Scenarios!$E$35</f>
        <v>0</v>
      </c>
      <c r="AE208" s="141">
        <f>AE$190*Scenarios!$E$35</f>
        <v>0</v>
      </c>
      <c r="AF208" s="142"/>
      <c r="AG208" s="142"/>
      <c r="AH208" s="142"/>
      <c r="AI208" s="142"/>
    </row>
    <row r="209" spans="1:35" customFormat="1" ht="14.25" x14ac:dyDescent="0.45">
      <c r="B209" s="14" t="s">
        <v>64</v>
      </c>
      <c r="C209" s="14" t="s">
        <v>4</v>
      </c>
      <c r="D209" s="15" t="s">
        <v>2885</v>
      </c>
      <c r="E209" s="16" t="s">
        <v>66</v>
      </c>
      <c r="F209" s="14" t="s">
        <v>2879</v>
      </c>
      <c r="G209" s="17"/>
      <c r="H209" s="129" t="str">
        <f>Settings!$B$3&amp;".mit.shpf.oop.ind.1"</f>
        <v>egy.mit.shpf.oop.ind.1</v>
      </c>
      <c r="K209" s="141"/>
      <c r="L209" s="141">
        <f>L$190*Scenarios!$E$36</f>
        <v>0</v>
      </c>
      <c r="M209" s="141">
        <f>M$190*Scenarios!$E$36</f>
        <v>0</v>
      </c>
      <c r="N209" s="141">
        <f>N$190*Scenarios!$E$36</f>
        <v>0</v>
      </c>
      <c r="O209" s="141">
        <f>O$190*Scenarios!$E$36</f>
        <v>0</v>
      </c>
      <c r="P209" s="141">
        <f>P$190*Scenarios!$E$36</f>
        <v>0</v>
      </c>
      <c r="Q209" s="141">
        <f>Q$190*Scenarios!$E$36</f>
        <v>0</v>
      </c>
      <c r="R209" s="141">
        <f>R$190*Scenarios!$E$36</f>
        <v>0</v>
      </c>
      <c r="S209" s="141">
        <f>S$190*Scenarios!$E$36</f>
        <v>0</v>
      </c>
      <c r="T209" s="141">
        <f>T$190*Scenarios!$E$36</f>
        <v>0</v>
      </c>
      <c r="U209" s="141">
        <f>U$190*Scenarios!$E$36</f>
        <v>0</v>
      </c>
      <c r="V209" s="141">
        <f>V$190*Scenarios!$E$36</f>
        <v>0</v>
      </c>
      <c r="W209" s="141">
        <f>W$190*Scenarios!$E$36</f>
        <v>0</v>
      </c>
      <c r="X209" s="141">
        <f>X$190*Scenarios!$E$36</f>
        <v>0</v>
      </c>
      <c r="Y209" s="141">
        <f>Y$190*Scenarios!$E$36</f>
        <v>0</v>
      </c>
      <c r="Z209" s="141">
        <f>Z$190*Scenarios!$E$36</f>
        <v>0</v>
      </c>
      <c r="AA209" s="141">
        <f>AA$190*Scenarios!$E$36</f>
        <v>0</v>
      </c>
      <c r="AB209" s="141">
        <f>AB$190*Scenarios!$E$36</f>
        <v>0</v>
      </c>
      <c r="AC209" s="141">
        <f>AC$190*Scenarios!$E$36</f>
        <v>0</v>
      </c>
      <c r="AD209" s="141">
        <f>AD$190*Scenarios!$E$36</f>
        <v>0</v>
      </c>
      <c r="AE209" s="141">
        <f>AE$190*Scenarios!$E$36</f>
        <v>0</v>
      </c>
      <c r="AF209" s="142"/>
      <c r="AG209" s="142"/>
      <c r="AH209" s="142"/>
      <c r="AI209" s="142"/>
    </row>
    <row r="210" spans="1:35" customFormat="1" ht="14.25" x14ac:dyDescent="0.45">
      <c r="B210" s="14" t="s">
        <v>67</v>
      </c>
      <c r="C210" s="14" t="s">
        <v>4</v>
      </c>
      <c r="D210" s="15" t="s">
        <v>2886</v>
      </c>
      <c r="E210" s="16" t="s">
        <v>51</v>
      </c>
      <c r="F210" s="14" t="s">
        <v>2879</v>
      </c>
      <c r="G210" s="17"/>
      <c r="H210" s="129" t="str">
        <f>Settings!$B$3&amp;".mit.shpf.bio.ind.1"</f>
        <v>egy.mit.shpf.bio.ind.1</v>
      </c>
      <c r="K210" s="141"/>
      <c r="L210" s="141">
        <f>L$190*Scenarios!$E$37</f>
        <v>0</v>
      </c>
      <c r="M210" s="141">
        <f>M$190*Scenarios!$E$37</f>
        <v>0</v>
      </c>
      <c r="N210" s="141">
        <f>N$190*Scenarios!$E$37</f>
        <v>0</v>
      </c>
      <c r="O210" s="141">
        <f>O$190*Scenarios!$E$37</f>
        <v>0</v>
      </c>
      <c r="P210" s="141">
        <f>P$190*Scenarios!$E$37</f>
        <v>0</v>
      </c>
      <c r="Q210" s="141">
        <f>Q$190*Scenarios!$E$37</f>
        <v>0</v>
      </c>
      <c r="R210" s="141">
        <f>R$190*Scenarios!$E$37</f>
        <v>0</v>
      </c>
      <c r="S210" s="141">
        <f>S$190*Scenarios!$E$37</f>
        <v>0</v>
      </c>
      <c r="T210" s="141">
        <f>T$190*Scenarios!$E$37</f>
        <v>0</v>
      </c>
      <c r="U210" s="141">
        <f>U$190*Scenarios!$E$37</f>
        <v>0</v>
      </c>
      <c r="V210" s="141">
        <f>V$190*Scenarios!$E$37</f>
        <v>0</v>
      </c>
      <c r="W210" s="141">
        <f>W$190*Scenarios!$E$37</f>
        <v>0</v>
      </c>
      <c r="X210" s="141">
        <f>X$190*Scenarios!$E$37</f>
        <v>0</v>
      </c>
      <c r="Y210" s="141">
        <f>Y$190*Scenarios!$E$37</f>
        <v>0</v>
      </c>
      <c r="Z210" s="141">
        <f>Z$190*Scenarios!$E$37</f>
        <v>0</v>
      </c>
      <c r="AA210" s="141">
        <f>AA$190*Scenarios!$E$37</f>
        <v>0</v>
      </c>
      <c r="AB210" s="141">
        <f>AB$190*Scenarios!$E$37</f>
        <v>0</v>
      </c>
      <c r="AC210" s="141">
        <f>AC$190*Scenarios!$E$37</f>
        <v>0</v>
      </c>
      <c r="AD210" s="141">
        <f>AD$190*Scenarios!$E$37</f>
        <v>0</v>
      </c>
      <c r="AE210" s="141">
        <f>AE$190*Scenarios!$E$37</f>
        <v>0</v>
      </c>
      <c r="AF210" s="142"/>
      <c r="AG210" s="142"/>
      <c r="AH210" s="142"/>
      <c r="AI210" s="142"/>
    </row>
    <row r="211" spans="1:35" customFormat="1" ht="14.25" x14ac:dyDescent="0.45">
      <c r="B211" s="14" t="s">
        <v>69</v>
      </c>
      <c r="C211" s="14" t="s">
        <v>4</v>
      </c>
      <c r="D211" s="15" t="s">
        <v>2887</v>
      </c>
      <c r="E211" s="16" t="s">
        <v>71</v>
      </c>
      <c r="F211" s="14" t="s">
        <v>2879</v>
      </c>
      <c r="G211" s="17"/>
      <c r="H211" s="129" t="str">
        <f>Settings!$B$3&amp;".mit.shpf.ren.ind.1"</f>
        <v>egy.mit.shpf.ren.ind.1</v>
      </c>
      <c r="K211" s="141"/>
      <c r="L211" s="141">
        <f>L$190*Scenarios!$E$38</f>
        <v>0</v>
      </c>
      <c r="M211" s="141">
        <f>M$190*Scenarios!$E$38</f>
        <v>0</v>
      </c>
      <c r="N211" s="141">
        <f>N$190*Scenarios!$E$38</f>
        <v>0</v>
      </c>
      <c r="O211" s="141">
        <f>O$190*Scenarios!$E$38</f>
        <v>0</v>
      </c>
      <c r="P211" s="141">
        <f>P$190*Scenarios!$E$38</f>
        <v>0</v>
      </c>
      <c r="Q211" s="141">
        <f>Q$190*Scenarios!$E$38</f>
        <v>0</v>
      </c>
      <c r="R211" s="141">
        <f>R$190*Scenarios!$E$38</f>
        <v>0</v>
      </c>
      <c r="S211" s="141">
        <f>S$190*Scenarios!$E$38</f>
        <v>0</v>
      </c>
      <c r="T211" s="141">
        <f>T$190*Scenarios!$E$38</f>
        <v>0</v>
      </c>
      <c r="U211" s="141">
        <f>U$190*Scenarios!$E$38</f>
        <v>0</v>
      </c>
      <c r="V211" s="141">
        <f>V$190*Scenarios!$E$38</f>
        <v>0</v>
      </c>
      <c r="W211" s="141">
        <f>W$190*Scenarios!$E$38</f>
        <v>0</v>
      </c>
      <c r="X211" s="141">
        <f>X$190*Scenarios!$E$38</f>
        <v>0</v>
      </c>
      <c r="Y211" s="141">
        <f>Y$190*Scenarios!$E$38</f>
        <v>0</v>
      </c>
      <c r="Z211" s="141">
        <f>Z$190*Scenarios!$E$38</f>
        <v>0</v>
      </c>
      <c r="AA211" s="141">
        <f>AA$190*Scenarios!$E$38</f>
        <v>0</v>
      </c>
      <c r="AB211" s="141">
        <f>AB$190*Scenarios!$E$38</f>
        <v>0</v>
      </c>
      <c r="AC211" s="141">
        <f>AC$190*Scenarios!$E$38</f>
        <v>0</v>
      </c>
      <c r="AD211" s="141">
        <f>AD$190*Scenarios!$E$38</f>
        <v>0</v>
      </c>
      <c r="AE211" s="141">
        <f>AE$190*Scenarios!$E$38</f>
        <v>0</v>
      </c>
      <c r="AF211" s="142"/>
      <c r="AG211" s="142"/>
      <c r="AH211" s="142"/>
      <c r="AI211" s="142"/>
    </row>
    <row r="212" spans="1:35" x14ac:dyDescent="0.35"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</row>
    <row r="213" spans="1:35" x14ac:dyDescent="0.35"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</row>
    <row r="214" spans="1:35" x14ac:dyDescent="0.35"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</row>
    <row r="215" spans="1:35" customFormat="1" ht="18" customHeight="1" x14ac:dyDescent="0.45">
      <c r="A215" s="8"/>
      <c r="B215" s="9" t="s">
        <v>2888</v>
      </c>
      <c r="C215" s="10"/>
      <c r="D215" s="10"/>
      <c r="E215" s="10"/>
      <c r="F215" s="10"/>
      <c r="G215" s="10"/>
      <c r="H215" s="10"/>
      <c r="I215" s="10"/>
      <c r="J215" s="10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</row>
    <row r="216" spans="1:35" x14ac:dyDescent="0.35"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</row>
    <row r="217" spans="1:35" customFormat="1" ht="14.25" x14ac:dyDescent="0.45">
      <c r="A217" s="11"/>
      <c r="B217" s="6"/>
      <c r="C217" s="7" t="s">
        <v>2202</v>
      </c>
      <c r="D217" s="6" t="s">
        <v>1504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8">
        <v>2021</v>
      </c>
      <c r="L217" s="139">
        <v>2022</v>
      </c>
      <c r="M217" s="138">
        <v>2023</v>
      </c>
      <c r="N217" s="138">
        <v>2024</v>
      </c>
      <c r="O217" s="138">
        <v>2025</v>
      </c>
      <c r="P217" s="138">
        <v>2026</v>
      </c>
      <c r="Q217" s="138">
        <v>2027</v>
      </c>
      <c r="R217" s="138">
        <v>2028</v>
      </c>
      <c r="S217" s="138">
        <v>2029</v>
      </c>
      <c r="T217" s="138">
        <v>2030</v>
      </c>
      <c r="U217" s="138">
        <v>2031</v>
      </c>
      <c r="V217" s="138">
        <v>2032</v>
      </c>
      <c r="W217" s="138">
        <v>2033</v>
      </c>
      <c r="X217" s="138">
        <v>2034</v>
      </c>
      <c r="Y217" s="138">
        <v>2035</v>
      </c>
      <c r="Z217" s="138">
        <v>2036</v>
      </c>
      <c r="AA217" s="138">
        <v>2037</v>
      </c>
      <c r="AB217" s="138">
        <v>2038</v>
      </c>
      <c r="AC217" s="138">
        <v>2039</v>
      </c>
      <c r="AD217" s="138">
        <v>2040</v>
      </c>
      <c r="AE217" s="138">
        <v>2041</v>
      </c>
      <c r="AF217" s="138">
        <v>2042</v>
      </c>
      <c r="AG217" s="138">
        <v>2043</v>
      </c>
      <c r="AH217" s="138">
        <v>2044</v>
      </c>
      <c r="AI217" s="138">
        <v>2045</v>
      </c>
    </row>
    <row r="218" spans="1:35" customFormat="1" ht="14.25" x14ac:dyDescent="0.45">
      <c r="B218" s="14" t="s">
        <v>1805</v>
      </c>
      <c r="C218" s="14"/>
      <c r="D218" s="15" t="s">
        <v>2573</v>
      </c>
      <c r="E218" s="16" t="s">
        <v>79</v>
      </c>
      <c r="F218" s="14" t="s">
        <v>1805</v>
      </c>
      <c r="G218" s="129" t="s">
        <v>1808</v>
      </c>
      <c r="H218" s="17"/>
      <c r="I218" t="s">
        <v>2204</v>
      </c>
      <c r="K218" s="140"/>
      <c r="L218" s="141">
        <f>INDEX(Data_Prices!L:L,MATCH($G218,Data_Prices!$A:$A,0))</f>
        <v>0</v>
      </c>
      <c r="M218" s="141">
        <f>INDEX(Data_Prices!M:M,MATCH($G218,Data_Prices!$A:$A,0))</f>
        <v>0</v>
      </c>
      <c r="N218" s="141">
        <f>INDEX(Data_Prices!N:N,MATCH($G218,Data_Prices!$A:$A,0))</f>
        <v>0</v>
      </c>
      <c r="O218" s="141">
        <f>INDEX(Data_Prices!O:O,MATCH($G218,Data_Prices!$A:$A,0))</f>
        <v>0</v>
      </c>
      <c r="P218" s="141">
        <f>INDEX(Data_Prices!P:P,MATCH($G218,Data_Prices!$A:$A,0))</f>
        <v>0</v>
      </c>
      <c r="Q218" s="141">
        <f>INDEX(Data_Prices!Q:Q,MATCH($G218,Data_Prices!$A:$A,0))</f>
        <v>0</v>
      </c>
      <c r="R218" s="141">
        <f>INDEX(Data_Prices!R:R,MATCH($G218,Data_Prices!$A:$A,0))</f>
        <v>0</v>
      </c>
      <c r="S218" s="141">
        <f>INDEX(Data_Prices!S:S,MATCH($G218,Data_Prices!$A:$A,0))</f>
        <v>0</v>
      </c>
      <c r="T218" s="141">
        <f>INDEX(Data_Prices!T:T,MATCH($G218,Data_Prices!$A:$A,0))</f>
        <v>0</v>
      </c>
      <c r="U218" s="141">
        <f>INDEX(Data_Prices!U:U,MATCH($G218,Data_Prices!$A:$A,0))</f>
        <v>0</v>
      </c>
      <c r="V218" s="141">
        <f>INDEX(Data_Prices!V:V,MATCH($G218,Data_Prices!$A:$A,0))</f>
        <v>0</v>
      </c>
      <c r="W218" s="141">
        <f>INDEX(Data_Prices!W:W,MATCH($G218,Data_Prices!$A:$A,0))</f>
        <v>0</v>
      </c>
      <c r="X218" s="141">
        <f>INDEX(Data_Prices!X:X,MATCH($G218,Data_Prices!$A:$A,0))</f>
        <v>0</v>
      </c>
      <c r="Y218" s="141">
        <f>INDEX(Data_Prices!Y:Y,MATCH($G218,Data_Prices!$A:$A,0))</f>
        <v>0</v>
      </c>
      <c r="Z218" s="141">
        <f>INDEX(Data_Prices!Z:Z,MATCH($G218,Data_Prices!$A:$A,0))</f>
        <v>0</v>
      </c>
      <c r="AA218" s="141">
        <f>INDEX(Data_Prices!AA:AA,MATCH($G218,Data_Prices!$A:$A,0))</f>
        <v>0</v>
      </c>
      <c r="AB218" s="141">
        <f>INDEX(Data_Prices!AB:AB,MATCH($G218,Data_Prices!$A:$A,0))</f>
        <v>0</v>
      </c>
      <c r="AC218" s="141">
        <f>INDEX(Data_Prices!AC:AC,MATCH($G218,Data_Prices!$A:$A,0))</f>
        <v>0</v>
      </c>
      <c r="AD218" s="141">
        <f>INDEX(Data_Prices!AD:AD,MATCH($G218,Data_Prices!$A:$A,0))</f>
        <v>0</v>
      </c>
      <c r="AE218" s="141">
        <f>INDEX(Data_Prices!AE:AE,MATCH($G218,Data_Prices!$A:$A,0))</f>
        <v>0</v>
      </c>
      <c r="AF218" s="142"/>
      <c r="AG218" s="142"/>
      <c r="AH218" s="142"/>
      <c r="AI218" s="142"/>
    </row>
    <row r="219" spans="1:35" customFormat="1" ht="14.25" x14ac:dyDescent="0.45">
      <c r="B219" s="14" t="s">
        <v>1413</v>
      </c>
      <c r="C219" s="14"/>
      <c r="D219" s="15" t="s">
        <v>2574</v>
      </c>
      <c r="E219" s="16" t="s">
        <v>1414</v>
      </c>
      <c r="F219" s="14" t="s">
        <v>1413</v>
      </c>
      <c r="G219" s="17"/>
      <c r="H219" s="17"/>
      <c r="I219" t="s">
        <v>2889</v>
      </c>
      <c r="K219" s="140"/>
      <c r="L219" s="141">
        <f>Mitigation_Industry!L$646</f>
        <v>0</v>
      </c>
      <c r="M219" s="141">
        <f>Mitigation_Industry!M$646</f>
        <v>0</v>
      </c>
      <c r="N219" s="141">
        <f>Mitigation_Industry!N$646</f>
        <v>0</v>
      </c>
      <c r="O219" s="141">
        <f>Mitigation_Industry!O$646</f>
        <v>0</v>
      </c>
      <c r="P219" s="141">
        <f>Mitigation_Industry!P$646</f>
        <v>0</v>
      </c>
      <c r="Q219" s="141">
        <f>Mitigation_Industry!Q$646</f>
        <v>12.5</v>
      </c>
      <c r="R219" s="141">
        <f>Mitigation_Industry!R$646</f>
        <v>25</v>
      </c>
      <c r="S219" s="141">
        <f>Mitigation_Industry!S$646</f>
        <v>37.5</v>
      </c>
      <c r="T219" s="141">
        <f>Mitigation_Industry!T$646</f>
        <v>50</v>
      </c>
      <c r="U219" s="141">
        <f>Mitigation_Industry!U$646</f>
        <v>62.5</v>
      </c>
      <c r="V219" s="141">
        <f>Mitigation_Industry!V$646</f>
        <v>75</v>
      </c>
      <c r="W219" s="141">
        <f>Mitigation_Industry!W$646</f>
        <v>87.5</v>
      </c>
      <c r="X219" s="141">
        <f>Mitigation_Industry!X$646</f>
        <v>100</v>
      </c>
      <c r="Y219" s="141">
        <f>Mitigation_Industry!Y$646</f>
        <v>112.5</v>
      </c>
      <c r="Z219" s="141">
        <f>Mitigation_Industry!Z$646</f>
        <v>125</v>
      </c>
      <c r="AA219" s="141">
        <f>Mitigation_Industry!AA$646</f>
        <v>137.5</v>
      </c>
      <c r="AB219" s="141">
        <f>Mitigation_Industry!AB$646</f>
        <v>150</v>
      </c>
      <c r="AC219" s="141">
        <f>Mitigation_Industry!AC$646</f>
        <v>162.5</v>
      </c>
      <c r="AD219" s="141">
        <f>Mitigation_Industry!AD$646</f>
        <v>175</v>
      </c>
      <c r="AE219" s="141">
        <f>Mitigation_Industry!AE$646</f>
        <v>187.5</v>
      </c>
      <c r="AF219" s="142"/>
      <c r="AG219" s="142"/>
      <c r="AH219" s="142"/>
      <c r="AI219" s="142"/>
    </row>
    <row r="220" spans="1:35" customFormat="1" ht="14.25" x14ac:dyDescent="0.45">
      <c r="B220" s="14" t="s">
        <v>1417</v>
      </c>
      <c r="C220" s="14"/>
      <c r="D220" s="15" t="s">
        <v>2576</v>
      </c>
      <c r="E220" s="16" t="s">
        <v>1414</v>
      </c>
      <c r="F220" s="14" t="s">
        <v>1417</v>
      </c>
      <c r="G220" s="17"/>
      <c r="H220" s="17"/>
      <c r="I220" t="s">
        <v>2890</v>
      </c>
      <c r="K220" s="140"/>
      <c r="L220" s="141">
        <f>Mitigation_Industry!L$647</f>
        <v>0</v>
      </c>
      <c r="M220" s="141">
        <f>Mitigation_Industry!M$647</f>
        <v>0</v>
      </c>
      <c r="N220" s="141">
        <f>Mitigation_Industry!N$647</f>
        <v>0</v>
      </c>
      <c r="O220" s="141">
        <f>Mitigation_Industry!O$647</f>
        <v>0</v>
      </c>
      <c r="P220" s="141">
        <f>Mitigation_Industry!P$647</f>
        <v>0</v>
      </c>
      <c r="Q220" s="141">
        <f>Mitigation_Industry!Q$647</f>
        <v>0</v>
      </c>
      <c r="R220" s="141">
        <f>Mitigation_Industry!R$647</f>
        <v>0</v>
      </c>
      <c r="S220" s="141">
        <f>Mitigation_Industry!S$647</f>
        <v>0</v>
      </c>
      <c r="T220" s="141">
        <f>Mitigation_Industry!T$647</f>
        <v>0</v>
      </c>
      <c r="U220" s="141">
        <f>Mitigation_Industry!U$647</f>
        <v>0</v>
      </c>
      <c r="V220" s="141">
        <f>Mitigation_Industry!V$647</f>
        <v>0</v>
      </c>
      <c r="W220" s="141">
        <f>Mitigation_Industry!W$647</f>
        <v>0</v>
      </c>
      <c r="X220" s="141">
        <f>Mitigation_Industry!X$647</f>
        <v>0</v>
      </c>
      <c r="Y220" s="141">
        <f>Mitigation_Industry!Y$647</f>
        <v>0</v>
      </c>
      <c r="Z220" s="141">
        <f>Mitigation_Industry!Z$647</f>
        <v>0</v>
      </c>
      <c r="AA220" s="141">
        <f>Mitigation_Industry!AA$647</f>
        <v>0</v>
      </c>
      <c r="AB220" s="141">
        <f>Mitigation_Industry!AB$647</f>
        <v>0</v>
      </c>
      <c r="AC220" s="141">
        <f>Mitigation_Industry!AC$647</f>
        <v>0</v>
      </c>
      <c r="AD220" s="141">
        <f>Mitigation_Industry!AD$647</f>
        <v>0</v>
      </c>
      <c r="AE220" s="141">
        <f>Mitigation_Industry!AE$647</f>
        <v>0</v>
      </c>
      <c r="AF220" s="142"/>
      <c r="AG220" s="142"/>
      <c r="AH220" s="142"/>
      <c r="AI220" s="142"/>
    </row>
    <row r="221" spans="1:35" customFormat="1" ht="14.25" x14ac:dyDescent="0.45">
      <c r="B221" s="14" t="s">
        <v>1791</v>
      </c>
      <c r="C221" s="14"/>
      <c r="D221" s="15" t="s">
        <v>2578</v>
      </c>
      <c r="E221" s="16" t="s">
        <v>1414</v>
      </c>
      <c r="F221" s="14" t="s">
        <v>1791</v>
      </c>
      <c r="G221" s="17"/>
      <c r="H221" s="17"/>
      <c r="I221" t="s">
        <v>2891</v>
      </c>
      <c r="K221" s="140"/>
      <c r="L221" s="141">
        <f>Mitigation_Industry!L$707</f>
        <v>0</v>
      </c>
      <c r="M221" s="141">
        <f>Mitigation_Industry!M$707</f>
        <v>0</v>
      </c>
      <c r="N221" s="141">
        <f>Mitigation_Industry!N$707</f>
        <v>0</v>
      </c>
      <c r="O221" s="141">
        <f>Mitigation_Industry!O$707</f>
        <v>0</v>
      </c>
      <c r="P221" s="141">
        <f>Mitigation_Industry!P$707</f>
        <v>0</v>
      </c>
      <c r="Q221" s="141">
        <f>Mitigation_Industry!Q$707</f>
        <v>0</v>
      </c>
      <c r="R221" s="141">
        <f>Mitigation_Industry!R$707</f>
        <v>0</v>
      </c>
      <c r="S221" s="141">
        <f>Mitigation_Industry!S$707</f>
        <v>0</v>
      </c>
      <c r="T221" s="141">
        <f>Mitigation_Industry!T$707</f>
        <v>0</v>
      </c>
      <c r="U221" s="141">
        <f>Mitigation_Industry!U$707</f>
        <v>0</v>
      </c>
      <c r="V221" s="141">
        <f>Mitigation_Industry!V$707</f>
        <v>0</v>
      </c>
      <c r="W221" s="141">
        <f>Mitigation_Industry!W$707</f>
        <v>0</v>
      </c>
      <c r="X221" s="141">
        <f>Mitigation_Industry!X$707</f>
        <v>0</v>
      </c>
      <c r="Y221" s="141">
        <f>Mitigation_Industry!Y$707</f>
        <v>0</v>
      </c>
      <c r="Z221" s="141">
        <f>Mitigation_Industry!Z$707</f>
        <v>0</v>
      </c>
      <c r="AA221" s="141">
        <f>Mitigation_Industry!AA$707</f>
        <v>0</v>
      </c>
      <c r="AB221" s="141">
        <f>Mitigation_Industry!AB$707</f>
        <v>0</v>
      </c>
      <c r="AC221" s="141">
        <f>Mitigation_Industry!AC$707</f>
        <v>0</v>
      </c>
      <c r="AD221" s="141">
        <f>Mitigation_Industry!AD$707</f>
        <v>0</v>
      </c>
      <c r="AE221" s="141">
        <f>Mitigation_Industry!AE$707</f>
        <v>0</v>
      </c>
      <c r="AF221" s="142"/>
      <c r="AG221" s="142"/>
      <c r="AH221" s="142"/>
      <c r="AI221" s="142"/>
    </row>
    <row r="222" spans="1:35" x14ac:dyDescent="0.35"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</row>
    <row r="223" spans="1:35" customFormat="1" ht="14.25" x14ac:dyDescent="0.45">
      <c r="A223" s="11"/>
      <c r="B223" s="6"/>
      <c r="C223" s="7" t="s">
        <v>2580</v>
      </c>
      <c r="D223" s="6" t="s">
        <v>1504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8">
        <v>2021</v>
      </c>
      <c r="L223" s="139">
        <v>2022</v>
      </c>
      <c r="M223" s="138">
        <v>2023</v>
      </c>
      <c r="N223" s="138">
        <v>2024</v>
      </c>
      <c r="O223" s="138">
        <v>2025</v>
      </c>
      <c r="P223" s="138">
        <v>2026</v>
      </c>
      <c r="Q223" s="138">
        <v>2027</v>
      </c>
      <c r="R223" s="138">
        <v>2028</v>
      </c>
      <c r="S223" s="138">
        <v>2029</v>
      </c>
      <c r="T223" s="138">
        <v>2030</v>
      </c>
      <c r="U223" s="138">
        <v>2031</v>
      </c>
      <c r="V223" s="138">
        <v>2032</v>
      </c>
      <c r="W223" s="138">
        <v>2033</v>
      </c>
      <c r="X223" s="138">
        <v>2034</v>
      </c>
      <c r="Y223" s="138">
        <v>2035</v>
      </c>
      <c r="Z223" s="138">
        <v>2036</v>
      </c>
      <c r="AA223" s="138">
        <v>2037</v>
      </c>
      <c r="AB223" s="138">
        <v>2038</v>
      </c>
      <c r="AC223" s="138">
        <v>2039</v>
      </c>
      <c r="AD223" s="138">
        <v>2040</v>
      </c>
      <c r="AE223" s="138">
        <v>2041</v>
      </c>
      <c r="AF223" s="138">
        <v>2042</v>
      </c>
      <c r="AG223" s="138">
        <v>2043</v>
      </c>
      <c r="AH223" s="138">
        <v>2044</v>
      </c>
      <c r="AI223" s="138">
        <v>2045</v>
      </c>
    </row>
    <row r="224" spans="1:35" customFormat="1" ht="14.25" x14ac:dyDescent="0.45">
      <c r="B224" s="14" t="s">
        <v>1451</v>
      </c>
      <c r="C224" s="14" t="s">
        <v>43</v>
      </c>
      <c r="D224" s="15" t="s">
        <v>2581</v>
      </c>
      <c r="E224" s="16" t="s">
        <v>1414</v>
      </c>
      <c r="F224" s="14" t="s">
        <v>2580</v>
      </c>
      <c r="G224" s="17"/>
      <c r="H224" s="129" t="str">
        <f>Settings!$B$3&amp;".mit.pf.stl.drg.2"</f>
        <v>egy.mit.pf.stl.drg.2</v>
      </c>
      <c r="I224" t="s">
        <v>2582</v>
      </c>
      <c r="K224" s="140"/>
      <c r="L224" s="141">
        <f>Mitigation_Industry!$F$698*L$219+Mitigation_Industry!$G$698*L$220</f>
        <v>0</v>
      </c>
      <c r="M224" s="141">
        <f>Mitigation_Industry!$F$698*M$219+Mitigation_Industry!$G$698*M$220</f>
        <v>0</v>
      </c>
      <c r="N224" s="141">
        <f>Mitigation_Industry!$F$698*N$219+Mitigation_Industry!$G$698*N$220</f>
        <v>0</v>
      </c>
      <c r="O224" s="141">
        <f>Mitigation_Industry!$F$698*O$219+Mitigation_Industry!$G$698*O$220</f>
        <v>0</v>
      </c>
      <c r="P224" s="141">
        <f>Mitigation_Industry!$F$698*P$219+Mitigation_Industry!$G$698*P$220</f>
        <v>0</v>
      </c>
      <c r="Q224" s="141">
        <f>Mitigation_Industry!$F$698*Q$219+Mitigation_Industry!$G$698*Q$220</f>
        <v>12.5</v>
      </c>
      <c r="R224" s="141">
        <f>Mitigation_Industry!$F$698*R$219+Mitigation_Industry!$G$698*R$220</f>
        <v>25</v>
      </c>
      <c r="S224" s="141">
        <f>Mitigation_Industry!$F$698*S$219+Mitigation_Industry!$G$698*S$220</f>
        <v>37.5</v>
      </c>
      <c r="T224" s="141">
        <f>Mitigation_Industry!$F$698*T$219+Mitigation_Industry!$G$698*T$220</f>
        <v>50</v>
      </c>
      <c r="U224" s="141">
        <f>Mitigation_Industry!$F$698*U$219+Mitigation_Industry!$G$698*U$220</f>
        <v>62.5</v>
      </c>
      <c r="V224" s="141">
        <f>Mitigation_Industry!$F$698*V$219+Mitigation_Industry!$G$698*V$220</f>
        <v>75</v>
      </c>
      <c r="W224" s="141">
        <f>Mitigation_Industry!$F$698*W$219+Mitigation_Industry!$G$698*W$220</f>
        <v>87.5</v>
      </c>
      <c r="X224" s="141">
        <f>Mitigation_Industry!$F$698*X$219+Mitigation_Industry!$G$698*X$220</f>
        <v>100</v>
      </c>
      <c r="Y224" s="141">
        <f>Mitigation_Industry!$F$698*Y$219+Mitigation_Industry!$G$698*Y$220</f>
        <v>112.5</v>
      </c>
      <c r="Z224" s="141">
        <f>Mitigation_Industry!$F$698*Z$219+Mitigation_Industry!$G$698*Z$220</f>
        <v>125</v>
      </c>
      <c r="AA224" s="141">
        <f>Mitigation_Industry!$F$698*AA$219+Mitigation_Industry!$G$698*AA$220</f>
        <v>137.5</v>
      </c>
      <c r="AB224" s="141">
        <f>Mitigation_Industry!$F$698*AB$219+Mitigation_Industry!$G$698*AB$220</f>
        <v>150</v>
      </c>
      <c r="AC224" s="141">
        <f>Mitigation_Industry!$F$698*AC$219+Mitigation_Industry!$G$698*AC$220</f>
        <v>162.5</v>
      </c>
      <c r="AD224" s="141">
        <f>Mitigation_Industry!$F$698*AD$219+Mitigation_Industry!$G$698*AD$220</f>
        <v>175</v>
      </c>
      <c r="AE224" s="141">
        <f>Mitigation_Industry!$F$698*AE$219+Mitigation_Industry!$G$698*AE$220</f>
        <v>187.5</v>
      </c>
      <c r="AF224" s="142"/>
      <c r="AG224" s="142"/>
      <c r="AH224" s="142"/>
      <c r="AI224" s="142"/>
    </row>
    <row r="225" spans="1:35" customFormat="1" ht="14.25" x14ac:dyDescent="0.45">
      <c r="B225" s="14" t="s">
        <v>1454</v>
      </c>
      <c r="C225" s="14" t="s">
        <v>43</v>
      </c>
      <c r="D225" s="15" t="s">
        <v>2583</v>
      </c>
      <c r="E225" s="16" t="s">
        <v>1414</v>
      </c>
      <c r="F225" s="14" t="s">
        <v>2580</v>
      </c>
      <c r="G225" s="17"/>
      <c r="H225" s="129" t="str">
        <f>Settings!$B$3&amp;".mit.pf.stl.scr.2"</f>
        <v>egy.mit.pf.stl.scr.2</v>
      </c>
      <c r="K225" s="140"/>
      <c r="L225" s="141">
        <f>Mitigation_Industry!$F$699*L$219+Mitigation_Industry!$G$699*L$220</f>
        <v>0</v>
      </c>
      <c r="M225" s="141">
        <f>Mitigation_Industry!$F$699*M$219+Mitigation_Industry!$G$699*M$220</f>
        <v>0</v>
      </c>
      <c r="N225" s="141">
        <f>Mitigation_Industry!$F$699*N$219+Mitigation_Industry!$G$699*N$220</f>
        <v>0</v>
      </c>
      <c r="O225" s="141">
        <f>Mitigation_Industry!$F$699*O$219+Mitigation_Industry!$G$699*O$220</f>
        <v>0</v>
      </c>
      <c r="P225" s="141">
        <f>Mitigation_Industry!$F$699*P$219+Mitigation_Industry!$G$699*P$220</f>
        <v>0</v>
      </c>
      <c r="Q225" s="141">
        <f>Mitigation_Industry!$F$699*Q$219+Mitigation_Industry!$G$699*Q$220</f>
        <v>12.5</v>
      </c>
      <c r="R225" s="141">
        <f>Mitigation_Industry!$F$699*R$219+Mitigation_Industry!$G$699*R$220</f>
        <v>25</v>
      </c>
      <c r="S225" s="141">
        <f>Mitigation_Industry!$F$699*S$219+Mitigation_Industry!$G$699*S$220</f>
        <v>37.5</v>
      </c>
      <c r="T225" s="141">
        <f>Mitigation_Industry!$F$699*T$219+Mitigation_Industry!$G$699*T$220</f>
        <v>50</v>
      </c>
      <c r="U225" s="141">
        <f>Mitigation_Industry!$F$699*U$219+Mitigation_Industry!$G$699*U$220</f>
        <v>62.5</v>
      </c>
      <c r="V225" s="141">
        <f>Mitigation_Industry!$F$699*V$219+Mitigation_Industry!$G$699*V$220</f>
        <v>75</v>
      </c>
      <c r="W225" s="141">
        <f>Mitigation_Industry!$F$699*W$219+Mitigation_Industry!$G$699*W$220</f>
        <v>87.5</v>
      </c>
      <c r="X225" s="141">
        <f>Mitigation_Industry!$F$699*X$219+Mitigation_Industry!$G$699*X$220</f>
        <v>100</v>
      </c>
      <c r="Y225" s="141">
        <f>Mitigation_Industry!$F$699*Y$219+Mitigation_Industry!$G$699*Y$220</f>
        <v>112.5</v>
      </c>
      <c r="Z225" s="141">
        <f>Mitigation_Industry!$F$699*Z$219+Mitigation_Industry!$G$699*Z$220</f>
        <v>125</v>
      </c>
      <c r="AA225" s="141">
        <f>Mitigation_Industry!$F$699*AA$219+Mitigation_Industry!$G$699*AA$220</f>
        <v>137.5</v>
      </c>
      <c r="AB225" s="141">
        <f>Mitigation_Industry!$F$699*AB$219+Mitigation_Industry!$G$699*AB$220</f>
        <v>150</v>
      </c>
      <c r="AC225" s="141">
        <f>Mitigation_Industry!$F$699*AC$219+Mitigation_Industry!$G$699*AC$220</f>
        <v>162.5</v>
      </c>
      <c r="AD225" s="141">
        <f>Mitigation_Industry!$F$699*AD$219+Mitigation_Industry!$G$699*AD$220</f>
        <v>175</v>
      </c>
      <c r="AE225" s="141">
        <f>Mitigation_Industry!$F$699*AE$219+Mitigation_Industry!$G$699*AE$220</f>
        <v>187.5</v>
      </c>
      <c r="AF225" s="142"/>
      <c r="AG225" s="142"/>
      <c r="AH225" s="142"/>
      <c r="AI225" s="142"/>
    </row>
    <row r="226" spans="1:35" customFormat="1" ht="14.25" x14ac:dyDescent="0.45">
      <c r="B226" s="14" t="s">
        <v>1457</v>
      </c>
      <c r="C226" s="14" t="s">
        <v>43</v>
      </c>
      <c r="D226" s="15" t="s">
        <v>2584</v>
      </c>
      <c r="E226" s="16" t="s">
        <v>1414</v>
      </c>
      <c r="F226" s="14" t="s">
        <v>2580</v>
      </c>
      <c r="G226" s="17"/>
      <c r="H226" s="129" t="str">
        <f>Settings!$B$3&amp;".mit.pf.stl.bof.2"</f>
        <v>egy.mit.pf.stl.bof.2</v>
      </c>
      <c r="K226" s="140"/>
      <c r="L226" s="141">
        <f>Mitigation_Industry!$F$700*L$219+Mitigation_Industry!$G$700*L$220</f>
        <v>0</v>
      </c>
      <c r="M226" s="141">
        <f>Mitigation_Industry!$F$700*M$219+Mitigation_Industry!$G$700*M$220</f>
        <v>0</v>
      </c>
      <c r="N226" s="141">
        <f>Mitigation_Industry!$F$700*N$219+Mitigation_Industry!$G$700*N$220</f>
        <v>0</v>
      </c>
      <c r="O226" s="141">
        <f>Mitigation_Industry!$F$700*O$219+Mitigation_Industry!$G$700*O$220</f>
        <v>0</v>
      </c>
      <c r="P226" s="141">
        <f>Mitigation_Industry!$F$700*P$219+Mitigation_Industry!$G$700*P$220</f>
        <v>0</v>
      </c>
      <c r="Q226" s="141">
        <f>Mitigation_Industry!$F$700*Q$219+Mitigation_Industry!$G$700*Q$220</f>
        <v>12.5</v>
      </c>
      <c r="R226" s="141">
        <f>Mitigation_Industry!$F$700*R$219+Mitigation_Industry!$G$700*R$220</f>
        <v>25</v>
      </c>
      <c r="S226" s="141">
        <f>Mitigation_Industry!$F$700*S$219+Mitigation_Industry!$G$700*S$220</f>
        <v>37.5</v>
      </c>
      <c r="T226" s="141">
        <f>Mitigation_Industry!$F$700*T$219+Mitigation_Industry!$G$700*T$220</f>
        <v>50</v>
      </c>
      <c r="U226" s="141">
        <f>Mitigation_Industry!$F$700*U$219+Mitigation_Industry!$G$700*U$220</f>
        <v>62.5</v>
      </c>
      <c r="V226" s="141">
        <f>Mitigation_Industry!$F$700*V$219+Mitigation_Industry!$G$700*V$220</f>
        <v>75</v>
      </c>
      <c r="W226" s="141">
        <f>Mitigation_Industry!$F$700*W$219+Mitigation_Industry!$G$700*W$220</f>
        <v>87.5</v>
      </c>
      <c r="X226" s="141">
        <f>Mitigation_Industry!$F$700*X$219+Mitigation_Industry!$G$700*X$220</f>
        <v>100</v>
      </c>
      <c r="Y226" s="141">
        <f>Mitigation_Industry!$F$700*Y$219+Mitigation_Industry!$G$700*Y$220</f>
        <v>112.5</v>
      </c>
      <c r="Z226" s="141">
        <f>Mitigation_Industry!$F$700*Z$219+Mitigation_Industry!$G$700*Z$220</f>
        <v>125</v>
      </c>
      <c r="AA226" s="141">
        <f>Mitigation_Industry!$F$700*AA$219+Mitigation_Industry!$G$700*AA$220</f>
        <v>137.5</v>
      </c>
      <c r="AB226" s="141">
        <f>Mitigation_Industry!$F$700*AB$219+Mitigation_Industry!$G$700*AB$220</f>
        <v>150</v>
      </c>
      <c r="AC226" s="141">
        <f>Mitigation_Industry!$F$700*AC$219+Mitigation_Industry!$G$700*AC$220</f>
        <v>162.5</v>
      </c>
      <c r="AD226" s="141">
        <f>Mitigation_Industry!$F$700*AD$219+Mitigation_Industry!$G$700*AD$220</f>
        <v>175</v>
      </c>
      <c r="AE226" s="141">
        <f>Mitigation_Industry!$F$700*AE$219+Mitigation_Industry!$G$700*AE$220</f>
        <v>187.5</v>
      </c>
      <c r="AF226" s="142"/>
      <c r="AG226" s="142"/>
      <c r="AH226" s="142"/>
      <c r="AI226" s="142"/>
    </row>
    <row r="227" spans="1:35" customFormat="1" ht="14.25" x14ac:dyDescent="0.45">
      <c r="B227" s="14" t="s">
        <v>1460</v>
      </c>
      <c r="C227" s="14" t="s">
        <v>113</v>
      </c>
      <c r="D227" s="15" t="s">
        <v>2585</v>
      </c>
      <c r="E227" s="16" t="s">
        <v>1414</v>
      </c>
      <c r="F227" s="14" t="s">
        <v>2580</v>
      </c>
      <c r="G227" s="17"/>
      <c r="H227" s="129" t="str">
        <f>Settings!$B$3&amp;".mit.pf.cmt.dry.2"</f>
        <v>egy.mit.pf.cmt.dry.2</v>
      </c>
      <c r="K227" s="140"/>
      <c r="L227" s="141">
        <f>Mitigation_Industry!$F$701*L$219+Mitigation_Industry!$G$701*L$220</f>
        <v>0</v>
      </c>
      <c r="M227" s="141">
        <f>Mitigation_Industry!$F$701*M$219+Mitigation_Industry!$G$701*M$220</f>
        <v>0</v>
      </c>
      <c r="N227" s="141">
        <f>Mitigation_Industry!$F$701*N$219+Mitigation_Industry!$G$701*N$220</f>
        <v>0</v>
      </c>
      <c r="O227" s="141">
        <f>Mitigation_Industry!$F$701*O$219+Mitigation_Industry!$G$701*O$220</f>
        <v>0</v>
      </c>
      <c r="P227" s="141">
        <f>Mitigation_Industry!$F$701*P$219+Mitigation_Industry!$G$701*P$220</f>
        <v>0</v>
      </c>
      <c r="Q227" s="141">
        <f>Mitigation_Industry!$F$701*Q$219+Mitigation_Industry!$G$701*Q$220</f>
        <v>12.5</v>
      </c>
      <c r="R227" s="141">
        <f>Mitigation_Industry!$F$701*R$219+Mitigation_Industry!$G$701*R$220</f>
        <v>25</v>
      </c>
      <c r="S227" s="141">
        <f>Mitigation_Industry!$F$701*S$219+Mitigation_Industry!$G$701*S$220</f>
        <v>37.5</v>
      </c>
      <c r="T227" s="141">
        <f>Mitigation_Industry!$F$701*T$219+Mitigation_Industry!$G$701*T$220</f>
        <v>50</v>
      </c>
      <c r="U227" s="141">
        <f>Mitigation_Industry!$F$701*U$219+Mitigation_Industry!$G$701*U$220</f>
        <v>62.5</v>
      </c>
      <c r="V227" s="141">
        <f>Mitigation_Industry!$F$701*V$219+Mitigation_Industry!$G$701*V$220</f>
        <v>75</v>
      </c>
      <c r="W227" s="141">
        <f>Mitigation_Industry!$F$701*W$219+Mitigation_Industry!$G$701*W$220</f>
        <v>87.5</v>
      </c>
      <c r="X227" s="141">
        <f>Mitigation_Industry!$F$701*X$219+Mitigation_Industry!$G$701*X$220</f>
        <v>100</v>
      </c>
      <c r="Y227" s="141">
        <f>Mitigation_Industry!$F$701*Y$219+Mitigation_Industry!$G$701*Y$220</f>
        <v>112.5</v>
      </c>
      <c r="Z227" s="141">
        <f>Mitigation_Industry!$F$701*Z$219+Mitigation_Industry!$G$701*Z$220</f>
        <v>125</v>
      </c>
      <c r="AA227" s="141">
        <f>Mitigation_Industry!$F$701*AA$219+Mitigation_Industry!$G$701*AA$220</f>
        <v>137.5</v>
      </c>
      <c r="AB227" s="141">
        <f>Mitigation_Industry!$F$701*AB$219+Mitigation_Industry!$G$701*AB$220</f>
        <v>150</v>
      </c>
      <c r="AC227" s="141">
        <f>Mitigation_Industry!$F$701*AC$219+Mitigation_Industry!$G$701*AC$220</f>
        <v>162.5</v>
      </c>
      <c r="AD227" s="141">
        <f>Mitigation_Industry!$F$701*AD$219+Mitigation_Industry!$G$701*AD$220</f>
        <v>175</v>
      </c>
      <c r="AE227" s="141">
        <f>Mitigation_Industry!$F$701*AE$219+Mitigation_Industry!$G$701*AE$220</f>
        <v>187.5</v>
      </c>
      <c r="AF227" s="142"/>
      <c r="AG227" s="142"/>
      <c r="AH227" s="142"/>
      <c r="AI227" s="142"/>
    </row>
    <row r="228" spans="1:35" customFormat="1" ht="14.25" x14ac:dyDescent="0.45">
      <c r="B228" s="14" t="s">
        <v>1463</v>
      </c>
      <c r="C228" s="14" t="s">
        <v>117</v>
      </c>
      <c r="D228" s="15" t="s">
        <v>2586</v>
      </c>
      <c r="E228" s="16" t="s">
        <v>1414</v>
      </c>
      <c r="F228" s="14" t="s">
        <v>2580</v>
      </c>
      <c r="G228" s="17"/>
      <c r="H228" s="129" t="str">
        <f>Settings!$B$3&amp;".mit.pf.frt.amc.2"</f>
        <v>egy.mit.pf.frt.amc.2</v>
      </c>
      <c r="K228" s="140"/>
      <c r="L228" s="141">
        <f>Mitigation_Industry!$F$702*L$219+Mitigation_Industry!$G$702*L$220</f>
        <v>0</v>
      </c>
      <c r="M228" s="141">
        <f>Mitigation_Industry!$F$702*M$219+Mitigation_Industry!$G$702*M$220</f>
        <v>0</v>
      </c>
      <c r="N228" s="141">
        <f>Mitigation_Industry!$F$702*N$219+Mitigation_Industry!$G$702*N$220</f>
        <v>0</v>
      </c>
      <c r="O228" s="141">
        <f>Mitigation_Industry!$F$702*O$219+Mitigation_Industry!$G$702*O$220</f>
        <v>0</v>
      </c>
      <c r="P228" s="141">
        <f>Mitigation_Industry!$F$702*P$219+Mitigation_Industry!$G$702*P$220</f>
        <v>0</v>
      </c>
      <c r="Q228" s="141">
        <f>Mitigation_Industry!$F$702*Q$219+Mitigation_Industry!$G$702*Q$220</f>
        <v>12.5</v>
      </c>
      <c r="R228" s="141">
        <f>Mitigation_Industry!$F$702*R$219+Mitigation_Industry!$G$702*R$220</f>
        <v>25</v>
      </c>
      <c r="S228" s="141">
        <f>Mitigation_Industry!$F$702*S$219+Mitigation_Industry!$G$702*S$220</f>
        <v>37.5</v>
      </c>
      <c r="T228" s="141">
        <f>Mitigation_Industry!$F$702*T$219+Mitigation_Industry!$G$702*T$220</f>
        <v>50</v>
      </c>
      <c r="U228" s="141">
        <f>Mitigation_Industry!$F$702*U$219+Mitigation_Industry!$G$702*U$220</f>
        <v>62.5</v>
      </c>
      <c r="V228" s="141">
        <f>Mitigation_Industry!$F$702*V$219+Mitigation_Industry!$G$702*V$220</f>
        <v>75</v>
      </c>
      <c r="W228" s="141">
        <f>Mitigation_Industry!$F$702*W$219+Mitigation_Industry!$G$702*W$220</f>
        <v>87.5</v>
      </c>
      <c r="X228" s="141">
        <f>Mitigation_Industry!$F$702*X$219+Mitigation_Industry!$G$702*X$220</f>
        <v>100</v>
      </c>
      <c r="Y228" s="141">
        <f>Mitigation_Industry!$F$702*Y$219+Mitigation_Industry!$G$702*Y$220</f>
        <v>112.5</v>
      </c>
      <c r="Z228" s="141">
        <f>Mitigation_Industry!$F$702*Z$219+Mitigation_Industry!$G$702*Z$220</f>
        <v>125</v>
      </c>
      <c r="AA228" s="141">
        <f>Mitigation_Industry!$F$702*AA$219+Mitigation_Industry!$G$702*AA$220</f>
        <v>137.5</v>
      </c>
      <c r="AB228" s="141">
        <f>Mitigation_Industry!$F$702*AB$219+Mitigation_Industry!$G$702*AB$220</f>
        <v>150</v>
      </c>
      <c r="AC228" s="141">
        <f>Mitigation_Industry!$F$702*AC$219+Mitigation_Industry!$G$702*AC$220</f>
        <v>162.5</v>
      </c>
      <c r="AD228" s="141">
        <f>Mitigation_Industry!$F$702*AD$219+Mitigation_Industry!$G$702*AD$220</f>
        <v>175</v>
      </c>
      <c r="AE228" s="141">
        <f>Mitigation_Industry!$F$702*AE$219+Mitigation_Industry!$G$702*AE$220</f>
        <v>187.5</v>
      </c>
      <c r="AF228" s="142"/>
      <c r="AG228" s="142"/>
      <c r="AH228" s="142"/>
      <c r="AI228" s="142"/>
    </row>
    <row r="229" spans="1:35" customFormat="1" ht="14.25" x14ac:dyDescent="0.45">
      <c r="B229" s="14" t="s">
        <v>1466</v>
      </c>
      <c r="C229" s="14" t="s">
        <v>117</v>
      </c>
      <c r="D229" s="15" t="s">
        <v>2587</v>
      </c>
      <c r="E229" s="16" t="s">
        <v>1414</v>
      </c>
      <c r="F229" s="14" t="s">
        <v>2580</v>
      </c>
      <c r="G229" s="17"/>
      <c r="H229" s="129" t="str">
        <f>Settings!$B$3&amp;".mit.pf.frt.ure.2"</f>
        <v>egy.mit.pf.frt.ure.2</v>
      </c>
      <c r="K229" s="140"/>
      <c r="L229" s="141">
        <f>Mitigation_Industry!$F$703*L$219+Mitigation_Industry!$G$703*L$220</f>
        <v>0</v>
      </c>
      <c r="M229" s="141">
        <f>Mitigation_Industry!$F$703*M$219+Mitigation_Industry!$G$703*M$220</f>
        <v>0</v>
      </c>
      <c r="N229" s="141">
        <f>Mitigation_Industry!$F$703*N$219+Mitigation_Industry!$G$703*N$220</f>
        <v>0</v>
      </c>
      <c r="O229" s="141">
        <f>Mitigation_Industry!$F$703*O$219+Mitigation_Industry!$G$703*O$220</f>
        <v>0</v>
      </c>
      <c r="P229" s="141">
        <f>Mitigation_Industry!$F$703*P$219+Mitigation_Industry!$G$703*P$220</f>
        <v>0</v>
      </c>
      <c r="Q229" s="141">
        <f>Mitigation_Industry!$F$703*Q$219+Mitigation_Industry!$G$703*Q$220</f>
        <v>12.5</v>
      </c>
      <c r="R229" s="141">
        <f>Mitigation_Industry!$F$703*R$219+Mitigation_Industry!$G$703*R$220</f>
        <v>25</v>
      </c>
      <c r="S229" s="141">
        <f>Mitigation_Industry!$F$703*S$219+Mitigation_Industry!$G$703*S$220</f>
        <v>37.5</v>
      </c>
      <c r="T229" s="141">
        <f>Mitigation_Industry!$F$703*T$219+Mitigation_Industry!$G$703*T$220</f>
        <v>50</v>
      </c>
      <c r="U229" s="141">
        <f>Mitigation_Industry!$F$703*U$219+Mitigation_Industry!$G$703*U$220</f>
        <v>62.5</v>
      </c>
      <c r="V229" s="141">
        <f>Mitigation_Industry!$F$703*V$219+Mitigation_Industry!$G$703*V$220</f>
        <v>75</v>
      </c>
      <c r="W229" s="141">
        <f>Mitigation_Industry!$F$703*W$219+Mitigation_Industry!$G$703*W$220</f>
        <v>87.5</v>
      </c>
      <c r="X229" s="141">
        <f>Mitigation_Industry!$F$703*X$219+Mitigation_Industry!$G$703*X$220</f>
        <v>100</v>
      </c>
      <c r="Y229" s="141">
        <f>Mitigation_Industry!$F$703*Y$219+Mitigation_Industry!$G$703*Y$220</f>
        <v>112.5</v>
      </c>
      <c r="Z229" s="141">
        <f>Mitigation_Industry!$F$703*Z$219+Mitigation_Industry!$G$703*Z$220</f>
        <v>125</v>
      </c>
      <c r="AA229" s="141">
        <f>Mitigation_Industry!$F$703*AA$219+Mitigation_Industry!$G$703*AA$220</f>
        <v>137.5</v>
      </c>
      <c r="AB229" s="141">
        <f>Mitigation_Industry!$F$703*AB$219+Mitigation_Industry!$G$703*AB$220</f>
        <v>150</v>
      </c>
      <c r="AC229" s="141">
        <f>Mitigation_Industry!$F$703*AC$219+Mitigation_Industry!$G$703*AC$220</f>
        <v>162.5</v>
      </c>
      <c r="AD229" s="141">
        <f>Mitigation_Industry!$F$703*AD$219+Mitigation_Industry!$G$703*AD$220</f>
        <v>175</v>
      </c>
      <c r="AE229" s="141">
        <f>Mitigation_Industry!$F$703*AE$219+Mitigation_Industry!$G$703*AE$220</f>
        <v>187.5</v>
      </c>
      <c r="AF229" s="142"/>
      <c r="AG229" s="142"/>
      <c r="AH229" s="142"/>
      <c r="AI229" s="142"/>
    </row>
    <row r="230" spans="1:35" customFormat="1" ht="14.25" x14ac:dyDescent="0.45">
      <c r="B230" s="14" t="s">
        <v>1469</v>
      </c>
      <c r="C230" s="14" t="s">
        <v>117</v>
      </c>
      <c r="D230" s="15" t="s">
        <v>2588</v>
      </c>
      <c r="E230" s="16" t="s">
        <v>1414</v>
      </c>
      <c r="F230" s="14" t="s">
        <v>2580</v>
      </c>
      <c r="G230" s="17"/>
      <c r="H230" s="129" t="str">
        <f>Settings!$B$3&amp;".mit.pf.frt.nit.2"</f>
        <v>egy.mit.pf.frt.nit.2</v>
      </c>
      <c r="K230" s="140"/>
      <c r="L230" s="141">
        <f>Mitigation_Industry!$F$704*L$219+Mitigation_Industry!$G$704*L$220</f>
        <v>0</v>
      </c>
      <c r="M230" s="141">
        <f>Mitigation_Industry!$F$704*M$219+Mitigation_Industry!$G$704*M$220</f>
        <v>0</v>
      </c>
      <c r="N230" s="141">
        <f>Mitigation_Industry!$F$704*N$219+Mitigation_Industry!$G$704*N$220</f>
        <v>0</v>
      </c>
      <c r="O230" s="141">
        <f>Mitigation_Industry!$F$704*O$219+Mitigation_Industry!$G$704*O$220</f>
        <v>0</v>
      </c>
      <c r="P230" s="141">
        <f>Mitigation_Industry!$F$704*P$219+Mitigation_Industry!$G$704*P$220</f>
        <v>0</v>
      </c>
      <c r="Q230" s="141">
        <f>Mitigation_Industry!$F$704*Q$219+Mitigation_Industry!$G$704*Q$220</f>
        <v>12.5</v>
      </c>
      <c r="R230" s="141">
        <f>Mitigation_Industry!$F$704*R$219+Mitigation_Industry!$G$704*R$220</f>
        <v>25</v>
      </c>
      <c r="S230" s="141">
        <f>Mitigation_Industry!$F$704*S$219+Mitigation_Industry!$G$704*S$220</f>
        <v>37.5</v>
      </c>
      <c r="T230" s="141">
        <f>Mitigation_Industry!$F$704*T$219+Mitigation_Industry!$G$704*T$220</f>
        <v>50</v>
      </c>
      <c r="U230" s="141">
        <f>Mitigation_Industry!$F$704*U$219+Mitigation_Industry!$G$704*U$220</f>
        <v>62.5</v>
      </c>
      <c r="V230" s="141">
        <f>Mitigation_Industry!$F$704*V$219+Mitigation_Industry!$G$704*V$220</f>
        <v>75</v>
      </c>
      <c r="W230" s="141">
        <f>Mitigation_Industry!$F$704*W$219+Mitigation_Industry!$G$704*W$220</f>
        <v>87.5</v>
      </c>
      <c r="X230" s="141">
        <f>Mitigation_Industry!$F$704*X$219+Mitigation_Industry!$G$704*X$220</f>
        <v>100</v>
      </c>
      <c r="Y230" s="141">
        <f>Mitigation_Industry!$F$704*Y$219+Mitigation_Industry!$G$704*Y$220</f>
        <v>112.5</v>
      </c>
      <c r="Z230" s="141">
        <f>Mitigation_Industry!$F$704*Z$219+Mitigation_Industry!$G$704*Z$220</f>
        <v>125</v>
      </c>
      <c r="AA230" s="141">
        <f>Mitigation_Industry!$F$704*AA$219+Mitigation_Industry!$G$704*AA$220</f>
        <v>137.5</v>
      </c>
      <c r="AB230" s="141">
        <f>Mitigation_Industry!$F$704*AB$219+Mitigation_Industry!$G$704*AB$220</f>
        <v>150</v>
      </c>
      <c r="AC230" s="141">
        <f>Mitigation_Industry!$F$704*AC$219+Mitigation_Industry!$G$704*AC$220</f>
        <v>162.5</v>
      </c>
      <c r="AD230" s="141">
        <f>Mitigation_Industry!$F$704*AD$219+Mitigation_Industry!$G$704*AD$220</f>
        <v>175</v>
      </c>
      <c r="AE230" s="141">
        <f>Mitigation_Industry!$F$704*AE$219+Mitigation_Industry!$G$704*AE$220</f>
        <v>187.5</v>
      </c>
      <c r="AF230" s="142"/>
      <c r="AG230" s="142"/>
      <c r="AH230" s="142"/>
      <c r="AI230" s="142"/>
    </row>
    <row r="231" spans="1:35" customFormat="1" ht="14.25" x14ac:dyDescent="0.45">
      <c r="B231" s="14" t="s">
        <v>1472</v>
      </c>
      <c r="C231" s="14" t="s">
        <v>115</v>
      </c>
      <c r="D231" s="15" t="s">
        <v>2589</v>
      </c>
      <c r="E231" s="16" t="s">
        <v>1414</v>
      </c>
      <c r="F231" s="14" t="s">
        <v>2580</v>
      </c>
      <c r="G231" s="17"/>
      <c r="H231" s="129" t="str">
        <f>Settings!$B$3&amp;".mit.pf.alu.prp.2"</f>
        <v>egy.mit.pf.alu.prp.2</v>
      </c>
      <c r="K231" s="140"/>
      <c r="L231" s="141">
        <f>Mitigation_Industry!$F$705*L$219+Mitigation_Industry!$G$705*L$220</f>
        <v>0</v>
      </c>
      <c r="M231" s="141">
        <f>Mitigation_Industry!$F$705*M$219+Mitigation_Industry!$G$705*M$220</f>
        <v>0</v>
      </c>
      <c r="N231" s="141">
        <f>Mitigation_Industry!$F$705*N$219+Mitigation_Industry!$G$705*N$220</f>
        <v>0</v>
      </c>
      <c r="O231" s="141">
        <f>Mitigation_Industry!$F$705*O$219+Mitigation_Industry!$G$705*O$220</f>
        <v>0</v>
      </c>
      <c r="P231" s="141">
        <f>Mitigation_Industry!$F$705*P$219+Mitigation_Industry!$G$705*P$220</f>
        <v>0</v>
      </c>
      <c r="Q231" s="141">
        <f>Mitigation_Industry!$F$705*Q$219+Mitigation_Industry!$G$705*Q$220</f>
        <v>12.5</v>
      </c>
      <c r="R231" s="141">
        <f>Mitigation_Industry!$F$705*R$219+Mitigation_Industry!$G$705*R$220</f>
        <v>25</v>
      </c>
      <c r="S231" s="141">
        <f>Mitigation_Industry!$F$705*S$219+Mitigation_Industry!$G$705*S$220</f>
        <v>37.5</v>
      </c>
      <c r="T231" s="141">
        <f>Mitigation_Industry!$F$705*T$219+Mitigation_Industry!$G$705*T$220</f>
        <v>50</v>
      </c>
      <c r="U231" s="141">
        <f>Mitigation_Industry!$F$705*U$219+Mitigation_Industry!$G$705*U$220</f>
        <v>62.5</v>
      </c>
      <c r="V231" s="141">
        <f>Mitigation_Industry!$F$705*V$219+Mitigation_Industry!$G$705*V$220</f>
        <v>75</v>
      </c>
      <c r="W231" s="141">
        <f>Mitigation_Industry!$F$705*W$219+Mitigation_Industry!$G$705*W$220</f>
        <v>87.5</v>
      </c>
      <c r="X231" s="141">
        <f>Mitigation_Industry!$F$705*X$219+Mitigation_Industry!$G$705*X$220</f>
        <v>100</v>
      </c>
      <c r="Y231" s="141">
        <f>Mitigation_Industry!$F$705*Y$219+Mitigation_Industry!$G$705*Y$220</f>
        <v>112.5</v>
      </c>
      <c r="Z231" s="141">
        <f>Mitigation_Industry!$F$705*Z$219+Mitigation_Industry!$G$705*Z$220</f>
        <v>125</v>
      </c>
      <c r="AA231" s="141">
        <f>Mitigation_Industry!$F$705*AA$219+Mitigation_Industry!$G$705*AA$220</f>
        <v>137.5</v>
      </c>
      <c r="AB231" s="141">
        <f>Mitigation_Industry!$F$705*AB$219+Mitigation_Industry!$G$705*AB$220</f>
        <v>150</v>
      </c>
      <c r="AC231" s="141">
        <f>Mitigation_Industry!$F$705*AC$219+Mitigation_Industry!$G$705*AC$220</f>
        <v>162.5</v>
      </c>
      <c r="AD231" s="141">
        <f>Mitigation_Industry!$F$705*AD$219+Mitigation_Industry!$G$705*AD$220</f>
        <v>175</v>
      </c>
      <c r="AE231" s="141">
        <f>Mitigation_Industry!$F$705*AE$219+Mitigation_Industry!$G$705*AE$220</f>
        <v>187.5</v>
      </c>
      <c r="AF231" s="142"/>
      <c r="AG231" s="142"/>
      <c r="AH231" s="142"/>
      <c r="AI231" s="142"/>
    </row>
    <row r="232" spans="1:35" x14ac:dyDescent="0.35"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</row>
    <row r="233" spans="1:35" customFormat="1" ht="14.25" x14ac:dyDescent="0.45">
      <c r="A233" s="11"/>
      <c r="B233" s="6"/>
      <c r="C233" s="7" t="s">
        <v>2590</v>
      </c>
      <c r="D233" s="6" t="s">
        <v>1504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8">
        <v>2021</v>
      </c>
      <c r="L233" s="139">
        <v>2022</v>
      </c>
      <c r="M233" s="138">
        <v>2023</v>
      </c>
      <c r="N233" s="138">
        <v>2024</v>
      </c>
      <c r="O233" s="138">
        <v>2025</v>
      </c>
      <c r="P233" s="138">
        <v>2026</v>
      </c>
      <c r="Q233" s="138">
        <v>2027</v>
      </c>
      <c r="R233" s="138">
        <v>2028</v>
      </c>
      <c r="S233" s="138">
        <v>2029</v>
      </c>
      <c r="T233" s="138">
        <v>2030</v>
      </c>
      <c r="U233" s="138">
        <v>2031</v>
      </c>
      <c r="V233" s="138">
        <v>2032</v>
      </c>
      <c r="W233" s="138">
        <v>2033</v>
      </c>
      <c r="X233" s="138">
        <v>2034</v>
      </c>
      <c r="Y233" s="138">
        <v>2035</v>
      </c>
      <c r="Z233" s="138">
        <v>2036</v>
      </c>
      <c r="AA233" s="138">
        <v>2037</v>
      </c>
      <c r="AB233" s="138">
        <v>2038</v>
      </c>
      <c r="AC233" s="138">
        <v>2039</v>
      </c>
      <c r="AD233" s="138">
        <v>2040</v>
      </c>
      <c r="AE233" s="138">
        <v>2041</v>
      </c>
      <c r="AF233" s="138">
        <v>2042</v>
      </c>
      <c r="AG233" s="138">
        <v>2043</v>
      </c>
      <c r="AH233" s="138">
        <v>2044</v>
      </c>
      <c r="AI233" s="138">
        <v>2045</v>
      </c>
    </row>
    <row r="234" spans="1:35" customFormat="1" ht="14.25" x14ac:dyDescent="0.45">
      <c r="B234" s="14" t="s">
        <v>2591</v>
      </c>
      <c r="C234" s="14" t="s">
        <v>43</v>
      </c>
      <c r="D234" s="15" t="s">
        <v>2592</v>
      </c>
      <c r="E234" s="16" t="s">
        <v>1414</v>
      </c>
      <c r="F234" s="14" t="s">
        <v>2590</v>
      </c>
      <c r="G234" s="17"/>
      <c r="H234" s="129" t="str">
        <f>Settings!$B$3&amp;".mit.pp.stl.drg.np.2"</f>
        <v>egy.mit.pp.stl.drg.np.2</v>
      </c>
      <c r="I234" t="s">
        <v>2593</v>
      </c>
      <c r="K234" s="140"/>
      <c r="L234" s="141">
        <f>Mitigation_Industry!$F$709*L$221+Mitigation_Industry!$G$709*L$220</f>
        <v>0</v>
      </c>
      <c r="M234" s="141">
        <f>Mitigation_Industry!$F$709*M$221+Mitigation_Industry!$G$709*M$220</f>
        <v>0</v>
      </c>
      <c r="N234" s="141">
        <f>Mitigation_Industry!$F$709*N$221+Mitigation_Industry!$G$709*N$220</f>
        <v>0</v>
      </c>
      <c r="O234" s="141">
        <f>Mitigation_Industry!$F$709*O$221+Mitigation_Industry!$G$709*O$220</f>
        <v>0</v>
      </c>
      <c r="P234" s="141">
        <f>Mitigation_Industry!$F$709*P$221+Mitigation_Industry!$G$709*P$220</f>
        <v>0</v>
      </c>
      <c r="Q234" s="141">
        <f>Mitigation_Industry!$F$709*Q$221+Mitigation_Industry!$G$709*Q$220</f>
        <v>0</v>
      </c>
      <c r="R234" s="141">
        <f>Mitigation_Industry!$F$709*R$221+Mitigation_Industry!$G$709*R$220</f>
        <v>0</v>
      </c>
      <c r="S234" s="141">
        <f>Mitigation_Industry!$F$709*S$221+Mitigation_Industry!$G$709*S$220</f>
        <v>0</v>
      </c>
      <c r="T234" s="141">
        <f>Mitigation_Industry!$F$709*T$221+Mitigation_Industry!$G$709*T$220</f>
        <v>0</v>
      </c>
      <c r="U234" s="141">
        <f>Mitigation_Industry!$F$709*U$221+Mitigation_Industry!$G$709*U$220</f>
        <v>0</v>
      </c>
      <c r="V234" s="141">
        <f>Mitigation_Industry!$F$709*V$221+Mitigation_Industry!$G$709*V$220</f>
        <v>0</v>
      </c>
      <c r="W234" s="141">
        <f>Mitigation_Industry!$F$709*W$221+Mitigation_Industry!$G$709*W$220</f>
        <v>0</v>
      </c>
      <c r="X234" s="141">
        <f>Mitigation_Industry!$F$709*X$221+Mitigation_Industry!$G$709*X$220</f>
        <v>0</v>
      </c>
      <c r="Y234" s="141">
        <f>Mitigation_Industry!$F$709*Y$221+Mitigation_Industry!$G$709*Y$220</f>
        <v>0</v>
      </c>
      <c r="Z234" s="141">
        <f>Mitigation_Industry!$F$709*Z$221+Mitigation_Industry!$G$709*Z$220</f>
        <v>0</v>
      </c>
      <c r="AA234" s="141">
        <f>Mitigation_Industry!$F$709*AA$221+Mitigation_Industry!$G$709*AA$220</f>
        <v>0</v>
      </c>
      <c r="AB234" s="141">
        <f>Mitigation_Industry!$F$709*AB$221+Mitigation_Industry!$G$709*AB$220</f>
        <v>0</v>
      </c>
      <c r="AC234" s="141">
        <f>Mitigation_Industry!$F$709*AC$221+Mitigation_Industry!$G$709*AC$220</f>
        <v>0</v>
      </c>
      <c r="AD234" s="141">
        <f>Mitigation_Industry!$F$709*AD$221+Mitigation_Industry!$G$709*AD$220</f>
        <v>0</v>
      </c>
      <c r="AE234" s="141">
        <f>Mitigation_Industry!$F$709*AE$221+Mitigation_Industry!$G$709*AE$220</f>
        <v>0</v>
      </c>
      <c r="AF234" s="142"/>
      <c r="AG234" s="142"/>
      <c r="AH234" s="142"/>
      <c r="AI234" s="142"/>
    </row>
    <row r="235" spans="1:35" customFormat="1" ht="14.25" x14ac:dyDescent="0.45">
      <c r="B235" s="14" t="s">
        <v>2594</v>
      </c>
      <c r="C235" s="14" t="s">
        <v>43</v>
      </c>
      <c r="D235" s="15" t="s">
        <v>2595</v>
      </c>
      <c r="E235" s="16" t="s">
        <v>1414</v>
      </c>
      <c r="F235" s="14" t="s">
        <v>2590</v>
      </c>
      <c r="G235" s="17"/>
      <c r="H235" s="129" t="str">
        <f>Settings!$B$3&amp;".mit.pp.stl.scr.np.2"</f>
        <v>egy.mit.pp.stl.scr.np.2</v>
      </c>
      <c r="K235" s="140"/>
      <c r="L235" s="141">
        <f>Mitigation_Industry!$F$710*L$221+Mitigation_Industry!$G$710*L$220</f>
        <v>0</v>
      </c>
      <c r="M235" s="141">
        <f>Mitigation_Industry!$F$710*M$221+Mitigation_Industry!$G$710*M$220</f>
        <v>0</v>
      </c>
      <c r="N235" s="141">
        <f>Mitigation_Industry!$F$710*N$221+Mitigation_Industry!$G$710*N$220</f>
        <v>0</v>
      </c>
      <c r="O235" s="141">
        <f>Mitigation_Industry!$F$710*O$221+Mitigation_Industry!$G$710*O$220</f>
        <v>0</v>
      </c>
      <c r="P235" s="141">
        <f>Mitigation_Industry!$F$710*P$221+Mitigation_Industry!$G$710*P$220</f>
        <v>0</v>
      </c>
      <c r="Q235" s="141">
        <f>Mitigation_Industry!$F$710*Q$221+Mitigation_Industry!$G$710*Q$220</f>
        <v>0</v>
      </c>
      <c r="R235" s="141">
        <f>Mitigation_Industry!$F$710*R$221+Mitigation_Industry!$G$710*R$220</f>
        <v>0</v>
      </c>
      <c r="S235" s="141">
        <f>Mitigation_Industry!$F$710*S$221+Mitigation_Industry!$G$710*S$220</f>
        <v>0</v>
      </c>
      <c r="T235" s="141">
        <f>Mitigation_Industry!$F$710*T$221+Mitigation_Industry!$G$710*T$220</f>
        <v>0</v>
      </c>
      <c r="U235" s="141">
        <f>Mitigation_Industry!$F$710*U$221+Mitigation_Industry!$G$710*U$220</f>
        <v>0</v>
      </c>
      <c r="V235" s="141">
        <f>Mitigation_Industry!$F$710*V$221+Mitigation_Industry!$G$710*V$220</f>
        <v>0</v>
      </c>
      <c r="W235" s="141">
        <f>Mitigation_Industry!$F$710*W$221+Mitigation_Industry!$G$710*W$220</f>
        <v>0</v>
      </c>
      <c r="X235" s="141">
        <f>Mitigation_Industry!$F$710*X$221+Mitigation_Industry!$G$710*X$220</f>
        <v>0</v>
      </c>
      <c r="Y235" s="141">
        <f>Mitigation_Industry!$F$710*Y$221+Mitigation_Industry!$G$710*Y$220</f>
        <v>0</v>
      </c>
      <c r="Z235" s="141">
        <f>Mitigation_Industry!$F$710*Z$221+Mitigation_Industry!$G$710*Z$220</f>
        <v>0</v>
      </c>
      <c r="AA235" s="141">
        <f>Mitigation_Industry!$F$710*AA$221+Mitigation_Industry!$G$710*AA$220</f>
        <v>0</v>
      </c>
      <c r="AB235" s="141">
        <f>Mitigation_Industry!$F$710*AB$221+Mitigation_Industry!$G$710*AB$220</f>
        <v>0</v>
      </c>
      <c r="AC235" s="141">
        <f>Mitigation_Industry!$F$710*AC$221+Mitigation_Industry!$G$710*AC$220</f>
        <v>0</v>
      </c>
      <c r="AD235" s="141">
        <f>Mitigation_Industry!$F$710*AD$221+Mitigation_Industry!$G$710*AD$220</f>
        <v>0</v>
      </c>
      <c r="AE235" s="141">
        <f>Mitigation_Industry!$F$710*AE$221+Mitigation_Industry!$G$710*AE$220</f>
        <v>0</v>
      </c>
      <c r="AF235" s="142"/>
      <c r="AG235" s="142"/>
      <c r="AH235" s="142"/>
      <c r="AI235" s="142"/>
    </row>
    <row r="236" spans="1:35" customFormat="1" ht="14.25" x14ac:dyDescent="0.45">
      <c r="B236" s="14" t="s">
        <v>2596</v>
      </c>
      <c r="C236" s="14" t="s">
        <v>43</v>
      </c>
      <c r="D236" s="15" t="s">
        <v>2597</v>
      </c>
      <c r="E236" s="16" t="s">
        <v>1414</v>
      </c>
      <c r="F236" s="14" t="s">
        <v>2590</v>
      </c>
      <c r="G236" s="17"/>
      <c r="H236" s="129" t="str">
        <f>Settings!$B$3&amp;".mit.pp.stl.bof.np.2"</f>
        <v>egy.mit.pp.stl.bof.np.2</v>
      </c>
      <c r="K236" s="140"/>
      <c r="L236" s="141">
        <f>Mitigation_Industry!$F$711*L$221+Mitigation_Industry!$G$711*L$220</f>
        <v>0</v>
      </c>
      <c r="M236" s="141">
        <f>Mitigation_Industry!$F$711*M$221+Mitigation_Industry!$G$711*M$220</f>
        <v>0</v>
      </c>
      <c r="N236" s="141">
        <f>Mitigation_Industry!$F$711*N$221+Mitigation_Industry!$G$711*N$220</f>
        <v>0</v>
      </c>
      <c r="O236" s="141">
        <f>Mitigation_Industry!$F$711*O$221+Mitigation_Industry!$G$711*O$220</f>
        <v>0</v>
      </c>
      <c r="P236" s="141">
        <f>Mitigation_Industry!$F$711*P$221+Mitigation_Industry!$G$711*P$220</f>
        <v>0</v>
      </c>
      <c r="Q236" s="141">
        <f>Mitigation_Industry!$F$711*Q$221+Mitigation_Industry!$G$711*Q$220</f>
        <v>0</v>
      </c>
      <c r="R236" s="141">
        <f>Mitigation_Industry!$F$711*R$221+Mitigation_Industry!$G$711*R$220</f>
        <v>0</v>
      </c>
      <c r="S236" s="141">
        <f>Mitigation_Industry!$F$711*S$221+Mitigation_Industry!$G$711*S$220</f>
        <v>0</v>
      </c>
      <c r="T236" s="141">
        <f>Mitigation_Industry!$F$711*T$221+Mitigation_Industry!$G$711*T$220</f>
        <v>0</v>
      </c>
      <c r="U236" s="141">
        <f>Mitigation_Industry!$F$711*U$221+Mitigation_Industry!$G$711*U$220</f>
        <v>0</v>
      </c>
      <c r="V236" s="141">
        <f>Mitigation_Industry!$F$711*V$221+Mitigation_Industry!$G$711*V$220</f>
        <v>0</v>
      </c>
      <c r="W236" s="141">
        <f>Mitigation_Industry!$F$711*W$221+Mitigation_Industry!$G$711*W$220</f>
        <v>0</v>
      </c>
      <c r="X236" s="141">
        <f>Mitigation_Industry!$F$711*X$221+Mitigation_Industry!$G$711*X$220</f>
        <v>0</v>
      </c>
      <c r="Y236" s="141">
        <f>Mitigation_Industry!$F$711*Y$221+Mitigation_Industry!$G$711*Y$220</f>
        <v>0</v>
      </c>
      <c r="Z236" s="141">
        <f>Mitigation_Industry!$F$711*Z$221+Mitigation_Industry!$G$711*Z$220</f>
        <v>0</v>
      </c>
      <c r="AA236" s="141">
        <f>Mitigation_Industry!$F$711*AA$221+Mitigation_Industry!$G$711*AA$220</f>
        <v>0</v>
      </c>
      <c r="AB236" s="141">
        <f>Mitigation_Industry!$F$711*AB$221+Mitigation_Industry!$G$711*AB$220</f>
        <v>0</v>
      </c>
      <c r="AC236" s="141">
        <f>Mitigation_Industry!$F$711*AC$221+Mitigation_Industry!$G$711*AC$220</f>
        <v>0</v>
      </c>
      <c r="AD236" s="141">
        <f>Mitigation_Industry!$F$711*AD$221+Mitigation_Industry!$G$711*AD$220</f>
        <v>0</v>
      </c>
      <c r="AE236" s="141">
        <f>Mitigation_Industry!$F$711*AE$221+Mitigation_Industry!$G$711*AE$220</f>
        <v>0</v>
      </c>
      <c r="AF236" s="142"/>
      <c r="AG236" s="142"/>
      <c r="AH236" s="142"/>
      <c r="AI236" s="142"/>
    </row>
    <row r="237" spans="1:35" customFormat="1" ht="14.25" x14ac:dyDescent="0.45">
      <c r="B237" s="14" t="s">
        <v>2598</v>
      </c>
      <c r="C237" s="14" t="s">
        <v>113</v>
      </c>
      <c r="D237" s="15" t="s">
        <v>2599</v>
      </c>
      <c r="E237" s="16" t="s">
        <v>1414</v>
      </c>
      <c r="F237" s="14" t="s">
        <v>2590</v>
      </c>
      <c r="G237" s="17"/>
      <c r="H237" s="129" t="str">
        <f>Settings!$B$3&amp;".mit.pp.cmt.dry.np.2"</f>
        <v>egy.mit.pp.cmt.dry.np.2</v>
      </c>
      <c r="K237" s="140"/>
      <c r="L237" s="141">
        <f>Mitigation_Industry!$F$712*L$221+Mitigation_Industry!$G$712*L$220</f>
        <v>0</v>
      </c>
      <c r="M237" s="141">
        <f>Mitigation_Industry!$F$712*M$221+Mitigation_Industry!$G$712*M$220</f>
        <v>0</v>
      </c>
      <c r="N237" s="141">
        <f>Mitigation_Industry!$F$712*N$221+Mitigation_Industry!$G$712*N$220</f>
        <v>0</v>
      </c>
      <c r="O237" s="141">
        <f>Mitigation_Industry!$F$712*O$221+Mitigation_Industry!$G$712*O$220</f>
        <v>0</v>
      </c>
      <c r="P237" s="141">
        <f>Mitigation_Industry!$F$712*P$221+Mitigation_Industry!$G$712*P$220</f>
        <v>0</v>
      </c>
      <c r="Q237" s="141">
        <f>Mitigation_Industry!$F$712*Q$221+Mitigation_Industry!$G$712*Q$220</f>
        <v>0</v>
      </c>
      <c r="R237" s="141">
        <f>Mitigation_Industry!$F$712*R$221+Mitigation_Industry!$G$712*R$220</f>
        <v>0</v>
      </c>
      <c r="S237" s="141">
        <f>Mitigation_Industry!$F$712*S$221+Mitigation_Industry!$G$712*S$220</f>
        <v>0</v>
      </c>
      <c r="T237" s="141">
        <f>Mitigation_Industry!$F$712*T$221+Mitigation_Industry!$G$712*T$220</f>
        <v>0</v>
      </c>
      <c r="U237" s="141">
        <f>Mitigation_Industry!$F$712*U$221+Mitigation_Industry!$G$712*U$220</f>
        <v>0</v>
      </c>
      <c r="V237" s="141">
        <f>Mitigation_Industry!$F$712*V$221+Mitigation_Industry!$G$712*V$220</f>
        <v>0</v>
      </c>
      <c r="W237" s="141">
        <f>Mitigation_Industry!$F$712*W$221+Mitigation_Industry!$G$712*W$220</f>
        <v>0</v>
      </c>
      <c r="X237" s="141">
        <f>Mitigation_Industry!$F$712*X$221+Mitigation_Industry!$G$712*X$220</f>
        <v>0</v>
      </c>
      <c r="Y237" s="141">
        <f>Mitigation_Industry!$F$712*Y$221+Mitigation_Industry!$G$712*Y$220</f>
        <v>0</v>
      </c>
      <c r="Z237" s="141">
        <f>Mitigation_Industry!$F$712*Z$221+Mitigation_Industry!$G$712*Z$220</f>
        <v>0</v>
      </c>
      <c r="AA237" s="141">
        <f>Mitigation_Industry!$F$712*AA$221+Mitigation_Industry!$G$712*AA$220</f>
        <v>0</v>
      </c>
      <c r="AB237" s="141">
        <f>Mitigation_Industry!$F$712*AB$221+Mitigation_Industry!$G$712*AB$220</f>
        <v>0</v>
      </c>
      <c r="AC237" s="141">
        <f>Mitigation_Industry!$F$712*AC$221+Mitigation_Industry!$G$712*AC$220</f>
        <v>0</v>
      </c>
      <c r="AD237" s="141">
        <f>Mitigation_Industry!$F$712*AD$221+Mitigation_Industry!$G$712*AD$220</f>
        <v>0</v>
      </c>
      <c r="AE237" s="141">
        <f>Mitigation_Industry!$F$712*AE$221+Mitigation_Industry!$G$712*AE$220</f>
        <v>0</v>
      </c>
      <c r="AF237" s="142"/>
      <c r="AG237" s="142"/>
      <c r="AH237" s="142"/>
      <c r="AI237" s="142"/>
    </row>
    <row r="238" spans="1:35" customFormat="1" ht="14.25" x14ac:dyDescent="0.45">
      <c r="B238" s="14" t="s">
        <v>2600</v>
      </c>
      <c r="C238" s="14" t="s">
        <v>117</v>
      </c>
      <c r="D238" s="15" t="s">
        <v>2601</v>
      </c>
      <c r="E238" s="16" t="s">
        <v>1414</v>
      </c>
      <c r="F238" s="14" t="s">
        <v>2590</v>
      </c>
      <c r="G238" s="17"/>
      <c r="H238" s="129" t="str">
        <f>Settings!$B$3&amp;".mit.pp.frt.amc.np.2"</f>
        <v>egy.mit.pp.frt.amc.np.2</v>
      </c>
      <c r="K238" s="140"/>
      <c r="L238" s="141">
        <f>Mitigation_Industry!$F$713*L$221+Mitigation_Industry!$G$713*L$220</f>
        <v>0</v>
      </c>
      <c r="M238" s="141">
        <f>Mitigation_Industry!$F$713*M$221+Mitigation_Industry!$G$713*M$220</f>
        <v>0</v>
      </c>
      <c r="N238" s="141">
        <f>Mitigation_Industry!$F$713*N$221+Mitigation_Industry!$G$713*N$220</f>
        <v>0</v>
      </c>
      <c r="O238" s="141">
        <f>Mitigation_Industry!$F$713*O$221+Mitigation_Industry!$G$713*O$220</f>
        <v>0</v>
      </c>
      <c r="P238" s="141">
        <f>Mitigation_Industry!$F$713*P$221+Mitigation_Industry!$G$713*P$220</f>
        <v>0</v>
      </c>
      <c r="Q238" s="141">
        <f>Mitigation_Industry!$F$713*Q$221+Mitigation_Industry!$G$713*Q$220</f>
        <v>0</v>
      </c>
      <c r="R238" s="141">
        <f>Mitigation_Industry!$F$713*R$221+Mitigation_Industry!$G$713*R$220</f>
        <v>0</v>
      </c>
      <c r="S238" s="141">
        <f>Mitigation_Industry!$F$713*S$221+Mitigation_Industry!$G$713*S$220</f>
        <v>0</v>
      </c>
      <c r="T238" s="141">
        <f>Mitigation_Industry!$F$713*T$221+Mitigation_Industry!$G$713*T$220</f>
        <v>0</v>
      </c>
      <c r="U238" s="141">
        <f>Mitigation_Industry!$F$713*U$221+Mitigation_Industry!$G$713*U$220</f>
        <v>0</v>
      </c>
      <c r="V238" s="141">
        <f>Mitigation_Industry!$F$713*V$221+Mitigation_Industry!$G$713*V$220</f>
        <v>0</v>
      </c>
      <c r="W238" s="141">
        <f>Mitigation_Industry!$F$713*W$221+Mitigation_Industry!$G$713*W$220</f>
        <v>0</v>
      </c>
      <c r="X238" s="141">
        <f>Mitigation_Industry!$F$713*X$221+Mitigation_Industry!$G$713*X$220</f>
        <v>0</v>
      </c>
      <c r="Y238" s="141">
        <f>Mitigation_Industry!$F$713*Y$221+Mitigation_Industry!$G$713*Y$220</f>
        <v>0</v>
      </c>
      <c r="Z238" s="141">
        <f>Mitigation_Industry!$F$713*Z$221+Mitigation_Industry!$G$713*Z$220</f>
        <v>0</v>
      </c>
      <c r="AA238" s="141">
        <f>Mitigation_Industry!$F$713*AA$221+Mitigation_Industry!$G$713*AA$220</f>
        <v>0</v>
      </c>
      <c r="AB238" s="141">
        <f>Mitigation_Industry!$F$713*AB$221+Mitigation_Industry!$G$713*AB$220</f>
        <v>0</v>
      </c>
      <c r="AC238" s="141">
        <f>Mitigation_Industry!$F$713*AC$221+Mitigation_Industry!$G$713*AC$220</f>
        <v>0</v>
      </c>
      <c r="AD238" s="141">
        <f>Mitigation_Industry!$F$713*AD$221+Mitigation_Industry!$G$713*AD$220</f>
        <v>0</v>
      </c>
      <c r="AE238" s="141">
        <f>Mitigation_Industry!$F$713*AE$221+Mitigation_Industry!$G$713*AE$220</f>
        <v>0</v>
      </c>
      <c r="AF238" s="142"/>
      <c r="AG238" s="142"/>
      <c r="AH238" s="142"/>
      <c r="AI238" s="142"/>
    </row>
    <row r="239" spans="1:35" customFormat="1" ht="14.25" x14ac:dyDescent="0.45">
      <c r="B239" s="14" t="s">
        <v>2602</v>
      </c>
      <c r="C239" s="14" t="s">
        <v>117</v>
      </c>
      <c r="D239" s="15" t="s">
        <v>2603</v>
      </c>
      <c r="E239" s="16" t="s">
        <v>1414</v>
      </c>
      <c r="F239" s="14" t="s">
        <v>2590</v>
      </c>
      <c r="G239" s="17"/>
      <c r="H239" s="129" t="str">
        <f>Settings!$B$3&amp;".mit.pp.frt.ure.np.2"</f>
        <v>egy.mit.pp.frt.ure.np.2</v>
      </c>
      <c r="K239" s="140"/>
      <c r="L239" s="141">
        <f>Mitigation_Industry!$F$714*L$221+Mitigation_Industry!$G$714*L$220</f>
        <v>0</v>
      </c>
      <c r="M239" s="141">
        <f>Mitigation_Industry!$F$714*M$221+Mitigation_Industry!$G$714*M$220</f>
        <v>0</v>
      </c>
      <c r="N239" s="141">
        <f>Mitigation_Industry!$F$714*N$221+Mitigation_Industry!$G$714*N$220</f>
        <v>0</v>
      </c>
      <c r="O239" s="141">
        <f>Mitigation_Industry!$F$714*O$221+Mitigation_Industry!$G$714*O$220</f>
        <v>0</v>
      </c>
      <c r="P239" s="141">
        <f>Mitigation_Industry!$F$714*P$221+Mitigation_Industry!$G$714*P$220</f>
        <v>0</v>
      </c>
      <c r="Q239" s="141">
        <f>Mitigation_Industry!$F$714*Q$221+Mitigation_Industry!$G$714*Q$220</f>
        <v>0</v>
      </c>
      <c r="R239" s="141">
        <f>Mitigation_Industry!$F$714*R$221+Mitigation_Industry!$G$714*R$220</f>
        <v>0</v>
      </c>
      <c r="S239" s="141">
        <f>Mitigation_Industry!$F$714*S$221+Mitigation_Industry!$G$714*S$220</f>
        <v>0</v>
      </c>
      <c r="T239" s="141">
        <f>Mitigation_Industry!$F$714*T$221+Mitigation_Industry!$G$714*T$220</f>
        <v>0</v>
      </c>
      <c r="U239" s="141">
        <f>Mitigation_Industry!$F$714*U$221+Mitigation_Industry!$G$714*U$220</f>
        <v>0</v>
      </c>
      <c r="V239" s="141">
        <f>Mitigation_Industry!$F$714*V$221+Mitigation_Industry!$G$714*V$220</f>
        <v>0</v>
      </c>
      <c r="W239" s="141">
        <f>Mitigation_Industry!$F$714*W$221+Mitigation_Industry!$G$714*W$220</f>
        <v>0</v>
      </c>
      <c r="X239" s="141">
        <f>Mitigation_Industry!$F$714*X$221+Mitigation_Industry!$G$714*X$220</f>
        <v>0</v>
      </c>
      <c r="Y239" s="141">
        <f>Mitigation_Industry!$F$714*Y$221+Mitigation_Industry!$G$714*Y$220</f>
        <v>0</v>
      </c>
      <c r="Z239" s="141">
        <f>Mitigation_Industry!$F$714*Z$221+Mitigation_Industry!$G$714*Z$220</f>
        <v>0</v>
      </c>
      <c r="AA239" s="141">
        <f>Mitigation_Industry!$F$714*AA$221+Mitigation_Industry!$G$714*AA$220</f>
        <v>0</v>
      </c>
      <c r="AB239" s="141">
        <f>Mitigation_Industry!$F$714*AB$221+Mitigation_Industry!$G$714*AB$220</f>
        <v>0</v>
      </c>
      <c r="AC239" s="141">
        <f>Mitigation_Industry!$F$714*AC$221+Mitigation_Industry!$G$714*AC$220</f>
        <v>0</v>
      </c>
      <c r="AD239" s="141">
        <f>Mitigation_Industry!$F$714*AD$221+Mitigation_Industry!$G$714*AD$220</f>
        <v>0</v>
      </c>
      <c r="AE239" s="141">
        <f>Mitigation_Industry!$F$714*AE$221+Mitigation_Industry!$G$714*AE$220</f>
        <v>0</v>
      </c>
      <c r="AF239" s="142"/>
      <c r="AG239" s="142"/>
      <c r="AH239" s="142"/>
      <c r="AI239" s="142"/>
    </row>
    <row r="240" spans="1:35" customFormat="1" ht="14.25" x14ac:dyDescent="0.45">
      <c r="B240" s="14" t="s">
        <v>2604</v>
      </c>
      <c r="C240" s="14" t="s">
        <v>117</v>
      </c>
      <c r="D240" s="15" t="s">
        <v>2605</v>
      </c>
      <c r="E240" s="16" t="s">
        <v>1414</v>
      </c>
      <c r="F240" s="14" t="s">
        <v>2590</v>
      </c>
      <c r="G240" s="17"/>
      <c r="H240" s="129" t="str">
        <f>Settings!$B$3&amp;".mit.pp.frt.nit.np.2"</f>
        <v>egy.mit.pp.frt.nit.np.2</v>
      </c>
      <c r="K240" s="140"/>
      <c r="L240" s="141">
        <f>Mitigation_Industry!$F$715*L$221+Mitigation_Industry!$G$715*L$220</f>
        <v>0</v>
      </c>
      <c r="M240" s="141">
        <f>Mitigation_Industry!$F$715*M$221+Mitigation_Industry!$G$715*M$220</f>
        <v>0</v>
      </c>
      <c r="N240" s="141">
        <f>Mitigation_Industry!$F$715*N$221+Mitigation_Industry!$G$715*N$220</f>
        <v>0</v>
      </c>
      <c r="O240" s="141">
        <f>Mitigation_Industry!$F$715*O$221+Mitigation_Industry!$G$715*O$220</f>
        <v>0</v>
      </c>
      <c r="P240" s="141">
        <f>Mitigation_Industry!$F$715*P$221+Mitigation_Industry!$G$715*P$220</f>
        <v>0</v>
      </c>
      <c r="Q240" s="141">
        <f>Mitigation_Industry!$F$715*Q$221+Mitigation_Industry!$G$715*Q$220</f>
        <v>0</v>
      </c>
      <c r="R240" s="141">
        <f>Mitigation_Industry!$F$715*R$221+Mitigation_Industry!$G$715*R$220</f>
        <v>0</v>
      </c>
      <c r="S240" s="141">
        <f>Mitigation_Industry!$F$715*S$221+Mitigation_Industry!$G$715*S$220</f>
        <v>0</v>
      </c>
      <c r="T240" s="141">
        <f>Mitigation_Industry!$F$715*T$221+Mitigation_Industry!$G$715*T$220</f>
        <v>0</v>
      </c>
      <c r="U240" s="141">
        <f>Mitigation_Industry!$F$715*U$221+Mitigation_Industry!$G$715*U$220</f>
        <v>0</v>
      </c>
      <c r="V240" s="141">
        <f>Mitigation_Industry!$F$715*V$221+Mitigation_Industry!$G$715*V$220</f>
        <v>0</v>
      </c>
      <c r="W240" s="141">
        <f>Mitigation_Industry!$F$715*W$221+Mitigation_Industry!$G$715*W$220</f>
        <v>0</v>
      </c>
      <c r="X240" s="141">
        <f>Mitigation_Industry!$F$715*X$221+Mitigation_Industry!$G$715*X$220</f>
        <v>0</v>
      </c>
      <c r="Y240" s="141">
        <f>Mitigation_Industry!$F$715*Y$221+Mitigation_Industry!$G$715*Y$220</f>
        <v>0</v>
      </c>
      <c r="Z240" s="141">
        <f>Mitigation_Industry!$F$715*Z$221+Mitigation_Industry!$G$715*Z$220</f>
        <v>0</v>
      </c>
      <c r="AA240" s="141">
        <f>Mitigation_Industry!$F$715*AA$221+Mitigation_Industry!$G$715*AA$220</f>
        <v>0</v>
      </c>
      <c r="AB240" s="141">
        <f>Mitigation_Industry!$F$715*AB$221+Mitigation_Industry!$G$715*AB$220</f>
        <v>0</v>
      </c>
      <c r="AC240" s="141">
        <f>Mitigation_Industry!$F$715*AC$221+Mitigation_Industry!$G$715*AC$220</f>
        <v>0</v>
      </c>
      <c r="AD240" s="141">
        <f>Mitigation_Industry!$F$715*AD$221+Mitigation_Industry!$G$715*AD$220</f>
        <v>0</v>
      </c>
      <c r="AE240" s="141">
        <f>Mitigation_Industry!$F$715*AE$221+Mitigation_Industry!$G$715*AE$220</f>
        <v>0</v>
      </c>
      <c r="AF240" s="142"/>
      <c r="AG240" s="142"/>
      <c r="AH240" s="142"/>
      <c r="AI240" s="142"/>
    </row>
    <row r="241" spans="1:35" customFormat="1" ht="14.25" x14ac:dyDescent="0.45">
      <c r="B241" s="14" t="s">
        <v>2606</v>
      </c>
      <c r="C241" s="14" t="s">
        <v>115</v>
      </c>
      <c r="D241" s="15" t="s">
        <v>2607</v>
      </c>
      <c r="E241" s="16" t="s">
        <v>1414</v>
      </c>
      <c r="F241" s="14" t="s">
        <v>2590</v>
      </c>
      <c r="G241" s="17"/>
      <c r="H241" s="129" t="str">
        <f>Settings!$B$3&amp;".mit.pp.alu.prp.np.2"</f>
        <v>egy.mit.pp.alu.prp.np.2</v>
      </c>
      <c r="K241" s="140"/>
      <c r="L241" s="141">
        <f>Mitigation_Industry!$F$716*L$221+Mitigation_Industry!$G$716*L$220</f>
        <v>0</v>
      </c>
      <c r="M241" s="141">
        <f>Mitigation_Industry!$F$716*M$221+Mitigation_Industry!$G$716*M$220</f>
        <v>0</v>
      </c>
      <c r="N241" s="141">
        <f>Mitigation_Industry!$F$716*N$221+Mitigation_Industry!$G$716*N$220</f>
        <v>0</v>
      </c>
      <c r="O241" s="141">
        <f>Mitigation_Industry!$F$716*O$221+Mitigation_Industry!$G$716*O$220</f>
        <v>0</v>
      </c>
      <c r="P241" s="141">
        <f>Mitigation_Industry!$F$716*P$221+Mitigation_Industry!$G$716*P$220</f>
        <v>0</v>
      </c>
      <c r="Q241" s="141">
        <f>Mitigation_Industry!$F$716*Q$221+Mitigation_Industry!$G$716*Q$220</f>
        <v>0</v>
      </c>
      <c r="R241" s="141">
        <f>Mitigation_Industry!$F$716*R$221+Mitigation_Industry!$G$716*R$220</f>
        <v>0</v>
      </c>
      <c r="S241" s="141">
        <f>Mitigation_Industry!$F$716*S$221+Mitigation_Industry!$G$716*S$220</f>
        <v>0</v>
      </c>
      <c r="T241" s="141">
        <f>Mitigation_Industry!$F$716*T$221+Mitigation_Industry!$G$716*T$220</f>
        <v>0</v>
      </c>
      <c r="U241" s="141">
        <f>Mitigation_Industry!$F$716*U$221+Mitigation_Industry!$G$716*U$220</f>
        <v>0</v>
      </c>
      <c r="V241" s="141">
        <f>Mitigation_Industry!$F$716*V$221+Mitigation_Industry!$G$716*V$220</f>
        <v>0</v>
      </c>
      <c r="W241" s="141">
        <f>Mitigation_Industry!$F$716*W$221+Mitigation_Industry!$G$716*W$220</f>
        <v>0</v>
      </c>
      <c r="X241" s="141">
        <f>Mitigation_Industry!$F$716*X$221+Mitigation_Industry!$G$716*X$220</f>
        <v>0</v>
      </c>
      <c r="Y241" s="141">
        <f>Mitigation_Industry!$F$716*Y$221+Mitigation_Industry!$G$716*Y$220</f>
        <v>0</v>
      </c>
      <c r="Z241" s="141">
        <f>Mitigation_Industry!$F$716*Z$221+Mitigation_Industry!$G$716*Z$220</f>
        <v>0</v>
      </c>
      <c r="AA241" s="141">
        <f>Mitigation_Industry!$F$716*AA$221+Mitigation_Industry!$G$716*AA$220</f>
        <v>0</v>
      </c>
      <c r="AB241" s="141">
        <f>Mitigation_Industry!$F$716*AB$221+Mitigation_Industry!$G$716*AB$220</f>
        <v>0</v>
      </c>
      <c r="AC241" s="141">
        <f>Mitigation_Industry!$F$716*AC$221+Mitigation_Industry!$G$716*AC$220</f>
        <v>0</v>
      </c>
      <c r="AD241" s="141">
        <f>Mitigation_Industry!$F$716*AD$221+Mitigation_Industry!$G$716*AD$220</f>
        <v>0</v>
      </c>
      <c r="AE241" s="141">
        <f>Mitigation_Industry!$F$716*AE$221+Mitigation_Industry!$G$716*AE$220</f>
        <v>0</v>
      </c>
      <c r="AF241" s="142"/>
      <c r="AG241" s="142"/>
      <c r="AH241" s="142"/>
      <c r="AI241" s="142"/>
    </row>
    <row r="242" spans="1:35" customFormat="1" ht="14.25" x14ac:dyDescent="0.45">
      <c r="B242" s="14" t="s">
        <v>2608</v>
      </c>
      <c r="C242" s="14" t="s">
        <v>43</v>
      </c>
      <c r="D242" s="15" t="s">
        <v>2609</v>
      </c>
      <c r="E242" s="16" t="s">
        <v>1414</v>
      </c>
      <c r="F242" s="14" t="s">
        <v>2590</v>
      </c>
      <c r="G242" s="17"/>
      <c r="H242" s="129" t="str">
        <f>Settings!$B$3&amp;".mit.pp.stl.drg.no.2"</f>
        <v>egy.mit.pp.stl.drg.no.2</v>
      </c>
      <c r="K242" s="140"/>
      <c r="L242" s="141">
        <f>Mitigation_Industry!$F$709*L$221+Mitigation_Industry!$G$709*L$220</f>
        <v>0</v>
      </c>
      <c r="M242" s="141">
        <f>Mitigation_Industry!$F$709*M$221+Mitigation_Industry!$G$709*M$220</f>
        <v>0</v>
      </c>
      <c r="N242" s="141">
        <f>Mitigation_Industry!$F$709*N$221+Mitigation_Industry!$G$709*N$220</f>
        <v>0</v>
      </c>
      <c r="O242" s="141">
        <f>Mitigation_Industry!$F$709*O$221+Mitigation_Industry!$G$709*O$220</f>
        <v>0</v>
      </c>
      <c r="P242" s="141">
        <f>Mitigation_Industry!$F$709*P$221+Mitigation_Industry!$G$709*P$220</f>
        <v>0</v>
      </c>
      <c r="Q242" s="141">
        <f>Mitigation_Industry!$F$709*Q$221+Mitigation_Industry!$G$709*Q$220</f>
        <v>0</v>
      </c>
      <c r="R242" s="141">
        <f>Mitigation_Industry!$F$709*R$221+Mitigation_Industry!$G$709*R$220</f>
        <v>0</v>
      </c>
      <c r="S242" s="141">
        <f>Mitigation_Industry!$F$709*S$221+Mitigation_Industry!$G$709*S$220</f>
        <v>0</v>
      </c>
      <c r="T242" s="141">
        <f>Mitigation_Industry!$F$709*T$221+Mitigation_Industry!$G$709*T$220</f>
        <v>0</v>
      </c>
      <c r="U242" s="141">
        <f>Mitigation_Industry!$F$709*U$221+Mitigation_Industry!$G$709*U$220</f>
        <v>0</v>
      </c>
      <c r="V242" s="141">
        <f>Mitigation_Industry!$F$709*V$221+Mitigation_Industry!$G$709*V$220</f>
        <v>0</v>
      </c>
      <c r="W242" s="141">
        <f>Mitigation_Industry!$F$709*W$221+Mitigation_Industry!$G$709*W$220</f>
        <v>0</v>
      </c>
      <c r="X242" s="141">
        <f>Mitigation_Industry!$F$709*X$221+Mitigation_Industry!$G$709*X$220</f>
        <v>0</v>
      </c>
      <c r="Y242" s="141">
        <f>Mitigation_Industry!$F$709*Y$221+Mitigation_Industry!$G$709*Y$220</f>
        <v>0</v>
      </c>
      <c r="Z242" s="141">
        <f>Mitigation_Industry!$F$709*Z$221+Mitigation_Industry!$G$709*Z$220</f>
        <v>0</v>
      </c>
      <c r="AA242" s="141">
        <f>Mitigation_Industry!$F$709*AA$221+Mitigation_Industry!$G$709*AA$220</f>
        <v>0</v>
      </c>
      <c r="AB242" s="141">
        <f>Mitigation_Industry!$F$709*AB$221+Mitigation_Industry!$G$709*AB$220</f>
        <v>0</v>
      </c>
      <c r="AC242" s="141">
        <f>Mitigation_Industry!$F$709*AC$221+Mitigation_Industry!$G$709*AC$220</f>
        <v>0</v>
      </c>
      <c r="AD242" s="141">
        <f>Mitigation_Industry!$F$709*AD$221+Mitigation_Industry!$G$709*AD$220</f>
        <v>0</v>
      </c>
      <c r="AE242" s="141">
        <f>Mitigation_Industry!$F$709*AE$221+Mitigation_Industry!$G$709*AE$220</f>
        <v>0</v>
      </c>
      <c r="AF242" s="142"/>
      <c r="AG242" s="142"/>
      <c r="AH242" s="142"/>
      <c r="AI242" s="142"/>
    </row>
    <row r="243" spans="1:35" customFormat="1" ht="14.25" x14ac:dyDescent="0.45">
      <c r="B243" s="14" t="s">
        <v>2610</v>
      </c>
      <c r="C243" s="14" t="s">
        <v>43</v>
      </c>
      <c r="D243" s="15" t="s">
        <v>2611</v>
      </c>
      <c r="E243" s="16" t="s">
        <v>1414</v>
      </c>
      <c r="F243" s="14" t="s">
        <v>2590</v>
      </c>
      <c r="G243" s="17"/>
      <c r="H243" s="129" t="str">
        <f>Settings!$B$3&amp;".mit.pp.stl.scr.no.2"</f>
        <v>egy.mit.pp.stl.scr.no.2</v>
      </c>
      <c r="K243" s="140"/>
      <c r="L243" s="141">
        <f>Mitigation_Industry!$F$710*L$221+Mitigation_Industry!$G$710*L$220</f>
        <v>0</v>
      </c>
      <c r="M243" s="141">
        <f>Mitigation_Industry!$F$710*M$221+Mitigation_Industry!$G$710*M$220</f>
        <v>0</v>
      </c>
      <c r="N243" s="141">
        <f>Mitigation_Industry!$F$710*N$221+Mitigation_Industry!$G$710*N$220</f>
        <v>0</v>
      </c>
      <c r="O243" s="141">
        <f>Mitigation_Industry!$F$710*O$221+Mitigation_Industry!$G$710*O$220</f>
        <v>0</v>
      </c>
      <c r="P243" s="141">
        <f>Mitigation_Industry!$F$710*P$221+Mitigation_Industry!$G$710*P$220</f>
        <v>0</v>
      </c>
      <c r="Q243" s="141">
        <f>Mitigation_Industry!$F$710*Q$221+Mitigation_Industry!$G$710*Q$220</f>
        <v>0</v>
      </c>
      <c r="R243" s="141">
        <f>Mitigation_Industry!$F$710*R$221+Mitigation_Industry!$G$710*R$220</f>
        <v>0</v>
      </c>
      <c r="S243" s="141">
        <f>Mitigation_Industry!$F$710*S$221+Mitigation_Industry!$G$710*S$220</f>
        <v>0</v>
      </c>
      <c r="T243" s="141">
        <f>Mitigation_Industry!$F$710*T$221+Mitigation_Industry!$G$710*T$220</f>
        <v>0</v>
      </c>
      <c r="U243" s="141">
        <f>Mitigation_Industry!$F$710*U$221+Mitigation_Industry!$G$710*U$220</f>
        <v>0</v>
      </c>
      <c r="V243" s="141">
        <f>Mitigation_Industry!$F$710*V$221+Mitigation_Industry!$G$710*V$220</f>
        <v>0</v>
      </c>
      <c r="W243" s="141">
        <f>Mitigation_Industry!$F$710*W$221+Mitigation_Industry!$G$710*W$220</f>
        <v>0</v>
      </c>
      <c r="X243" s="141">
        <f>Mitigation_Industry!$F$710*X$221+Mitigation_Industry!$G$710*X$220</f>
        <v>0</v>
      </c>
      <c r="Y243" s="141">
        <f>Mitigation_Industry!$F$710*Y$221+Mitigation_Industry!$G$710*Y$220</f>
        <v>0</v>
      </c>
      <c r="Z243" s="141">
        <f>Mitigation_Industry!$F$710*Z$221+Mitigation_Industry!$G$710*Z$220</f>
        <v>0</v>
      </c>
      <c r="AA243" s="141">
        <f>Mitigation_Industry!$F$710*AA$221+Mitigation_Industry!$G$710*AA$220</f>
        <v>0</v>
      </c>
      <c r="AB243" s="141">
        <f>Mitigation_Industry!$F$710*AB$221+Mitigation_Industry!$G$710*AB$220</f>
        <v>0</v>
      </c>
      <c r="AC243" s="141">
        <f>Mitigation_Industry!$F$710*AC$221+Mitigation_Industry!$G$710*AC$220</f>
        <v>0</v>
      </c>
      <c r="AD243" s="141">
        <f>Mitigation_Industry!$F$710*AD$221+Mitigation_Industry!$G$710*AD$220</f>
        <v>0</v>
      </c>
      <c r="AE243" s="141">
        <f>Mitigation_Industry!$F$710*AE$221+Mitigation_Industry!$G$710*AE$220</f>
        <v>0</v>
      </c>
      <c r="AF243" s="142"/>
      <c r="AG243" s="142"/>
      <c r="AH243" s="142"/>
      <c r="AI243" s="142"/>
    </row>
    <row r="244" spans="1:35" customFormat="1" ht="14.25" x14ac:dyDescent="0.45">
      <c r="B244" s="14" t="s">
        <v>2612</v>
      </c>
      <c r="C244" s="14" t="s">
        <v>43</v>
      </c>
      <c r="D244" s="15" t="s">
        <v>2613</v>
      </c>
      <c r="E244" s="16" t="s">
        <v>1414</v>
      </c>
      <c r="F244" s="14" t="s">
        <v>2590</v>
      </c>
      <c r="G244" s="17"/>
      <c r="H244" s="129" t="str">
        <f>Settings!$B$3&amp;".mit.pp.stl.bof.no.2"</f>
        <v>egy.mit.pp.stl.bof.no.2</v>
      </c>
      <c r="K244" s="140"/>
      <c r="L244" s="141">
        <f>Mitigation_Industry!$F$711*L$221+Mitigation_Industry!$G$711*L$220</f>
        <v>0</v>
      </c>
      <c r="M244" s="141">
        <f>Mitigation_Industry!$F$711*M$221+Mitigation_Industry!$G$711*M$220</f>
        <v>0</v>
      </c>
      <c r="N244" s="141">
        <f>Mitigation_Industry!$F$711*N$221+Mitigation_Industry!$G$711*N$220</f>
        <v>0</v>
      </c>
      <c r="O244" s="141">
        <f>Mitigation_Industry!$F$711*O$221+Mitigation_Industry!$G$711*O$220</f>
        <v>0</v>
      </c>
      <c r="P244" s="141">
        <f>Mitigation_Industry!$F$711*P$221+Mitigation_Industry!$G$711*P$220</f>
        <v>0</v>
      </c>
      <c r="Q244" s="141">
        <f>Mitigation_Industry!$F$711*Q$221+Mitigation_Industry!$G$711*Q$220</f>
        <v>0</v>
      </c>
      <c r="R244" s="141">
        <f>Mitigation_Industry!$F$711*R$221+Mitigation_Industry!$G$711*R$220</f>
        <v>0</v>
      </c>
      <c r="S244" s="141">
        <f>Mitigation_Industry!$F$711*S$221+Mitigation_Industry!$G$711*S$220</f>
        <v>0</v>
      </c>
      <c r="T244" s="141">
        <f>Mitigation_Industry!$F$711*T$221+Mitigation_Industry!$G$711*T$220</f>
        <v>0</v>
      </c>
      <c r="U244" s="141">
        <f>Mitigation_Industry!$F$711*U$221+Mitigation_Industry!$G$711*U$220</f>
        <v>0</v>
      </c>
      <c r="V244" s="141">
        <f>Mitigation_Industry!$F$711*V$221+Mitigation_Industry!$G$711*V$220</f>
        <v>0</v>
      </c>
      <c r="W244" s="141">
        <f>Mitigation_Industry!$F$711*W$221+Mitigation_Industry!$G$711*W$220</f>
        <v>0</v>
      </c>
      <c r="X244" s="141">
        <f>Mitigation_Industry!$F$711*X$221+Mitigation_Industry!$G$711*X$220</f>
        <v>0</v>
      </c>
      <c r="Y244" s="141">
        <f>Mitigation_Industry!$F$711*Y$221+Mitigation_Industry!$G$711*Y$220</f>
        <v>0</v>
      </c>
      <c r="Z244" s="141">
        <f>Mitigation_Industry!$F$711*Z$221+Mitigation_Industry!$G$711*Z$220</f>
        <v>0</v>
      </c>
      <c r="AA244" s="141">
        <f>Mitigation_Industry!$F$711*AA$221+Mitigation_Industry!$G$711*AA$220</f>
        <v>0</v>
      </c>
      <c r="AB244" s="141">
        <f>Mitigation_Industry!$F$711*AB$221+Mitigation_Industry!$G$711*AB$220</f>
        <v>0</v>
      </c>
      <c r="AC244" s="141">
        <f>Mitigation_Industry!$F$711*AC$221+Mitigation_Industry!$G$711*AC$220</f>
        <v>0</v>
      </c>
      <c r="AD244" s="141">
        <f>Mitigation_Industry!$F$711*AD$221+Mitigation_Industry!$G$711*AD$220</f>
        <v>0</v>
      </c>
      <c r="AE244" s="141">
        <f>Mitigation_Industry!$F$711*AE$221+Mitigation_Industry!$G$711*AE$220</f>
        <v>0</v>
      </c>
      <c r="AF244" s="142"/>
      <c r="AG244" s="142"/>
      <c r="AH244" s="142"/>
      <c r="AI244" s="142"/>
    </row>
    <row r="245" spans="1:35" customFormat="1" ht="14.25" x14ac:dyDescent="0.45">
      <c r="B245" s="14" t="s">
        <v>2614</v>
      </c>
      <c r="C245" s="14" t="s">
        <v>113</v>
      </c>
      <c r="D245" s="15" t="s">
        <v>2615</v>
      </c>
      <c r="E245" s="16" t="s">
        <v>1414</v>
      </c>
      <c r="F245" s="14" t="s">
        <v>2590</v>
      </c>
      <c r="G245" s="17"/>
      <c r="H245" s="129" t="str">
        <f>Settings!$B$3&amp;".mit.pp.cmt.dry.no.2"</f>
        <v>egy.mit.pp.cmt.dry.no.2</v>
      </c>
      <c r="K245" s="140"/>
      <c r="L245" s="141">
        <f>Mitigation_Industry!$F$712*L$221+Mitigation_Industry!$G$712*L$220</f>
        <v>0</v>
      </c>
      <c r="M245" s="141">
        <f>Mitigation_Industry!$F$712*M$221+Mitigation_Industry!$G$712*M$220</f>
        <v>0</v>
      </c>
      <c r="N245" s="141">
        <f>Mitigation_Industry!$F$712*N$221+Mitigation_Industry!$G$712*N$220</f>
        <v>0</v>
      </c>
      <c r="O245" s="141">
        <f>Mitigation_Industry!$F$712*O$221+Mitigation_Industry!$G$712*O$220</f>
        <v>0</v>
      </c>
      <c r="P245" s="141">
        <f>Mitigation_Industry!$F$712*P$221+Mitigation_Industry!$G$712*P$220</f>
        <v>0</v>
      </c>
      <c r="Q245" s="141">
        <f>Mitigation_Industry!$F$712*Q$221+Mitigation_Industry!$G$712*Q$220</f>
        <v>0</v>
      </c>
      <c r="R245" s="141">
        <f>Mitigation_Industry!$F$712*R$221+Mitigation_Industry!$G$712*R$220</f>
        <v>0</v>
      </c>
      <c r="S245" s="141">
        <f>Mitigation_Industry!$F$712*S$221+Mitigation_Industry!$G$712*S$220</f>
        <v>0</v>
      </c>
      <c r="T245" s="141">
        <f>Mitigation_Industry!$F$712*T$221+Mitigation_Industry!$G$712*T$220</f>
        <v>0</v>
      </c>
      <c r="U245" s="141">
        <f>Mitigation_Industry!$F$712*U$221+Mitigation_Industry!$G$712*U$220</f>
        <v>0</v>
      </c>
      <c r="V245" s="141">
        <f>Mitigation_Industry!$F$712*V$221+Mitigation_Industry!$G$712*V$220</f>
        <v>0</v>
      </c>
      <c r="W245" s="141">
        <f>Mitigation_Industry!$F$712*W$221+Mitigation_Industry!$G$712*W$220</f>
        <v>0</v>
      </c>
      <c r="X245" s="141">
        <f>Mitigation_Industry!$F$712*X$221+Mitigation_Industry!$G$712*X$220</f>
        <v>0</v>
      </c>
      <c r="Y245" s="141">
        <f>Mitigation_Industry!$F$712*Y$221+Mitigation_Industry!$G$712*Y$220</f>
        <v>0</v>
      </c>
      <c r="Z245" s="141">
        <f>Mitigation_Industry!$F$712*Z$221+Mitigation_Industry!$G$712*Z$220</f>
        <v>0</v>
      </c>
      <c r="AA245" s="141">
        <f>Mitigation_Industry!$F$712*AA$221+Mitigation_Industry!$G$712*AA$220</f>
        <v>0</v>
      </c>
      <c r="AB245" s="141">
        <f>Mitigation_Industry!$F$712*AB$221+Mitigation_Industry!$G$712*AB$220</f>
        <v>0</v>
      </c>
      <c r="AC245" s="141">
        <f>Mitigation_Industry!$F$712*AC$221+Mitigation_Industry!$G$712*AC$220</f>
        <v>0</v>
      </c>
      <c r="AD245" s="141">
        <f>Mitigation_Industry!$F$712*AD$221+Mitigation_Industry!$G$712*AD$220</f>
        <v>0</v>
      </c>
      <c r="AE245" s="141">
        <f>Mitigation_Industry!$F$712*AE$221+Mitigation_Industry!$G$712*AE$220</f>
        <v>0</v>
      </c>
      <c r="AF245" s="142"/>
      <c r="AG245" s="142"/>
      <c r="AH245" s="142"/>
      <c r="AI245" s="142"/>
    </row>
    <row r="246" spans="1:35" customFormat="1" ht="14.25" x14ac:dyDescent="0.45">
      <c r="B246" s="14" t="s">
        <v>2616</v>
      </c>
      <c r="C246" s="14" t="s">
        <v>117</v>
      </c>
      <c r="D246" s="15" t="s">
        <v>2617</v>
      </c>
      <c r="E246" s="16" t="s">
        <v>1414</v>
      </c>
      <c r="F246" s="14" t="s">
        <v>2590</v>
      </c>
      <c r="G246" s="17"/>
      <c r="H246" s="129" t="str">
        <f>Settings!$B$3&amp;".mit.pp.frt.amc.no.2"</f>
        <v>egy.mit.pp.frt.amc.no.2</v>
      </c>
      <c r="K246" s="140"/>
      <c r="L246" s="141">
        <f>Mitigation_Industry!$F$713*L$221+Mitigation_Industry!$G$713*L$220</f>
        <v>0</v>
      </c>
      <c r="M246" s="141">
        <f>Mitigation_Industry!$F$713*M$221+Mitigation_Industry!$G$713*M$220</f>
        <v>0</v>
      </c>
      <c r="N246" s="141">
        <f>Mitigation_Industry!$F$713*N$221+Mitigation_Industry!$G$713*N$220</f>
        <v>0</v>
      </c>
      <c r="O246" s="141">
        <f>Mitigation_Industry!$F$713*O$221+Mitigation_Industry!$G$713*O$220</f>
        <v>0</v>
      </c>
      <c r="P246" s="141">
        <f>Mitigation_Industry!$F$713*P$221+Mitigation_Industry!$G$713*P$220</f>
        <v>0</v>
      </c>
      <c r="Q246" s="141">
        <f>Mitigation_Industry!$F$713*Q$221+Mitigation_Industry!$G$713*Q$220</f>
        <v>0</v>
      </c>
      <c r="R246" s="141">
        <f>Mitigation_Industry!$F$713*R$221+Mitigation_Industry!$G$713*R$220</f>
        <v>0</v>
      </c>
      <c r="S246" s="141">
        <f>Mitigation_Industry!$F$713*S$221+Mitigation_Industry!$G$713*S$220</f>
        <v>0</v>
      </c>
      <c r="T246" s="141">
        <f>Mitigation_Industry!$F$713*T$221+Mitigation_Industry!$G$713*T$220</f>
        <v>0</v>
      </c>
      <c r="U246" s="141">
        <f>Mitigation_Industry!$F$713*U$221+Mitigation_Industry!$G$713*U$220</f>
        <v>0</v>
      </c>
      <c r="V246" s="141">
        <f>Mitigation_Industry!$F$713*V$221+Mitigation_Industry!$G$713*V$220</f>
        <v>0</v>
      </c>
      <c r="W246" s="141">
        <f>Mitigation_Industry!$F$713*W$221+Mitigation_Industry!$G$713*W$220</f>
        <v>0</v>
      </c>
      <c r="X246" s="141">
        <f>Mitigation_Industry!$F$713*X$221+Mitigation_Industry!$G$713*X$220</f>
        <v>0</v>
      </c>
      <c r="Y246" s="141">
        <f>Mitigation_Industry!$F$713*Y$221+Mitigation_Industry!$G$713*Y$220</f>
        <v>0</v>
      </c>
      <c r="Z246" s="141">
        <f>Mitigation_Industry!$F$713*Z$221+Mitigation_Industry!$G$713*Z$220</f>
        <v>0</v>
      </c>
      <c r="AA246" s="141">
        <f>Mitigation_Industry!$F$713*AA$221+Mitigation_Industry!$G$713*AA$220</f>
        <v>0</v>
      </c>
      <c r="AB246" s="141">
        <f>Mitigation_Industry!$F$713*AB$221+Mitigation_Industry!$G$713*AB$220</f>
        <v>0</v>
      </c>
      <c r="AC246" s="141">
        <f>Mitigation_Industry!$F$713*AC$221+Mitigation_Industry!$G$713*AC$220</f>
        <v>0</v>
      </c>
      <c r="AD246" s="141">
        <f>Mitigation_Industry!$F$713*AD$221+Mitigation_Industry!$G$713*AD$220</f>
        <v>0</v>
      </c>
      <c r="AE246" s="141">
        <f>Mitigation_Industry!$F$713*AE$221+Mitigation_Industry!$G$713*AE$220</f>
        <v>0</v>
      </c>
      <c r="AF246" s="142"/>
      <c r="AG246" s="142"/>
      <c r="AH246" s="142"/>
      <c r="AI246" s="142"/>
    </row>
    <row r="247" spans="1:35" customFormat="1" ht="14.25" x14ac:dyDescent="0.45">
      <c r="B247" s="14" t="s">
        <v>2618</v>
      </c>
      <c r="C247" s="14" t="s">
        <v>117</v>
      </c>
      <c r="D247" s="15" t="s">
        <v>2619</v>
      </c>
      <c r="E247" s="16" t="s">
        <v>1414</v>
      </c>
      <c r="F247" s="14" t="s">
        <v>2590</v>
      </c>
      <c r="G247" s="17"/>
      <c r="H247" s="129" t="str">
        <f>Settings!$B$3&amp;".mit.pp.frt.ure.no.2"</f>
        <v>egy.mit.pp.frt.ure.no.2</v>
      </c>
      <c r="K247" s="140"/>
      <c r="L247" s="141">
        <f>Mitigation_Industry!$F$714*L$221+Mitigation_Industry!$G$714*L$220</f>
        <v>0</v>
      </c>
      <c r="M247" s="141">
        <f>Mitigation_Industry!$F$714*M$221+Mitigation_Industry!$G$714*M$220</f>
        <v>0</v>
      </c>
      <c r="N247" s="141">
        <f>Mitigation_Industry!$F$714*N$221+Mitigation_Industry!$G$714*N$220</f>
        <v>0</v>
      </c>
      <c r="O247" s="141">
        <f>Mitigation_Industry!$F$714*O$221+Mitigation_Industry!$G$714*O$220</f>
        <v>0</v>
      </c>
      <c r="P247" s="141">
        <f>Mitigation_Industry!$F$714*P$221+Mitigation_Industry!$G$714*P$220</f>
        <v>0</v>
      </c>
      <c r="Q247" s="141">
        <f>Mitigation_Industry!$F$714*Q$221+Mitigation_Industry!$G$714*Q$220</f>
        <v>0</v>
      </c>
      <c r="R247" s="141">
        <f>Mitigation_Industry!$F$714*R$221+Mitigation_Industry!$G$714*R$220</f>
        <v>0</v>
      </c>
      <c r="S247" s="141">
        <f>Mitigation_Industry!$F$714*S$221+Mitigation_Industry!$G$714*S$220</f>
        <v>0</v>
      </c>
      <c r="T247" s="141">
        <f>Mitigation_Industry!$F$714*T$221+Mitigation_Industry!$G$714*T$220</f>
        <v>0</v>
      </c>
      <c r="U247" s="141">
        <f>Mitigation_Industry!$F$714*U$221+Mitigation_Industry!$G$714*U$220</f>
        <v>0</v>
      </c>
      <c r="V247" s="141">
        <f>Mitigation_Industry!$F$714*V$221+Mitigation_Industry!$G$714*V$220</f>
        <v>0</v>
      </c>
      <c r="W247" s="141">
        <f>Mitigation_Industry!$F$714*W$221+Mitigation_Industry!$G$714*W$220</f>
        <v>0</v>
      </c>
      <c r="X247" s="141">
        <f>Mitigation_Industry!$F$714*X$221+Mitigation_Industry!$G$714*X$220</f>
        <v>0</v>
      </c>
      <c r="Y247" s="141">
        <f>Mitigation_Industry!$F$714*Y$221+Mitigation_Industry!$G$714*Y$220</f>
        <v>0</v>
      </c>
      <c r="Z247" s="141">
        <f>Mitigation_Industry!$F$714*Z$221+Mitigation_Industry!$G$714*Z$220</f>
        <v>0</v>
      </c>
      <c r="AA247" s="141">
        <f>Mitigation_Industry!$F$714*AA$221+Mitigation_Industry!$G$714*AA$220</f>
        <v>0</v>
      </c>
      <c r="AB247" s="141">
        <f>Mitigation_Industry!$F$714*AB$221+Mitigation_Industry!$G$714*AB$220</f>
        <v>0</v>
      </c>
      <c r="AC247" s="141">
        <f>Mitigation_Industry!$F$714*AC$221+Mitigation_Industry!$G$714*AC$220</f>
        <v>0</v>
      </c>
      <c r="AD247" s="141">
        <f>Mitigation_Industry!$F$714*AD$221+Mitigation_Industry!$G$714*AD$220</f>
        <v>0</v>
      </c>
      <c r="AE247" s="141">
        <f>Mitigation_Industry!$F$714*AE$221+Mitigation_Industry!$G$714*AE$220</f>
        <v>0</v>
      </c>
      <c r="AF247" s="142"/>
      <c r="AG247" s="142"/>
      <c r="AH247" s="142"/>
      <c r="AI247" s="142"/>
    </row>
    <row r="248" spans="1:35" customFormat="1" ht="14.25" x14ac:dyDescent="0.45">
      <c r="B248" s="14" t="s">
        <v>2620</v>
      </c>
      <c r="C248" s="14" t="s">
        <v>117</v>
      </c>
      <c r="D248" s="15" t="s">
        <v>2621</v>
      </c>
      <c r="E248" s="16" t="s">
        <v>1414</v>
      </c>
      <c r="F248" s="14" t="s">
        <v>2590</v>
      </c>
      <c r="G248" s="17"/>
      <c r="H248" s="129" t="str">
        <f>Settings!$B$3&amp;".mit.pp.frt.nit.no.2"</f>
        <v>egy.mit.pp.frt.nit.no.2</v>
      </c>
      <c r="K248" s="140"/>
      <c r="L248" s="141">
        <f>Mitigation_Industry!$F$715*L$221+Mitigation_Industry!$G$715*L$220</f>
        <v>0</v>
      </c>
      <c r="M248" s="141">
        <f>Mitigation_Industry!$F$715*M$221+Mitigation_Industry!$G$715*M$220</f>
        <v>0</v>
      </c>
      <c r="N248" s="141">
        <f>Mitigation_Industry!$F$715*N$221+Mitigation_Industry!$G$715*N$220</f>
        <v>0</v>
      </c>
      <c r="O248" s="141">
        <f>Mitigation_Industry!$F$715*O$221+Mitigation_Industry!$G$715*O$220</f>
        <v>0</v>
      </c>
      <c r="P248" s="141">
        <f>Mitigation_Industry!$F$715*P$221+Mitigation_Industry!$G$715*P$220</f>
        <v>0</v>
      </c>
      <c r="Q248" s="141">
        <f>Mitigation_Industry!$F$715*Q$221+Mitigation_Industry!$G$715*Q$220</f>
        <v>0</v>
      </c>
      <c r="R248" s="141">
        <f>Mitigation_Industry!$F$715*R$221+Mitigation_Industry!$G$715*R$220</f>
        <v>0</v>
      </c>
      <c r="S248" s="141">
        <f>Mitigation_Industry!$F$715*S$221+Mitigation_Industry!$G$715*S$220</f>
        <v>0</v>
      </c>
      <c r="T248" s="141">
        <f>Mitigation_Industry!$F$715*T$221+Mitigation_Industry!$G$715*T$220</f>
        <v>0</v>
      </c>
      <c r="U248" s="141">
        <f>Mitigation_Industry!$F$715*U$221+Mitigation_Industry!$G$715*U$220</f>
        <v>0</v>
      </c>
      <c r="V248" s="141">
        <f>Mitigation_Industry!$F$715*V$221+Mitigation_Industry!$G$715*V$220</f>
        <v>0</v>
      </c>
      <c r="W248" s="141">
        <f>Mitigation_Industry!$F$715*W$221+Mitigation_Industry!$G$715*W$220</f>
        <v>0</v>
      </c>
      <c r="X248" s="141">
        <f>Mitigation_Industry!$F$715*X$221+Mitigation_Industry!$G$715*X$220</f>
        <v>0</v>
      </c>
      <c r="Y248" s="141">
        <f>Mitigation_Industry!$F$715*Y$221+Mitigation_Industry!$G$715*Y$220</f>
        <v>0</v>
      </c>
      <c r="Z248" s="141">
        <f>Mitigation_Industry!$F$715*Z$221+Mitigation_Industry!$G$715*Z$220</f>
        <v>0</v>
      </c>
      <c r="AA248" s="141">
        <f>Mitigation_Industry!$F$715*AA$221+Mitigation_Industry!$G$715*AA$220</f>
        <v>0</v>
      </c>
      <c r="AB248" s="141">
        <f>Mitigation_Industry!$F$715*AB$221+Mitigation_Industry!$G$715*AB$220</f>
        <v>0</v>
      </c>
      <c r="AC248" s="141">
        <f>Mitigation_Industry!$F$715*AC$221+Mitigation_Industry!$G$715*AC$220</f>
        <v>0</v>
      </c>
      <c r="AD248" s="141">
        <f>Mitigation_Industry!$F$715*AD$221+Mitigation_Industry!$G$715*AD$220</f>
        <v>0</v>
      </c>
      <c r="AE248" s="141">
        <f>Mitigation_Industry!$F$715*AE$221+Mitigation_Industry!$G$715*AE$220</f>
        <v>0</v>
      </c>
      <c r="AF248" s="142"/>
      <c r="AG248" s="142"/>
      <c r="AH248" s="142"/>
      <c r="AI248" s="142"/>
    </row>
    <row r="249" spans="1:35" customFormat="1" ht="14.25" x14ac:dyDescent="0.45">
      <c r="B249" s="14" t="s">
        <v>2622</v>
      </c>
      <c r="C249" s="14" t="s">
        <v>115</v>
      </c>
      <c r="D249" s="15" t="s">
        <v>2623</v>
      </c>
      <c r="E249" s="16" t="s">
        <v>1414</v>
      </c>
      <c r="F249" s="14" t="s">
        <v>2590</v>
      </c>
      <c r="G249" s="17"/>
      <c r="H249" s="129" t="str">
        <f>Settings!$B$3&amp;".mit.pp.alu.prp.no.2"</f>
        <v>egy.mit.pp.alu.prp.no.2</v>
      </c>
      <c r="K249" s="140"/>
      <c r="L249" s="141">
        <f>Mitigation_Industry!$F$716*L$221+Mitigation_Industry!$G$716*L$220</f>
        <v>0</v>
      </c>
      <c r="M249" s="141">
        <f>Mitigation_Industry!$F$716*M$221+Mitigation_Industry!$G$716*M$220</f>
        <v>0</v>
      </c>
      <c r="N249" s="141">
        <f>Mitigation_Industry!$F$716*N$221+Mitigation_Industry!$G$716*N$220</f>
        <v>0</v>
      </c>
      <c r="O249" s="141">
        <f>Mitigation_Industry!$F$716*O$221+Mitigation_Industry!$G$716*O$220</f>
        <v>0</v>
      </c>
      <c r="P249" s="141">
        <f>Mitigation_Industry!$F$716*P$221+Mitigation_Industry!$G$716*P$220</f>
        <v>0</v>
      </c>
      <c r="Q249" s="141">
        <f>Mitigation_Industry!$F$716*Q$221+Mitigation_Industry!$G$716*Q$220</f>
        <v>0</v>
      </c>
      <c r="R249" s="141">
        <f>Mitigation_Industry!$F$716*R$221+Mitigation_Industry!$G$716*R$220</f>
        <v>0</v>
      </c>
      <c r="S249" s="141">
        <f>Mitigation_Industry!$F$716*S$221+Mitigation_Industry!$G$716*S$220</f>
        <v>0</v>
      </c>
      <c r="T249" s="141">
        <f>Mitigation_Industry!$F$716*T$221+Mitigation_Industry!$G$716*T$220</f>
        <v>0</v>
      </c>
      <c r="U249" s="141">
        <f>Mitigation_Industry!$F$716*U$221+Mitigation_Industry!$G$716*U$220</f>
        <v>0</v>
      </c>
      <c r="V249" s="141">
        <f>Mitigation_Industry!$F$716*V$221+Mitigation_Industry!$G$716*V$220</f>
        <v>0</v>
      </c>
      <c r="W249" s="141">
        <f>Mitigation_Industry!$F$716*W$221+Mitigation_Industry!$G$716*W$220</f>
        <v>0</v>
      </c>
      <c r="X249" s="141">
        <f>Mitigation_Industry!$F$716*X$221+Mitigation_Industry!$G$716*X$220</f>
        <v>0</v>
      </c>
      <c r="Y249" s="141">
        <f>Mitigation_Industry!$F$716*Y$221+Mitigation_Industry!$G$716*Y$220</f>
        <v>0</v>
      </c>
      <c r="Z249" s="141">
        <f>Mitigation_Industry!$F$716*Z$221+Mitigation_Industry!$G$716*Z$220</f>
        <v>0</v>
      </c>
      <c r="AA249" s="141">
        <f>Mitigation_Industry!$F$716*AA$221+Mitigation_Industry!$G$716*AA$220</f>
        <v>0</v>
      </c>
      <c r="AB249" s="141">
        <f>Mitigation_Industry!$F$716*AB$221+Mitigation_Industry!$G$716*AB$220</f>
        <v>0</v>
      </c>
      <c r="AC249" s="141">
        <f>Mitigation_Industry!$F$716*AC$221+Mitigation_Industry!$G$716*AC$220</f>
        <v>0</v>
      </c>
      <c r="AD249" s="141">
        <f>Mitigation_Industry!$F$716*AD$221+Mitigation_Industry!$G$716*AD$220</f>
        <v>0</v>
      </c>
      <c r="AE249" s="141">
        <f>Mitigation_Industry!$F$716*AE$221+Mitigation_Industry!$G$716*AE$220</f>
        <v>0</v>
      </c>
      <c r="AF249" s="142"/>
      <c r="AG249" s="142"/>
      <c r="AH249" s="142"/>
      <c r="AI249" s="142"/>
    </row>
    <row r="250" spans="1:35" x14ac:dyDescent="0.35"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</row>
    <row r="251" spans="1:35" customFormat="1" ht="14.25" x14ac:dyDescent="0.45">
      <c r="A251" s="11"/>
      <c r="B251" s="6"/>
      <c r="C251" s="7" t="s">
        <v>2624</v>
      </c>
      <c r="D251" s="6" t="s">
        <v>1504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8">
        <v>2021</v>
      </c>
      <c r="L251" s="139">
        <v>2022</v>
      </c>
      <c r="M251" s="138">
        <v>2023</v>
      </c>
      <c r="N251" s="138">
        <v>2024</v>
      </c>
      <c r="O251" s="138">
        <v>2025</v>
      </c>
      <c r="P251" s="138">
        <v>2026</v>
      </c>
      <c r="Q251" s="138">
        <v>2027</v>
      </c>
      <c r="R251" s="138">
        <v>2028</v>
      </c>
      <c r="S251" s="138">
        <v>2029</v>
      </c>
      <c r="T251" s="138">
        <v>2030</v>
      </c>
      <c r="U251" s="138">
        <v>2031</v>
      </c>
      <c r="V251" s="138">
        <v>2032</v>
      </c>
      <c r="W251" s="138">
        <v>2033</v>
      </c>
      <c r="X251" s="138">
        <v>2034</v>
      </c>
      <c r="Y251" s="138">
        <v>2035</v>
      </c>
      <c r="Z251" s="138">
        <v>2036</v>
      </c>
      <c r="AA251" s="138">
        <v>2037</v>
      </c>
      <c r="AB251" s="138">
        <v>2038</v>
      </c>
      <c r="AC251" s="138">
        <v>2039</v>
      </c>
      <c r="AD251" s="138">
        <v>2040</v>
      </c>
      <c r="AE251" s="138">
        <v>2041</v>
      </c>
      <c r="AF251" s="138">
        <v>2042</v>
      </c>
      <c r="AG251" s="138">
        <v>2043</v>
      </c>
      <c r="AH251" s="138">
        <v>2044</v>
      </c>
      <c r="AI251" s="138">
        <v>2045</v>
      </c>
    </row>
    <row r="252" spans="1:35" customFormat="1" ht="14.25" x14ac:dyDescent="0.45">
      <c r="B252" s="14" t="s">
        <v>1451</v>
      </c>
      <c r="C252" s="14" t="s">
        <v>43</v>
      </c>
      <c r="D252" s="15" t="s">
        <v>2625</v>
      </c>
      <c r="E252" s="16" t="s">
        <v>2094</v>
      </c>
      <c r="F252" s="14" t="s">
        <v>2624</v>
      </c>
      <c r="G252" s="17"/>
      <c r="H252" s="129" t="str">
        <f>Settings!$B$3&amp;".mit.wf.stl.drg.2"</f>
        <v>egy.mit.wf.stl.drg.2</v>
      </c>
      <c r="I252" t="s">
        <v>2626</v>
      </c>
      <c r="K252" s="140"/>
      <c r="L252" s="141">
        <f>Mitigation_Industry!L$729</f>
        <v>3.2287703131193024</v>
      </c>
      <c r="M252" s="141">
        <f>Mitigation_Industry!M$729</f>
        <v>3.3708362068965516</v>
      </c>
      <c r="N252" s="141">
        <f>Mitigation_Industry!N$729</f>
        <v>3.5191530000000002</v>
      </c>
      <c r="O252" s="141">
        <f>Mitigation_Industry!O$729</f>
        <v>3.6739957320000007</v>
      </c>
      <c r="P252" s="141">
        <f>Mitigation_Industry!P$729</f>
        <v>3.8356515442080004</v>
      </c>
      <c r="Q252" s="141">
        <f>Mitigation_Industry!Q$729</f>
        <v>4.0044202121531534</v>
      </c>
      <c r="R252" s="141">
        <f>Mitigation_Industry!R$729</f>
        <v>4.1806147014878912</v>
      </c>
      <c r="S252" s="141">
        <f>Mitigation_Industry!S$729</f>
        <v>4.3645617483533581</v>
      </c>
      <c r="T252" s="141">
        <f>Mitigation_Industry!T$729</f>
        <v>4.5566024652809061</v>
      </c>
      <c r="U252" s="141">
        <f>Mitigation_Industry!U$729</f>
        <v>4.7570929737532666</v>
      </c>
      <c r="V252" s="141">
        <f>Mitigation_Industry!V$729</f>
        <v>4.9664050645984101</v>
      </c>
      <c r="W252" s="141">
        <f>Mitigation_Industry!W$729</f>
        <v>5.1849268874407404</v>
      </c>
      <c r="X252" s="141">
        <f>Mitigation_Industry!X$729</f>
        <v>5.4130636704881336</v>
      </c>
      <c r="Y252" s="141">
        <f>Mitigation_Industry!Y$729</f>
        <v>5.651238471989612</v>
      </c>
      <c r="Z252" s="141">
        <f>Mitigation_Industry!Z$729</f>
        <v>5.8998929647571536</v>
      </c>
      <c r="AA252" s="141">
        <f>Mitigation_Industry!AA$729</f>
        <v>6.159488255206468</v>
      </c>
      <c r="AB252" s="141">
        <f>Mitigation_Industry!AB$729</f>
        <v>6.4305057384355537</v>
      </c>
      <c r="AC252" s="141">
        <f>Mitigation_Industry!AC$729</f>
        <v>6.713447990926718</v>
      </c>
      <c r="AD252" s="141">
        <f>Mitigation_Industry!AD$729</f>
        <v>7.0088397025274931</v>
      </c>
      <c r="AE252" s="141">
        <f>Mitigation_Industry!AE$729</f>
        <v>7.3172286494387029</v>
      </c>
      <c r="AF252" s="142"/>
      <c r="AG252" s="142"/>
      <c r="AH252" s="142"/>
      <c r="AI252" s="142"/>
    </row>
    <row r="253" spans="1:35" customFormat="1" ht="14.25" x14ac:dyDescent="0.45">
      <c r="B253" s="14" t="s">
        <v>1454</v>
      </c>
      <c r="C253" s="14" t="s">
        <v>43</v>
      </c>
      <c r="D253" s="15" t="s">
        <v>2627</v>
      </c>
      <c r="E253" s="16" t="s">
        <v>2094</v>
      </c>
      <c r="F253" s="14" t="s">
        <v>2624</v>
      </c>
      <c r="G253" s="17"/>
      <c r="H253" s="129" t="str">
        <f>Settings!$B$3&amp;".mit.wf.stl.scr.2"</f>
        <v>egy.mit.wf.stl.scr.2</v>
      </c>
      <c r="K253" s="140"/>
      <c r="L253" s="141">
        <f>Mitigation_Industry!L$730</f>
        <v>0.61765094464262127</v>
      </c>
      <c r="M253" s="141">
        <f>Mitigation_Industry!M$730</f>
        <v>0.64482758620689662</v>
      </c>
      <c r="N253" s="141">
        <f>Mitigation_Industry!N$730</f>
        <v>0.67320000000000002</v>
      </c>
      <c r="O253" s="141">
        <f>Mitigation_Industry!O$730</f>
        <v>0.70282080000000002</v>
      </c>
      <c r="P253" s="141">
        <f>Mitigation_Industry!P$730</f>
        <v>0.73374491520000007</v>
      </c>
      <c r="Q253" s="141">
        <f>Mitigation_Industry!Q$730</f>
        <v>0.76602969146880018</v>
      </c>
      <c r="R253" s="141">
        <f>Mitigation_Industry!R$730</f>
        <v>0.79973499789342728</v>
      </c>
      <c r="S253" s="141">
        <f>Mitigation_Industry!S$730</f>
        <v>0.83492333780073813</v>
      </c>
      <c r="T253" s="141">
        <f>Mitigation_Industry!T$730</f>
        <v>0.87165996466397067</v>
      </c>
      <c r="U253" s="141">
        <f>Mitigation_Industry!U$730</f>
        <v>0.91001300310918554</v>
      </c>
      <c r="V253" s="141">
        <f>Mitigation_Industry!V$730</f>
        <v>0.95005357524598955</v>
      </c>
      <c r="W253" s="141">
        <f>Mitigation_Industry!W$730</f>
        <v>0.99185593255681315</v>
      </c>
      <c r="X253" s="141">
        <f>Mitigation_Industry!X$730</f>
        <v>1.0354975935893131</v>
      </c>
      <c r="Y253" s="141">
        <f>Mitigation_Industry!Y$730</f>
        <v>1.0810594877072428</v>
      </c>
      <c r="Z253" s="141">
        <f>Mitigation_Industry!Z$730</f>
        <v>1.1286261051663613</v>
      </c>
      <c r="AA253" s="141">
        <f>Mitigation_Industry!AA$730</f>
        <v>1.1782856537936812</v>
      </c>
      <c r="AB253" s="141">
        <f>Mitigation_Industry!AB$730</f>
        <v>1.2301302225606034</v>
      </c>
      <c r="AC253" s="141">
        <f>Mitigation_Industry!AC$730</f>
        <v>1.2842559523532699</v>
      </c>
      <c r="AD253" s="141">
        <f>Mitigation_Industry!AD$730</f>
        <v>1.3407632142568138</v>
      </c>
      <c r="AE253" s="141">
        <f>Mitigation_Industry!AE$730</f>
        <v>1.3997567956841135</v>
      </c>
      <c r="AF253" s="142"/>
      <c r="AG253" s="142"/>
      <c r="AH253" s="142"/>
      <c r="AI253" s="142"/>
    </row>
    <row r="254" spans="1:35" customFormat="1" ht="14.25" x14ac:dyDescent="0.45">
      <c r="B254" s="14" t="s">
        <v>1457</v>
      </c>
      <c r="C254" s="14" t="s">
        <v>43</v>
      </c>
      <c r="D254" s="15" t="s">
        <v>2628</v>
      </c>
      <c r="E254" s="16" t="s">
        <v>2094</v>
      </c>
      <c r="F254" s="14" t="s">
        <v>2624</v>
      </c>
      <c r="G254" s="17"/>
      <c r="H254" s="129" t="str">
        <f>Settings!$B$3&amp;".mit.wf.stl.bof.2"</f>
        <v>egy.mit.wf.stl.bof.2</v>
      </c>
      <c r="K254" s="140"/>
      <c r="L254" s="141">
        <f>Mitigation_Industry!L$731</f>
        <v>0</v>
      </c>
      <c r="M254" s="141">
        <f>Mitigation_Industry!M$731</f>
        <v>0</v>
      </c>
      <c r="N254" s="141">
        <f>Mitigation_Industry!N$731</f>
        <v>0</v>
      </c>
      <c r="O254" s="141">
        <f>Mitigation_Industry!O$731</f>
        <v>0</v>
      </c>
      <c r="P254" s="141">
        <f>Mitigation_Industry!P$731</f>
        <v>0</v>
      </c>
      <c r="Q254" s="141">
        <f>Mitigation_Industry!Q$731</f>
        <v>0</v>
      </c>
      <c r="R254" s="141">
        <f>Mitigation_Industry!R$731</f>
        <v>0</v>
      </c>
      <c r="S254" s="141">
        <f>Mitigation_Industry!S$731</f>
        <v>0</v>
      </c>
      <c r="T254" s="141">
        <f>Mitigation_Industry!T$731</f>
        <v>0</v>
      </c>
      <c r="U254" s="141">
        <f>Mitigation_Industry!U$731</f>
        <v>0</v>
      </c>
      <c r="V254" s="141">
        <f>Mitigation_Industry!V$731</f>
        <v>0</v>
      </c>
      <c r="W254" s="141">
        <f>Mitigation_Industry!W$731</f>
        <v>0</v>
      </c>
      <c r="X254" s="141">
        <f>Mitigation_Industry!X$731</f>
        <v>0</v>
      </c>
      <c r="Y254" s="141">
        <f>Mitigation_Industry!Y$731</f>
        <v>0</v>
      </c>
      <c r="Z254" s="141">
        <f>Mitigation_Industry!Z$731</f>
        <v>0</v>
      </c>
      <c r="AA254" s="141">
        <f>Mitigation_Industry!AA$731</f>
        <v>0</v>
      </c>
      <c r="AB254" s="141">
        <f>Mitigation_Industry!AB$731</f>
        <v>0</v>
      </c>
      <c r="AC254" s="141">
        <f>Mitigation_Industry!AC$731</f>
        <v>0</v>
      </c>
      <c r="AD254" s="141">
        <f>Mitigation_Industry!AD$731</f>
        <v>0</v>
      </c>
      <c r="AE254" s="141">
        <f>Mitigation_Industry!AE$731</f>
        <v>0</v>
      </c>
      <c r="AF254" s="142"/>
      <c r="AG254" s="142"/>
      <c r="AH254" s="142"/>
      <c r="AI254" s="142"/>
    </row>
    <row r="255" spans="1:35" customFormat="1" ht="14.25" x14ac:dyDescent="0.45">
      <c r="B255" s="14" t="s">
        <v>1460</v>
      </c>
      <c r="C255" s="14" t="s">
        <v>113</v>
      </c>
      <c r="D255" s="15" t="s">
        <v>2629</v>
      </c>
      <c r="E255" s="16" t="s">
        <v>2094</v>
      </c>
      <c r="F255" s="14" t="s">
        <v>2624</v>
      </c>
      <c r="G255" s="17"/>
      <c r="H255" s="129" t="str">
        <f>Settings!$B$3&amp;".mit.wf.cmt.dry.2"</f>
        <v>egy.mit.wf.cmt.dry.2</v>
      </c>
      <c r="K255" s="140"/>
      <c r="L255" s="141">
        <f>Mitigation_Industry!L$732</f>
        <v>13.508713893592759</v>
      </c>
      <c r="M255" s="141">
        <f>Mitigation_Industry!M$732</f>
        <v>13.954501452081319</v>
      </c>
      <c r="N255" s="141">
        <f>Mitigation_Industry!N$732</f>
        <v>14.414999999999999</v>
      </c>
      <c r="O255" s="141">
        <f>Mitigation_Industry!O$732</f>
        <v>14.890694999999997</v>
      </c>
      <c r="P255" s="141">
        <f>Mitigation_Industry!P$732</f>
        <v>15.382087934999998</v>
      </c>
      <c r="Q255" s="141">
        <f>Mitigation_Industry!Q$732</f>
        <v>15.889696836854995</v>
      </c>
      <c r="R255" s="141">
        <f>Mitigation_Industry!R$732</f>
        <v>16.414056832471207</v>
      </c>
      <c r="S255" s="141">
        <f>Mitigation_Industry!S$732</f>
        <v>16.955720707942756</v>
      </c>
      <c r="T255" s="141">
        <f>Mitigation_Industry!T$732</f>
        <v>17.515259491304867</v>
      </c>
      <c r="U255" s="141">
        <f>Mitigation_Industry!U$732</f>
        <v>18.093263054517923</v>
      </c>
      <c r="V255" s="141">
        <f>Mitigation_Industry!V$732</f>
        <v>18.690340735317012</v>
      </c>
      <c r="W255" s="141">
        <f>Mitigation_Industry!W$732</f>
        <v>19.307121979582472</v>
      </c>
      <c r="X255" s="141">
        <f>Mitigation_Industry!X$732</f>
        <v>19.944257004908685</v>
      </c>
      <c r="Y255" s="141">
        <f>Mitigation_Industry!Y$732</f>
        <v>20.602417486070678</v>
      </c>
      <c r="Z255" s="141">
        <f>Mitigation_Industry!Z$732</f>
        <v>21.282297263111005</v>
      </c>
      <c r="AA255" s="141">
        <f>Mitigation_Industry!AA$732</f>
        <v>21.984613072793667</v>
      </c>
      <c r="AB255" s="141">
        <f>Mitigation_Industry!AB$732</f>
        <v>22.710105304195856</v>
      </c>
      <c r="AC255" s="141">
        <f>Mitigation_Industry!AC$732</f>
        <v>23.459538779234315</v>
      </c>
      <c r="AD255" s="141">
        <f>Mitigation_Industry!AD$732</f>
        <v>24.233703558949045</v>
      </c>
      <c r="AE255" s="141">
        <f>Mitigation_Industry!AE$732</f>
        <v>25.03341577639436</v>
      </c>
      <c r="AF255" s="142"/>
      <c r="AG255" s="142"/>
      <c r="AH255" s="142"/>
      <c r="AI255" s="142"/>
    </row>
    <row r="256" spans="1:35" customFormat="1" ht="14.25" x14ac:dyDescent="0.45">
      <c r="B256" s="14" t="s">
        <v>1463</v>
      </c>
      <c r="C256" s="14" t="s">
        <v>117</v>
      </c>
      <c r="D256" s="15" t="s">
        <v>2630</v>
      </c>
      <c r="E256" s="16" t="s">
        <v>2094</v>
      </c>
      <c r="F256" s="14" t="s">
        <v>2624</v>
      </c>
      <c r="G256" s="17"/>
      <c r="H256" s="129" t="str">
        <f>Settings!$B$3&amp;".mit.wf.frt.amc.2"</f>
        <v>egy.mit.wf.frt.amc.2</v>
      </c>
      <c r="K256" s="140"/>
      <c r="L256" s="141">
        <f>Mitigation_Industry!L$733</f>
        <v>3.1638306570517116</v>
      </c>
      <c r="M256" s="141">
        <f>Mitigation_Industry!M$733</f>
        <v>3.2334349315068494</v>
      </c>
      <c r="N256" s="141">
        <f>Mitigation_Industry!N$733</f>
        <v>3.3045704999999996</v>
      </c>
      <c r="O256" s="141">
        <f>Mitigation_Industry!O$733</f>
        <v>3.3772710509999997</v>
      </c>
      <c r="P256" s="141">
        <f>Mitigation_Industry!P$733</f>
        <v>3.4515710141219995</v>
      </c>
      <c r="Q256" s="141">
        <f>Mitigation_Industry!Q$733</f>
        <v>3.5275055764326839</v>
      </c>
      <c r="R256" s="141">
        <f>Mitigation_Industry!R$733</f>
        <v>3.6051106991142032</v>
      </c>
      <c r="S256" s="141">
        <f>Mitigation_Industry!S$733</f>
        <v>3.6844231344947156</v>
      </c>
      <c r="T256" s="141">
        <f>Mitigation_Industry!T$733</f>
        <v>3.7654804434535989</v>
      </c>
      <c r="U256" s="141">
        <f>Mitigation_Industry!U$733</f>
        <v>3.8483210132095782</v>
      </c>
      <c r="V256" s="141">
        <f>Mitigation_Industry!V$733</f>
        <v>3.9329840755001899</v>
      </c>
      <c r="W256" s="141">
        <f>Mitigation_Industry!W$733</f>
        <v>4.0195097251611935</v>
      </c>
      <c r="X256" s="141">
        <f>Mitigation_Industry!X$733</f>
        <v>4.1079389391147396</v>
      </c>
      <c r="Y256" s="141">
        <f>Mitigation_Industry!Y$733</f>
        <v>4.1983135957752644</v>
      </c>
      <c r="Z256" s="141">
        <f>Mitigation_Industry!Z$733</f>
        <v>4.2906764948823204</v>
      </c>
      <c r="AA256" s="141">
        <f>Mitigation_Industry!AA$733</f>
        <v>4.385071377769731</v>
      </c>
      <c r="AB256" s="141">
        <f>Mitigation_Industry!AB$733</f>
        <v>4.4815429480806639</v>
      </c>
      <c r="AC256" s="141">
        <f>Mitigation_Industry!AC$733</f>
        <v>4.5801368929384401</v>
      </c>
      <c r="AD256" s="141">
        <f>Mitigation_Industry!AD$733</f>
        <v>4.680899904583085</v>
      </c>
      <c r="AE256" s="141">
        <f>Mitigation_Industry!AE$733</f>
        <v>4.7838797024839135</v>
      </c>
      <c r="AF256" s="142"/>
      <c r="AG256" s="142"/>
      <c r="AH256" s="142"/>
      <c r="AI256" s="142"/>
    </row>
    <row r="257" spans="1:35" customFormat="1" ht="14.25" x14ac:dyDescent="0.45">
      <c r="B257" s="14" t="s">
        <v>1466</v>
      </c>
      <c r="C257" s="14" t="s">
        <v>117</v>
      </c>
      <c r="D257" s="15" t="s">
        <v>2631</v>
      </c>
      <c r="E257" s="16" t="s">
        <v>2094</v>
      </c>
      <c r="F257" s="14" t="s">
        <v>2624</v>
      </c>
      <c r="G257" s="17"/>
      <c r="H257" s="129" t="str">
        <f>Settings!$B$3&amp;".mit.wf.frt.ure.2"</f>
        <v>egy.mit.wf.frt.ure.2</v>
      </c>
      <c r="K257" s="140"/>
      <c r="L257" s="141">
        <f>Mitigation_Industry!L$734</f>
        <v>0.30078009811543305</v>
      </c>
      <c r="M257" s="141">
        <f>Mitigation_Industry!M$734</f>
        <v>0.30739726027397257</v>
      </c>
      <c r="N257" s="141">
        <f>Mitigation_Industry!N$734</f>
        <v>0.31415999999999999</v>
      </c>
      <c r="O257" s="141">
        <f>Mitigation_Industry!O$734</f>
        <v>0.32107151999999994</v>
      </c>
      <c r="P257" s="141">
        <f>Mitigation_Industry!P$734</f>
        <v>0.32813509343999991</v>
      </c>
      <c r="Q257" s="141">
        <f>Mitigation_Industry!Q$734</f>
        <v>0.33535406549567992</v>
      </c>
      <c r="R257" s="141">
        <f>Mitigation_Industry!R$734</f>
        <v>0.34273185493658498</v>
      </c>
      <c r="S257" s="141">
        <f>Mitigation_Industry!S$734</f>
        <v>0.35027195574518982</v>
      </c>
      <c r="T257" s="141">
        <f>Mitigation_Industry!T$734</f>
        <v>0.3579779387715839</v>
      </c>
      <c r="U257" s="141">
        <f>Mitigation_Industry!U$734</f>
        <v>0.36585345342455883</v>
      </c>
      <c r="V257" s="141">
        <f>Mitigation_Industry!V$734</f>
        <v>0.37390222939989914</v>
      </c>
      <c r="W257" s="141">
        <f>Mitigation_Industry!W$734</f>
        <v>0.38212807844669694</v>
      </c>
      <c r="X257" s="141">
        <f>Mitigation_Industry!X$734</f>
        <v>0.39053489617252429</v>
      </c>
      <c r="Y257" s="141">
        <f>Mitigation_Industry!Y$734</f>
        <v>0.39912666388831985</v>
      </c>
      <c r="Z257" s="141">
        <f>Mitigation_Industry!Z$734</f>
        <v>0.4079074504938629</v>
      </c>
      <c r="AA257" s="141">
        <f>Mitigation_Industry!AA$734</f>
        <v>0.41688141440472787</v>
      </c>
      <c r="AB257" s="141">
        <f>Mitigation_Industry!AB$734</f>
        <v>0.42605280552163183</v>
      </c>
      <c r="AC257" s="141">
        <f>Mitigation_Industry!AC$734</f>
        <v>0.43542596724310778</v>
      </c>
      <c r="AD257" s="141">
        <f>Mitigation_Industry!AD$734</f>
        <v>0.44500533852245616</v>
      </c>
      <c r="AE257" s="141">
        <f>Mitigation_Industry!AE$734</f>
        <v>0.45479545596995019</v>
      </c>
      <c r="AF257" s="142"/>
      <c r="AG257" s="142"/>
      <c r="AH257" s="142"/>
      <c r="AI257" s="142"/>
    </row>
    <row r="258" spans="1:35" customFormat="1" ht="14.25" x14ac:dyDescent="0.45">
      <c r="B258" s="14" t="s">
        <v>1469</v>
      </c>
      <c r="C258" s="14" t="s">
        <v>117</v>
      </c>
      <c r="D258" s="15" t="s">
        <v>2632</v>
      </c>
      <c r="E258" s="16" t="s">
        <v>2094</v>
      </c>
      <c r="F258" s="14" t="s">
        <v>2624</v>
      </c>
      <c r="G258" s="17"/>
      <c r="H258" s="129" t="str">
        <f>Settings!$B$3&amp;".mit.wf.frt.nit.2"</f>
        <v>egy.mit.wf.frt.nit.2</v>
      </c>
      <c r="K258" s="140"/>
      <c r="L258" s="141">
        <f>Mitigation_Industry!L$735</f>
        <v>6.4452878167592806E-2</v>
      </c>
      <c r="M258" s="141">
        <f>Mitigation_Industry!M$735</f>
        <v>6.5870841487279841E-2</v>
      </c>
      <c r="N258" s="141">
        <f>Mitigation_Industry!N$735</f>
        <v>6.7319999999999991E-2</v>
      </c>
      <c r="O258" s="141">
        <f>Mitigation_Industry!O$735</f>
        <v>6.8801039999999994E-2</v>
      </c>
      <c r="P258" s="141">
        <f>Mitigation_Industry!P$735</f>
        <v>7.031466287999999E-2</v>
      </c>
      <c r="Q258" s="141">
        <f>Mitigation_Industry!Q$735</f>
        <v>7.1861585463359995E-2</v>
      </c>
      <c r="R258" s="141">
        <f>Mitigation_Industry!R$735</f>
        <v>7.3442540343553922E-2</v>
      </c>
      <c r="S258" s="141">
        <f>Mitigation_Industry!S$735</f>
        <v>7.5058276231112109E-2</v>
      </c>
      <c r="T258" s="141">
        <f>Mitigation_Industry!T$735</f>
        <v>7.6709558308196563E-2</v>
      </c>
      <c r="U258" s="141">
        <f>Mitigation_Industry!U$735</f>
        <v>7.8397168590976896E-2</v>
      </c>
      <c r="V258" s="141">
        <f>Mitigation_Industry!V$735</f>
        <v>8.012190629997841E-2</v>
      </c>
      <c r="W258" s="141">
        <f>Mitigation_Industry!W$735</f>
        <v>8.1884588238577902E-2</v>
      </c>
      <c r="X258" s="141">
        <f>Mitigation_Industry!X$735</f>
        <v>8.3686049179826624E-2</v>
      </c>
      <c r="Y258" s="141">
        <f>Mitigation_Industry!Y$735</f>
        <v>8.5527142261782832E-2</v>
      </c>
      <c r="Z258" s="141">
        <f>Mitigation_Industry!Z$735</f>
        <v>8.7408739391542062E-2</v>
      </c>
      <c r="AA258" s="141">
        <f>Mitigation_Industry!AA$735</f>
        <v>8.9331731658155972E-2</v>
      </c>
      <c r="AB258" s="141">
        <f>Mitigation_Industry!AB$735</f>
        <v>9.1297029754635384E-2</v>
      </c>
      <c r="AC258" s="141">
        <f>Mitigation_Industry!AC$735</f>
        <v>9.3305564409237374E-2</v>
      </c>
      <c r="AD258" s="141">
        <f>Mitigation_Industry!AD$735</f>
        <v>9.5358286826240604E-2</v>
      </c>
      <c r="AE258" s="141">
        <f>Mitigation_Industry!AE$735</f>
        <v>9.74561691364179E-2</v>
      </c>
      <c r="AF258" s="142"/>
      <c r="AG258" s="142"/>
      <c r="AH258" s="142"/>
      <c r="AI258" s="142"/>
    </row>
    <row r="259" spans="1:35" customFormat="1" ht="14.25" x14ac:dyDescent="0.45">
      <c r="B259" s="14" t="s">
        <v>1472</v>
      </c>
      <c r="C259" s="14" t="s">
        <v>115</v>
      </c>
      <c r="D259" s="15" t="s">
        <v>2633</v>
      </c>
      <c r="E259" s="16" t="s">
        <v>2094</v>
      </c>
      <c r="F259" s="14" t="s">
        <v>2624</v>
      </c>
      <c r="G259" s="17"/>
      <c r="H259" s="129" t="str">
        <f>Settings!$B$3&amp;".mit.wf.alu.prp.2"</f>
        <v>egy.mit.wf.alu.prp.2</v>
      </c>
      <c r="K259" s="140"/>
      <c r="L259" s="141">
        <f>Mitigation_Industry!L$736</f>
        <v>4.2047573055412055E-2</v>
      </c>
      <c r="M259" s="141">
        <f>Mitigation_Industry!M$736</f>
        <v>4.4360189573459712E-2</v>
      </c>
      <c r="N259" s="141">
        <f>Mitigation_Industry!N$736</f>
        <v>4.6799999999999994E-2</v>
      </c>
      <c r="O259" s="141">
        <f>Mitigation_Industry!O$736</f>
        <v>4.9374000000000001E-2</v>
      </c>
      <c r="P259" s="141">
        <f>Mitigation_Industry!P$736</f>
        <v>5.2089569999999995E-2</v>
      </c>
      <c r="Q259" s="141">
        <f>Mitigation_Industry!Q$736</f>
        <v>5.4954496349999986E-2</v>
      </c>
      <c r="R259" s="141">
        <f>Mitigation_Industry!R$736</f>
        <v>5.7976993649249998E-2</v>
      </c>
      <c r="S259" s="141">
        <f>Mitigation_Industry!S$736</f>
        <v>6.1165728299958734E-2</v>
      </c>
      <c r="T259" s="141">
        <f>Mitigation_Industry!T$736</f>
        <v>6.4529843356456465E-2</v>
      </c>
      <c r="U259" s="141">
        <f>Mitigation_Industry!U$736</f>
        <v>6.8078984741061555E-2</v>
      </c>
      <c r="V259" s="141">
        <f>Mitigation_Industry!V$736</f>
        <v>7.1823328901819944E-2</v>
      </c>
      <c r="W259" s="141">
        <f>Mitigation_Industry!W$736</f>
        <v>7.5773611991420048E-2</v>
      </c>
      <c r="X259" s="141">
        <f>Mitigation_Industry!X$736</f>
        <v>7.9941160650948154E-2</v>
      </c>
      <c r="Y259" s="141">
        <f>Mitigation_Industry!Y$736</f>
        <v>8.4337924486750301E-2</v>
      </c>
      <c r="Z259" s="141">
        <f>Mitigation_Industry!Z$736</f>
        <v>8.8976510333521566E-2</v>
      </c>
      <c r="AA259" s="141">
        <f>Mitigation_Industry!AA$736</f>
        <v>9.3870218401865227E-2</v>
      </c>
      <c r="AB259" s="141">
        <f>Mitigation_Industry!AB$736</f>
        <v>9.9033080413967828E-2</v>
      </c>
      <c r="AC259" s="141">
        <f>Mitigation_Industry!AC$736</f>
        <v>0.10447989983673604</v>
      </c>
      <c r="AD259" s="141">
        <f>Mitigation_Industry!AD$736</f>
        <v>0.11022629432775652</v>
      </c>
      <c r="AE259" s="141">
        <f>Mitigation_Industry!AE$736</f>
        <v>0.11628874051578311</v>
      </c>
      <c r="AF259" s="142"/>
      <c r="AG259" s="142"/>
      <c r="AH259" s="142"/>
      <c r="AI259" s="142"/>
    </row>
    <row r="260" spans="1:35" x14ac:dyDescent="0.35"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</row>
    <row r="261" spans="1:35" customFormat="1" ht="14.25" x14ac:dyDescent="0.45">
      <c r="A261" s="11"/>
      <c r="B261" s="6"/>
      <c r="C261" s="7" t="s">
        <v>2634</v>
      </c>
      <c r="D261" s="6" t="s">
        <v>1504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8">
        <v>2021</v>
      </c>
      <c r="L261" s="139">
        <v>2022</v>
      </c>
      <c r="M261" s="138">
        <v>2023</v>
      </c>
      <c r="N261" s="138">
        <v>2024</v>
      </c>
      <c r="O261" s="138">
        <v>2025</v>
      </c>
      <c r="P261" s="138">
        <v>2026</v>
      </c>
      <c r="Q261" s="138">
        <v>2027</v>
      </c>
      <c r="R261" s="138">
        <v>2028</v>
      </c>
      <c r="S261" s="138">
        <v>2029</v>
      </c>
      <c r="T261" s="138">
        <v>2030</v>
      </c>
      <c r="U261" s="138">
        <v>2031</v>
      </c>
      <c r="V261" s="138">
        <v>2032</v>
      </c>
      <c r="W261" s="138">
        <v>2033</v>
      </c>
      <c r="X261" s="138">
        <v>2034</v>
      </c>
      <c r="Y261" s="138">
        <v>2035</v>
      </c>
      <c r="Z261" s="138">
        <v>2036</v>
      </c>
      <c r="AA261" s="138">
        <v>2037</v>
      </c>
      <c r="AB261" s="138">
        <v>2038</v>
      </c>
      <c r="AC261" s="138">
        <v>2039</v>
      </c>
      <c r="AD261" s="138">
        <v>2040</v>
      </c>
      <c r="AE261" s="138">
        <v>2041</v>
      </c>
      <c r="AF261" s="138">
        <v>2042</v>
      </c>
      <c r="AG261" s="138">
        <v>2043</v>
      </c>
      <c r="AH261" s="138">
        <v>2044</v>
      </c>
      <c r="AI261" s="138">
        <v>2045</v>
      </c>
    </row>
    <row r="262" spans="1:35" customFormat="1" ht="14.25" x14ac:dyDescent="0.45">
      <c r="B262" s="14" t="s">
        <v>1451</v>
      </c>
      <c r="C262" s="14" t="s">
        <v>43</v>
      </c>
      <c r="D262" s="15" t="s">
        <v>2635</v>
      </c>
      <c r="E262" s="16" t="s">
        <v>2636</v>
      </c>
      <c r="F262" s="14" t="s">
        <v>2634</v>
      </c>
      <c r="G262" s="17"/>
      <c r="H262" s="129" t="str">
        <f>Settings!$B$3&amp;".mit.bf.stl.drg.2"</f>
        <v>egy.mit.bf.stl.drg.2</v>
      </c>
      <c r="I262" t="s">
        <v>2637</v>
      </c>
      <c r="K262" s="140"/>
      <c r="L262" s="143">
        <f>Mitigation_Industry!$E$751</f>
        <v>1.0536051565782599E-3</v>
      </c>
      <c r="M262" s="143">
        <f>Mitigation_Industry!$E$751</f>
        <v>1.0536051565782599E-3</v>
      </c>
      <c r="N262" s="143">
        <f>Mitigation_Industry!$E$751</f>
        <v>1.0536051565782599E-3</v>
      </c>
      <c r="O262" s="143">
        <f>Mitigation_Industry!$E$751</f>
        <v>1.0536051565782599E-3</v>
      </c>
      <c r="P262" s="143">
        <f>Mitigation_Industry!$E$751</f>
        <v>1.0536051565782599E-3</v>
      </c>
      <c r="Q262" s="143">
        <f>Mitigation_Industry!$E$751</f>
        <v>1.0536051565782599E-3</v>
      </c>
      <c r="R262" s="143">
        <f>Mitigation_Industry!$E$751</f>
        <v>1.0536051565782599E-3</v>
      </c>
      <c r="S262" s="143">
        <f>Mitigation_Industry!$E$751</f>
        <v>1.0536051565782599E-3</v>
      </c>
      <c r="T262" s="143">
        <f>Mitigation_Industry!$E$751</f>
        <v>1.0536051565782599E-3</v>
      </c>
      <c r="U262" s="143">
        <f>Mitigation_Industry!$E$751</f>
        <v>1.0536051565782599E-3</v>
      </c>
      <c r="V262" s="143">
        <f>Mitigation_Industry!$E$751</f>
        <v>1.0536051565782599E-3</v>
      </c>
      <c r="W262" s="143">
        <f>Mitigation_Industry!$E$751</f>
        <v>1.0536051565782599E-3</v>
      </c>
      <c r="X262" s="143">
        <f>Mitigation_Industry!$E$751</f>
        <v>1.0536051565782599E-3</v>
      </c>
      <c r="Y262" s="143">
        <f>Mitigation_Industry!$E$751</f>
        <v>1.0536051565782599E-3</v>
      </c>
      <c r="Z262" s="143">
        <f>Mitigation_Industry!$E$751</f>
        <v>1.0536051565782599E-3</v>
      </c>
      <c r="AA262" s="143">
        <f>Mitigation_Industry!$E$751</f>
        <v>1.0536051565782599E-3</v>
      </c>
      <c r="AB262" s="143">
        <f>Mitigation_Industry!$E$751</f>
        <v>1.0536051565782599E-3</v>
      </c>
      <c r="AC262" s="143">
        <f>Mitigation_Industry!$E$751</f>
        <v>1.0536051565782599E-3</v>
      </c>
      <c r="AD262" s="143">
        <f>Mitigation_Industry!$E$751</f>
        <v>1.0536051565782599E-3</v>
      </c>
      <c r="AE262" s="143">
        <f>Mitigation_Industry!$E$751</f>
        <v>1.0536051565782599E-3</v>
      </c>
      <c r="AF262" s="142"/>
      <c r="AG262" s="142"/>
      <c r="AH262" s="142"/>
      <c r="AI262" s="142"/>
    </row>
    <row r="263" spans="1:35" customFormat="1" ht="14.25" x14ac:dyDescent="0.45">
      <c r="B263" s="14" t="s">
        <v>1454</v>
      </c>
      <c r="C263" s="14" t="s">
        <v>43</v>
      </c>
      <c r="D263" s="15" t="s">
        <v>2638</v>
      </c>
      <c r="E263" s="16" t="s">
        <v>2636</v>
      </c>
      <c r="F263" s="14" t="s">
        <v>2634</v>
      </c>
      <c r="G263" s="17"/>
      <c r="H263" s="129" t="str">
        <f>Settings!$B$3&amp;".mit.bf.stl.scr.2"</f>
        <v>egy.mit.bf.stl.scr.2</v>
      </c>
      <c r="K263" s="140"/>
      <c r="L263" s="143">
        <f>Mitigation_Industry!$E$752</f>
        <v>2.0202707317519501E-4</v>
      </c>
      <c r="M263" s="143">
        <f>Mitigation_Industry!$E$752</f>
        <v>2.0202707317519501E-4</v>
      </c>
      <c r="N263" s="143">
        <f>Mitigation_Industry!$E$752</f>
        <v>2.0202707317519501E-4</v>
      </c>
      <c r="O263" s="143">
        <f>Mitigation_Industry!$E$752</f>
        <v>2.0202707317519501E-4</v>
      </c>
      <c r="P263" s="143">
        <f>Mitigation_Industry!$E$752</f>
        <v>2.0202707317519501E-4</v>
      </c>
      <c r="Q263" s="143">
        <f>Mitigation_Industry!$E$752</f>
        <v>2.0202707317519501E-4</v>
      </c>
      <c r="R263" s="143">
        <f>Mitigation_Industry!$E$752</f>
        <v>2.0202707317519501E-4</v>
      </c>
      <c r="S263" s="143">
        <f>Mitigation_Industry!$E$752</f>
        <v>2.0202707317519501E-4</v>
      </c>
      <c r="T263" s="143">
        <f>Mitigation_Industry!$E$752</f>
        <v>2.0202707317519501E-4</v>
      </c>
      <c r="U263" s="143">
        <f>Mitigation_Industry!$E$752</f>
        <v>2.0202707317519501E-4</v>
      </c>
      <c r="V263" s="143">
        <f>Mitigation_Industry!$E$752</f>
        <v>2.0202707317519501E-4</v>
      </c>
      <c r="W263" s="143">
        <f>Mitigation_Industry!$E$752</f>
        <v>2.0202707317519501E-4</v>
      </c>
      <c r="X263" s="143">
        <f>Mitigation_Industry!$E$752</f>
        <v>2.0202707317519501E-4</v>
      </c>
      <c r="Y263" s="143">
        <f>Mitigation_Industry!$E$752</f>
        <v>2.0202707317519501E-4</v>
      </c>
      <c r="Z263" s="143">
        <f>Mitigation_Industry!$E$752</f>
        <v>2.0202707317519501E-4</v>
      </c>
      <c r="AA263" s="143">
        <f>Mitigation_Industry!$E$752</f>
        <v>2.0202707317519501E-4</v>
      </c>
      <c r="AB263" s="143">
        <f>Mitigation_Industry!$E$752</f>
        <v>2.0202707317519501E-4</v>
      </c>
      <c r="AC263" s="143">
        <f>Mitigation_Industry!$E$752</f>
        <v>2.0202707317519501E-4</v>
      </c>
      <c r="AD263" s="143">
        <f>Mitigation_Industry!$E$752</f>
        <v>2.0202707317519501E-4</v>
      </c>
      <c r="AE263" s="143">
        <f>Mitigation_Industry!$E$752</f>
        <v>2.0202707317519501E-4</v>
      </c>
      <c r="AF263" s="142"/>
      <c r="AG263" s="142"/>
      <c r="AH263" s="142"/>
      <c r="AI263" s="142"/>
    </row>
    <row r="264" spans="1:35" customFormat="1" ht="14.25" x14ac:dyDescent="0.45">
      <c r="B264" s="14" t="s">
        <v>1457</v>
      </c>
      <c r="C264" s="14" t="s">
        <v>43</v>
      </c>
      <c r="D264" s="15" t="s">
        <v>2639</v>
      </c>
      <c r="E264" s="16" t="s">
        <v>2636</v>
      </c>
      <c r="F264" s="14" t="s">
        <v>2634</v>
      </c>
      <c r="G264" s="17"/>
      <c r="H264" s="129" t="str">
        <f>Settings!$B$3&amp;".mit.bf.stl.bof.2"</f>
        <v>egy.mit.bf.stl.bof.2</v>
      </c>
      <c r="K264" s="140"/>
      <c r="L264" s="143">
        <f>Mitigation_Industry!$E$753</f>
        <v>5.1293294387550598E-4</v>
      </c>
      <c r="M264" s="143">
        <f>Mitigation_Industry!$E$753</f>
        <v>5.1293294387550598E-4</v>
      </c>
      <c r="N264" s="143">
        <f>Mitigation_Industry!$E$753</f>
        <v>5.1293294387550598E-4</v>
      </c>
      <c r="O264" s="143">
        <f>Mitigation_Industry!$E$753</f>
        <v>5.1293294387550598E-4</v>
      </c>
      <c r="P264" s="143">
        <f>Mitigation_Industry!$E$753</f>
        <v>5.1293294387550598E-4</v>
      </c>
      <c r="Q264" s="143">
        <f>Mitigation_Industry!$E$753</f>
        <v>5.1293294387550598E-4</v>
      </c>
      <c r="R264" s="143">
        <f>Mitigation_Industry!$E$753</f>
        <v>5.1293294387550598E-4</v>
      </c>
      <c r="S264" s="143">
        <f>Mitigation_Industry!$E$753</f>
        <v>5.1293294387550598E-4</v>
      </c>
      <c r="T264" s="143">
        <f>Mitigation_Industry!$E$753</f>
        <v>5.1293294387550598E-4</v>
      </c>
      <c r="U264" s="143">
        <f>Mitigation_Industry!$E$753</f>
        <v>5.1293294387550598E-4</v>
      </c>
      <c r="V264" s="143">
        <f>Mitigation_Industry!$E$753</f>
        <v>5.1293294387550598E-4</v>
      </c>
      <c r="W264" s="143">
        <f>Mitigation_Industry!$E$753</f>
        <v>5.1293294387550598E-4</v>
      </c>
      <c r="X264" s="143">
        <f>Mitigation_Industry!$E$753</f>
        <v>5.1293294387550598E-4</v>
      </c>
      <c r="Y264" s="143">
        <f>Mitigation_Industry!$E$753</f>
        <v>5.1293294387550598E-4</v>
      </c>
      <c r="Z264" s="143">
        <f>Mitigation_Industry!$E$753</f>
        <v>5.1293294387550598E-4</v>
      </c>
      <c r="AA264" s="143">
        <f>Mitigation_Industry!$E$753</f>
        <v>5.1293294387550598E-4</v>
      </c>
      <c r="AB264" s="143">
        <f>Mitigation_Industry!$E$753</f>
        <v>5.1293294387550598E-4</v>
      </c>
      <c r="AC264" s="143">
        <f>Mitigation_Industry!$E$753</f>
        <v>5.1293294387550598E-4</v>
      </c>
      <c r="AD264" s="143">
        <f>Mitigation_Industry!$E$753</f>
        <v>5.1293294387550598E-4</v>
      </c>
      <c r="AE264" s="143">
        <f>Mitigation_Industry!$E$753</f>
        <v>5.1293294387550598E-4</v>
      </c>
      <c r="AF264" s="142"/>
      <c r="AG264" s="142"/>
      <c r="AH264" s="142"/>
      <c r="AI264" s="142"/>
    </row>
    <row r="265" spans="1:35" customFormat="1" ht="14.25" x14ac:dyDescent="0.45">
      <c r="B265" s="14" t="s">
        <v>1460</v>
      </c>
      <c r="C265" s="14" t="s">
        <v>113</v>
      </c>
      <c r="D265" s="15" t="s">
        <v>2640</v>
      </c>
      <c r="E265" s="16" t="s">
        <v>2636</v>
      </c>
      <c r="F265" s="14" t="s">
        <v>2634</v>
      </c>
      <c r="G265" s="17"/>
      <c r="H265" s="129" t="str">
        <f>Settings!$B$3&amp;".mit.bf.cmt.dry.2"</f>
        <v>egy.mit.bf.cmt.dry.2</v>
      </c>
      <c r="K265" s="140"/>
      <c r="L265" s="143">
        <f>Mitigation_Industry!$E$754</f>
        <v>8.3381608939051E-4</v>
      </c>
      <c r="M265" s="143">
        <f>Mitigation_Industry!$E$754</f>
        <v>8.3381608939051E-4</v>
      </c>
      <c r="N265" s="143">
        <f>Mitigation_Industry!$E$754</f>
        <v>8.3381608939051E-4</v>
      </c>
      <c r="O265" s="143">
        <f>Mitigation_Industry!$E$754</f>
        <v>8.3381608939051E-4</v>
      </c>
      <c r="P265" s="143">
        <f>Mitigation_Industry!$E$754</f>
        <v>8.3381608939051E-4</v>
      </c>
      <c r="Q265" s="143">
        <f>Mitigation_Industry!$E$754</f>
        <v>8.3381608939051E-4</v>
      </c>
      <c r="R265" s="143">
        <f>Mitigation_Industry!$E$754</f>
        <v>8.3381608939051E-4</v>
      </c>
      <c r="S265" s="143">
        <f>Mitigation_Industry!$E$754</f>
        <v>8.3381608939051E-4</v>
      </c>
      <c r="T265" s="143">
        <f>Mitigation_Industry!$E$754</f>
        <v>8.3381608939051E-4</v>
      </c>
      <c r="U265" s="143">
        <f>Mitigation_Industry!$E$754</f>
        <v>8.3381608939051E-4</v>
      </c>
      <c r="V265" s="143">
        <f>Mitigation_Industry!$E$754</f>
        <v>8.3381608939051E-4</v>
      </c>
      <c r="W265" s="143">
        <f>Mitigation_Industry!$E$754</f>
        <v>8.3381608939051E-4</v>
      </c>
      <c r="X265" s="143">
        <f>Mitigation_Industry!$E$754</f>
        <v>8.3381608939051E-4</v>
      </c>
      <c r="Y265" s="143">
        <f>Mitigation_Industry!$E$754</f>
        <v>8.3381608939051E-4</v>
      </c>
      <c r="Z265" s="143">
        <f>Mitigation_Industry!$E$754</f>
        <v>8.3381608939051E-4</v>
      </c>
      <c r="AA265" s="143">
        <f>Mitigation_Industry!$E$754</f>
        <v>8.3381608939051E-4</v>
      </c>
      <c r="AB265" s="143">
        <f>Mitigation_Industry!$E$754</f>
        <v>8.3381608939051E-4</v>
      </c>
      <c r="AC265" s="143">
        <f>Mitigation_Industry!$E$754</f>
        <v>8.3381608939051E-4</v>
      </c>
      <c r="AD265" s="143">
        <f>Mitigation_Industry!$E$754</f>
        <v>8.3381608939051E-4</v>
      </c>
      <c r="AE265" s="143">
        <f>Mitigation_Industry!$E$754</f>
        <v>8.3381608939051E-4</v>
      </c>
      <c r="AF265" s="142"/>
      <c r="AG265" s="142"/>
      <c r="AH265" s="142"/>
      <c r="AI265" s="142"/>
    </row>
    <row r="266" spans="1:35" customFormat="1" ht="14.25" x14ac:dyDescent="0.45">
      <c r="B266" s="14" t="s">
        <v>1463</v>
      </c>
      <c r="C266" s="14" t="s">
        <v>117</v>
      </c>
      <c r="D266" s="15" t="s">
        <v>2641</v>
      </c>
      <c r="E266" s="16" t="s">
        <v>2636</v>
      </c>
      <c r="F266" s="14" t="s">
        <v>2634</v>
      </c>
      <c r="G266" s="17"/>
      <c r="H266" s="129" t="str">
        <f>Settings!$B$3&amp;".mit.bf.frt.amc.2"</f>
        <v>egy.mit.bf.frt.amc.2</v>
      </c>
      <c r="K266" s="140"/>
      <c r="L266" s="143">
        <f>Mitigation_Industry!$E$755</f>
        <v>1.98450938723838E-3</v>
      </c>
      <c r="M266" s="143">
        <f>Mitigation_Industry!$E$755</f>
        <v>1.98450938723838E-3</v>
      </c>
      <c r="N266" s="143">
        <f>Mitigation_Industry!$E$755</f>
        <v>1.98450938723838E-3</v>
      </c>
      <c r="O266" s="143">
        <f>Mitigation_Industry!$E$755</f>
        <v>1.98450938723838E-3</v>
      </c>
      <c r="P266" s="143">
        <f>Mitigation_Industry!$E$755</f>
        <v>1.98450938723838E-3</v>
      </c>
      <c r="Q266" s="143">
        <f>Mitigation_Industry!$E$755</f>
        <v>1.98450938723838E-3</v>
      </c>
      <c r="R266" s="143">
        <f>Mitigation_Industry!$E$755</f>
        <v>1.98450938723838E-3</v>
      </c>
      <c r="S266" s="143">
        <f>Mitigation_Industry!$E$755</f>
        <v>1.98450938723838E-3</v>
      </c>
      <c r="T266" s="143">
        <f>Mitigation_Industry!$E$755</f>
        <v>1.98450938723838E-3</v>
      </c>
      <c r="U266" s="143">
        <f>Mitigation_Industry!$E$755</f>
        <v>1.98450938723838E-3</v>
      </c>
      <c r="V266" s="143">
        <f>Mitigation_Industry!$E$755</f>
        <v>1.98450938723838E-3</v>
      </c>
      <c r="W266" s="143">
        <f>Mitigation_Industry!$E$755</f>
        <v>1.98450938723838E-3</v>
      </c>
      <c r="X266" s="143">
        <f>Mitigation_Industry!$E$755</f>
        <v>1.98450938723838E-3</v>
      </c>
      <c r="Y266" s="143">
        <f>Mitigation_Industry!$E$755</f>
        <v>1.98450938723838E-3</v>
      </c>
      <c r="Z266" s="143">
        <f>Mitigation_Industry!$E$755</f>
        <v>1.98450938723838E-3</v>
      </c>
      <c r="AA266" s="143">
        <f>Mitigation_Industry!$E$755</f>
        <v>1.98450938723838E-3</v>
      </c>
      <c r="AB266" s="143">
        <f>Mitigation_Industry!$E$755</f>
        <v>1.98450938723838E-3</v>
      </c>
      <c r="AC266" s="143">
        <f>Mitigation_Industry!$E$755</f>
        <v>1.98450938723838E-3</v>
      </c>
      <c r="AD266" s="143">
        <f>Mitigation_Industry!$E$755</f>
        <v>1.98450938723838E-3</v>
      </c>
      <c r="AE266" s="143">
        <f>Mitigation_Industry!$E$755</f>
        <v>1.98450938723838E-3</v>
      </c>
      <c r="AF266" s="142"/>
      <c r="AG266" s="142"/>
      <c r="AH266" s="142"/>
      <c r="AI266" s="142"/>
    </row>
    <row r="267" spans="1:35" customFormat="1" ht="14.25" x14ac:dyDescent="0.45">
      <c r="B267" s="14" t="s">
        <v>1466</v>
      </c>
      <c r="C267" s="14" t="s">
        <v>117</v>
      </c>
      <c r="D267" s="15" t="s">
        <v>2642</v>
      </c>
      <c r="E267" s="16" t="s">
        <v>2636</v>
      </c>
      <c r="F267" s="14" t="s">
        <v>2634</v>
      </c>
      <c r="G267" s="17"/>
      <c r="H267" s="129" t="str">
        <f>Settings!$B$3&amp;".mit.bf.frt.ure.2"</f>
        <v>egy.mit.bf.frt.ure.2</v>
      </c>
      <c r="K267" s="140"/>
      <c r="L267" s="143">
        <f>Mitigation_Industry!$E$756</f>
        <v>0</v>
      </c>
      <c r="M267" s="143">
        <f>Mitigation_Industry!$E$756</f>
        <v>0</v>
      </c>
      <c r="N267" s="143">
        <f>Mitigation_Industry!$E$756</f>
        <v>0</v>
      </c>
      <c r="O267" s="143">
        <f>Mitigation_Industry!$E$756</f>
        <v>0</v>
      </c>
      <c r="P267" s="143">
        <f>Mitigation_Industry!$E$756</f>
        <v>0</v>
      </c>
      <c r="Q267" s="143">
        <f>Mitigation_Industry!$E$756</f>
        <v>0</v>
      </c>
      <c r="R267" s="143">
        <f>Mitigation_Industry!$E$756</f>
        <v>0</v>
      </c>
      <c r="S267" s="143">
        <f>Mitigation_Industry!$E$756</f>
        <v>0</v>
      </c>
      <c r="T267" s="143">
        <f>Mitigation_Industry!$E$756</f>
        <v>0</v>
      </c>
      <c r="U267" s="143">
        <f>Mitigation_Industry!$E$756</f>
        <v>0</v>
      </c>
      <c r="V267" s="143">
        <f>Mitigation_Industry!$E$756</f>
        <v>0</v>
      </c>
      <c r="W267" s="143">
        <f>Mitigation_Industry!$E$756</f>
        <v>0</v>
      </c>
      <c r="X267" s="143">
        <f>Mitigation_Industry!$E$756</f>
        <v>0</v>
      </c>
      <c r="Y267" s="143">
        <f>Mitigation_Industry!$E$756</f>
        <v>0</v>
      </c>
      <c r="Z267" s="143">
        <f>Mitigation_Industry!$E$756</f>
        <v>0</v>
      </c>
      <c r="AA267" s="143">
        <f>Mitigation_Industry!$E$756</f>
        <v>0</v>
      </c>
      <c r="AB267" s="143">
        <f>Mitigation_Industry!$E$756</f>
        <v>0</v>
      </c>
      <c r="AC267" s="143">
        <f>Mitigation_Industry!$E$756</f>
        <v>0</v>
      </c>
      <c r="AD267" s="143">
        <f>Mitigation_Industry!$E$756</f>
        <v>0</v>
      </c>
      <c r="AE267" s="143">
        <f>Mitigation_Industry!$E$756</f>
        <v>0</v>
      </c>
      <c r="AF267" s="142"/>
      <c r="AG267" s="142"/>
      <c r="AH267" s="142"/>
      <c r="AI267" s="142"/>
    </row>
    <row r="268" spans="1:35" customFormat="1" ht="14.25" x14ac:dyDescent="0.45">
      <c r="B268" s="14" t="s">
        <v>1469</v>
      </c>
      <c r="C268" s="14" t="s">
        <v>117</v>
      </c>
      <c r="D268" s="15" t="s">
        <v>2643</v>
      </c>
      <c r="E268" s="16" t="s">
        <v>2636</v>
      </c>
      <c r="F268" s="14" t="s">
        <v>2634</v>
      </c>
      <c r="G268" s="17"/>
      <c r="H268" s="129" t="str">
        <f>Settings!$B$3&amp;".mit.bf.frt.nit.2"</f>
        <v>egy.mit.bf.frt.nit.2</v>
      </c>
      <c r="K268" s="140"/>
      <c r="L268" s="143">
        <f>Mitigation_Industry!$E$757</f>
        <v>1.04982212449868E-2</v>
      </c>
      <c r="M268" s="143">
        <f>Mitigation_Industry!$E$757</f>
        <v>1.04982212449868E-2</v>
      </c>
      <c r="N268" s="143">
        <f>Mitigation_Industry!$E$757</f>
        <v>1.04982212449868E-2</v>
      </c>
      <c r="O268" s="143">
        <f>Mitigation_Industry!$E$757</f>
        <v>1.04982212449868E-2</v>
      </c>
      <c r="P268" s="143">
        <f>Mitigation_Industry!$E$757</f>
        <v>1.04982212449868E-2</v>
      </c>
      <c r="Q268" s="143">
        <f>Mitigation_Industry!$E$757</f>
        <v>1.04982212449868E-2</v>
      </c>
      <c r="R268" s="143">
        <f>Mitigation_Industry!$E$757</f>
        <v>1.04982212449868E-2</v>
      </c>
      <c r="S268" s="143">
        <f>Mitigation_Industry!$E$757</f>
        <v>1.04982212449868E-2</v>
      </c>
      <c r="T268" s="143">
        <f>Mitigation_Industry!$E$757</f>
        <v>1.04982212449868E-2</v>
      </c>
      <c r="U268" s="143">
        <f>Mitigation_Industry!$E$757</f>
        <v>1.04982212449868E-2</v>
      </c>
      <c r="V268" s="143">
        <f>Mitigation_Industry!$E$757</f>
        <v>1.04982212449868E-2</v>
      </c>
      <c r="W268" s="143">
        <f>Mitigation_Industry!$E$757</f>
        <v>1.04982212449868E-2</v>
      </c>
      <c r="X268" s="143">
        <f>Mitigation_Industry!$E$757</f>
        <v>1.04982212449868E-2</v>
      </c>
      <c r="Y268" s="143">
        <f>Mitigation_Industry!$E$757</f>
        <v>1.04982212449868E-2</v>
      </c>
      <c r="Z268" s="143">
        <f>Mitigation_Industry!$E$757</f>
        <v>1.04982212449868E-2</v>
      </c>
      <c r="AA268" s="143">
        <f>Mitigation_Industry!$E$757</f>
        <v>1.04982212449868E-2</v>
      </c>
      <c r="AB268" s="143">
        <f>Mitigation_Industry!$E$757</f>
        <v>1.04982212449868E-2</v>
      </c>
      <c r="AC268" s="143">
        <f>Mitigation_Industry!$E$757</f>
        <v>1.04982212449868E-2</v>
      </c>
      <c r="AD268" s="143">
        <f>Mitigation_Industry!$E$757</f>
        <v>1.04982212449868E-2</v>
      </c>
      <c r="AE268" s="143">
        <f>Mitigation_Industry!$E$757</f>
        <v>1.04982212449868E-2</v>
      </c>
      <c r="AF268" s="142"/>
      <c r="AG268" s="142"/>
      <c r="AH268" s="142"/>
      <c r="AI268" s="142"/>
    </row>
    <row r="269" spans="1:35" customFormat="1" ht="14.25" x14ac:dyDescent="0.45">
      <c r="B269" s="14" t="s">
        <v>1472</v>
      </c>
      <c r="C269" s="14" t="s">
        <v>115</v>
      </c>
      <c r="D269" s="15" t="s">
        <v>2644</v>
      </c>
      <c r="E269" s="16" t="s">
        <v>2636</v>
      </c>
      <c r="F269" s="14" t="s">
        <v>2634</v>
      </c>
      <c r="G269" s="17"/>
      <c r="H269" s="129" t="str">
        <f>Settings!$B$3&amp;".mit.bf.alu.prp.2"</f>
        <v>egy.mit.bf.alu.prp.2</v>
      </c>
      <c r="K269" s="140"/>
      <c r="L269" s="143">
        <f>Mitigation_Industry!$E$758</f>
        <v>8.3381608939051E-4</v>
      </c>
      <c r="M269" s="143">
        <f>Mitigation_Industry!$E$758</f>
        <v>8.3381608939051E-4</v>
      </c>
      <c r="N269" s="143">
        <f>Mitigation_Industry!$E$758</f>
        <v>8.3381608939051E-4</v>
      </c>
      <c r="O269" s="143">
        <f>Mitigation_Industry!$E$758</f>
        <v>8.3381608939051E-4</v>
      </c>
      <c r="P269" s="143">
        <f>Mitigation_Industry!$E$758</f>
        <v>8.3381608939051E-4</v>
      </c>
      <c r="Q269" s="143">
        <f>Mitigation_Industry!$E$758</f>
        <v>8.3381608939051E-4</v>
      </c>
      <c r="R269" s="143">
        <f>Mitigation_Industry!$E$758</f>
        <v>8.3381608939051E-4</v>
      </c>
      <c r="S269" s="143">
        <f>Mitigation_Industry!$E$758</f>
        <v>8.3381608939051E-4</v>
      </c>
      <c r="T269" s="143">
        <f>Mitigation_Industry!$E$758</f>
        <v>8.3381608939051E-4</v>
      </c>
      <c r="U269" s="143">
        <f>Mitigation_Industry!$E$758</f>
        <v>8.3381608939051E-4</v>
      </c>
      <c r="V269" s="143">
        <f>Mitigation_Industry!$E$758</f>
        <v>8.3381608939051E-4</v>
      </c>
      <c r="W269" s="143">
        <f>Mitigation_Industry!$E$758</f>
        <v>8.3381608939051E-4</v>
      </c>
      <c r="X269" s="143">
        <f>Mitigation_Industry!$E$758</f>
        <v>8.3381608939051E-4</v>
      </c>
      <c r="Y269" s="143">
        <f>Mitigation_Industry!$E$758</f>
        <v>8.3381608939051E-4</v>
      </c>
      <c r="Z269" s="143">
        <f>Mitigation_Industry!$E$758</f>
        <v>8.3381608939051E-4</v>
      </c>
      <c r="AA269" s="143">
        <f>Mitigation_Industry!$E$758</f>
        <v>8.3381608939051E-4</v>
      </c>
      <c r="AB269" s="143">
        <f>Mitigation_Industry!$E$758</f>
        <v>8.3381608939051E-4</v>
      </c>
      <c r="AC269" s="143">
        <f>Mitigation_Industry!$E$758</f>
        <v>8.3381608939051E-4</v>
      </c>
      <c r="AD269" s="143">
        <f>Mitigation_Industry!$E$758</f>
        <v>8.3381608939051E-4</v>
      </c>
      <c r="AE269" s="143">
        <f>Mitigation_Industry!$E$758</f>
        <v>8.3381608939051E-4</v>
      </c>
      <c r="AF269" s="142"/>
      <c r="AG269" s="142"/>
      <c r="AH269" s="142"/>
      <c r="AI269" s="142"/>
    </row>
    <row r="270" spans="1:35" x14ac:dyDescent="0.35"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</row>
    <row r="271" spans="1:35" customFormat="1" ht="14.25" x14ac:dyDescent="0.45">
      <c r="A271" s="11"/>
      <c r="B271" s="6"/>
      <c r="C271" s="7" t="s">
        <v>2645</v>
      </c>
      <c r="D271" s="6" t="s">
        <v>1504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8">
        <v>2021</v>
      </c>
      <c r="L271" s="139">
        <v>2022</v>
      </c>
      <c r="M271" s="138">
        <v>2023</v>
      </c>
      <c r="N271" s="138">
        <v>2024</v>
      </c>
      <c r="O271" s="138">
        <v>2025</v>
      </c>
      <c r="P271" s="138">
        <v>2026</v>
      </c>
      <c r="Q271" s="138">
        <v>2027</v>
      </c>
      <c r="R271" s="138">
        <v>2028</v>
      </c>
      <c r="S271" s="138">
        <v>2029</v>
      </c>
      <c r="T271" s="138">
        <v>2030</v>
      </c>
      <c r="U271" s="138">
        <v>2031</v>
      </c>
      <c r="V271" s="138">
        <v>2032</v>
      </c>
      <c r="W271" s="138">
        <v>2033</v>
      </c>
      <c r="X271" s="138">
        <v>2034</v>
      </c>
      <c r="Y271" s="138">
        <v>2035</v>
      </c>
      <c r="Z271" s="138">
        <v>2036</v>
      </c>
      <c r="AA271" s="138">
        <v>2037</v>
      </c>
      <c r="AB271" s="138">
        <v>2038</v>
      </c>
      <c r="AC271" s="138">
        <v>2039</v>
      </c>
      <c r="AD271" s="138">
        <v>2040</v>
      </c>
      <c r="AE271" s="138">
        <v>2041</v>
      </c>
      <c r="AF271" s="138">
        <v>2042</v>
      </c>
      <c r="AG271" s="138">
        <v>2043</v>
      </c>
      <c r="AH271" s="138">
        <v>2044</v>
      </c>
      <c r="AI271" s="138">
        <v>2045</v>
      </c>
    </row>
    <row r="272" spans="1:35" customFormat="1" ht="14.25" x14ac:dyDescent="0.45">
      <c r="B272" s="14" t="s">
        <v>2591</v>
      </c>
      <c r="C272" s="14" t="s">
        <v>43</v>
      </c>
      <c r="D272" s="15" t="s">
        <v>2646</v>
      </c>
      <c r="E272" s="16" t="s">
        <v>2636</v>
      </c>
      <c r="F272" s="14" t="s">
        <v>2645</v>
      </c>
      <c r="G272" s="17"/>
      <c r="H272" s="129" t="str">
        <f>Settings!$B$3&amp;".mit.bp.stl.drg.np.2"</f>
        <v>egy.mit.bp.stl.drg.np.2</v>
      </c>
      <c r="I272" t="s">
        <v>2647</v>
      </c>
      <c r="K272" s="140"/>
      <c r="L272" s="143">
        <f>Mitigation_Industry!$E$762</f>
        <v>1.0536051565782627E-3</v>
      </c>
      <c r="M272" s="143">
        <f>Mitigation_Industry!$E$762</f>
        <v>1.0536051565782627E-3</v>
      </c>
      <c r="N272" s="143">
        <f>Mitigation_Industry!$E$762</f>
        <v>1.0536051565782627E-3</v>
      </c>
      <c r="O272" s="143">
        <f>Mitigation_Industry!$E$762</f>
        <v>1.0536051565782627E-3</v>
      </c>
      <c r="P272" s="143">
        <f>Mitigation_Industry!$E$762</f>
        <v>1.0536051565782627E-3</v>
      </c>
      <c r="Q272" s="143">
        <f>Mitigation_Industry!$E$762</f>
        <v>1.0536051565782627E-3</v>
      </c>
      <c r="R272" s="143">
        <f>Mitigation_Industry!$E$762</f>
        <v>1.0536051565782627E-3</v>
      </c>
      <c r="S272" s="143">
        <f>Mitigation_Industry!$E$762</f>
        <v>1.0536051565782627E-3</v>
      </c>
      <c r="T272" s="143">
        <f>Mitigation_Industry!$E$762</f>
        <v>1.0536051565782627E-3</v>
      </c>
      <c r="U272" s="143">
        <f>Mitigation_Industry!$E$762</f>
        <v>1.0536051565782627E-3</v>
      </c>
      <c r="V272" s="143">
        <f>Mitigation_Industry!$E$762</f>
        <v>1.0536051565782627E-3</v>
      </c>
      <c r="W272" s="143">
        <f>Mitigation_Industry!$E$762</f>
        <v>1.0536051565782627E-3</v>
      </c>
      <c r="X272" s="143">
        <f>Mitigation_Industry!$E$762</f>
        <v>1.0536051565782627E-3</v>
      </c>
      <c r="Y272" s="143">
        <f>Mitigation_Industry!$E$762</f>
        <v>1.0536051565782627E-3</v>
      </c>
      <c r="Z272" s="143">
        <f>Mitigation_Industry!$E$762</f>
        <v>1.0536051565782627E-3</v>
      </c>
      <c r="AA272" s="143">
        <f>Mitigation_Industry!$E$762</f>
        <v>1.0536051565782627E-3</v>
      </c>
      <c r="AB272" s="143">
        <f>Mitigation_Industry!$E$762</f>
        <v>1.0536051565782627E-3</v>
      </c>
      <c r="AC272" s="143">
        <f>Mitigation_Industry!$E$762</f>
        <v>1.0536051565782627E-3</v>
      </c>
      <c r="AD272" s="143">
        <f>Mitigation_Industry!$E$762</f>
        <v>1.0536051565782627E-3</v>
      </c>
      <c r="AE272" s="143">
        <f>Mitigation_Industry!$E$762</f>
        <v>1.0536051565782627E-3</v>
      </c>
      <c r="AF272" s="142"/>
      <c r="AG272" s="142"/>
      <c r="AH272" s="142"/>
      <c r="AI272" s="142"/>
    </row>
    <row r="273" spans="2:35" customFormat="1" ht="14.25" x14ac:dyDescent="0.45">
      <c r="B273" s="14" t="s">
        <v>2594</v>
      </c>
      <c r="C273" s="14" t="s">
        <v>43</v>
      </c>
      <c r="D273" s="15" t="s">
        <v>2648</v>
      </c>
      <c r="E273" s="16" t="s">
        <v>2636</v>
      </c>
      <c r="F273" s="14" t="s">
        <v>2645</v>
      </c>
      <c r="G273" s="17"/>
      <c r="H273" s="129" t="str">
        <f>Settings!$B$3&amp;".mit.bp.stl.scr.np.2"</f>
        <v>egy.mit.bp.stl.scr.np.2</v>
      </c>
      <c r="K273" s="140"/>
      <c r="L273" s="143">
        <f>Mitigation_Industry!$E$763</f>
        <v>2.0202707317519466E-4</v>
      </c>
      <c r="M273" s="143">
        <f>Mitigation_Industry!$E$763</f>
        <v>2.0202707317519466E-4</v>
      </c>
      <c r="N273" s="143">
        <f>Mitigation_Industry!$E$763</f>
        <v>2.0202707317519466E-4</v>
      </c>
      <c r="O273" s="143">
        <f>Mitigation_Industry!$E$763</f>
        <v>2.0202707317519466E-4</v>
      </c>
      <c r="P273" s="143">
        <f>Mitigation_Industry!$E$763</f>
        <v>2.0202707317519466E-4</v>
      </c>
      <c r="Q273" s="143">
        <f>Mitigation_Industry!$E$763</f>
        <v>2.0202707317519466E-4</v>
      </c>
      <c r="R273" s="143">
        <f>Mitigation_Industry!$E$763</f>
        <v>2.0202707317519466E-4</v>
      </c>
      <c r="S273" s="143">
        <f>Mitigation_Industry!$E$763</f>
        <v>2.0202707317519466E-4</v>
      </c>
      <c r="T273" s="143">
        <f>Mitigation_Industry!$E$763</f>
        <v>2.0202707317519466E-4</v>
      </c>
      <c r="U273" s="143">
        <f>Mitigation_Industry!$E$763</f>
        <v>2.0202707317519466E-4</v>
      </c>
      <c r="V273" s="143">
        <f>Mitigation_Industry!$E$763</f>
        <v>2.0202707317519466E-4</v>
      </c>
      <c r="W273" s="143">
        <f>Mitigation_Industry!$E$763</f>
        <v>2.0202707317519466E-4</v>
      </c>
      <c r="X273" s="143">
        <f>Mitigation_Industry!$E$763</f>
        <v>2.0202707317519466E-4</v>
      </c>
      <c r="Y273" s="143">
        <f>Mitigation_Industry!$E$763</f>
        <v>2.0202707317519466E-4</v>
      </c>
      <c r="Z273" s="143">
        <f>Mitigation_Industry!$E$763</f>
        <v>2.0202707317519466E-4</v>
      </c>
      <c r="AA273" s="143">
        <f>Mitigation_Industry!$E$763</f>
        <v>2.0202707317519466E-4</v>
      </c>
      <c r="AB273" s="143">
        <f>Mitigation_Industry!$E$763</f>
        <v>2.0202707317519466E-4</v>
      </c>
      <c r="AC273" s="143">
        <f>Mitigation_Industry!$E$763</f>
        <v>2.0202707317519466E-4</v>
      </c>
      <c r="AD273" s="143">
        <f>Mitigation_Industry!$E$763</f>
        <v>2.0202707317519466E-4</v>
      </c>
      <c r="AE273" s="143">
        <f>Mitigation_Industry!$E$763</f>
        <v>2.0202707317519466E-4</v>
      </c>
      <c r="AF273" s="142"/>
      <c r="AG273" s="142"/>
      <c r="AH273" s="142"/>
      <c r="AI273" s="142"/>
    </row>
    <row r="274" spans="2:35" customFormat="1" ht="14.25" x14ac:dyDescent="0.45">
      <c r="B274" s="14" t="s">
        <v>2596</v>
      </c>
      <c r="C274" s="14" t="s">
        <v>43</v>
      </c>
      <c r="D274" s="15" t="s">
        <v>2649</v>
      </c>
      <c r="E274" s="16" t="s">
        <v>2636</v>
      </c>
      <c r="F274" s="14" t="s">
        <v>2645</v>
      </c>
      <c r="G274" s="17"/>
      <c r="H274" s="129" t="str">
        <f>Settings!$B$3&amp;".mit.bp.stl.bof.np.2"</f>
        <v>egy.mit.bp.stl.bof.np.2</v>
      </c>
      <c r="K274" s="140"/>
      <c r="L274" s="143">
        <f>Mitigation_Industry!$E$764</f>
        <v>5.1293294387550576E-4</v>
      </c>
      <c r="M274" s="143">
        <f>Mitigation_Industry!$E$764</f>
        <v>5.1293294387550576E-4</v>
      </c>
      <c r="N274" s="143">
        <f>Mitigation_Industry!$E$764</f>
        <v>5.1293294387550576E-4</v>
      </c>
      <c r="O274" s="143">
        <f>Mitigation_Industry!$E$764</f>
        <v>5.1293294387550576E-4</v>
      </c>
      <c r="P274" s="143">
        <f>Mitigation_Industry!$E$764</f>
        <v>5.1293294387550576E-4</v>
      </c>
      <c r="Q274" s="143">
        <f>Mitigation_Industry!$E$764</f>
        <v>5.1293294387550576E-4</v>
      </c>
      <c r="R274" s="143">
        <f>Mitigation_Industry!$E$764</f>
        <v>5.1293294387550576E-4</v>
      </c>
      <c r="S274" s="143">
        <f>Mitigation_Industry!$E$764</f>
        <v>5.1293294387550576E-4</v>
      </c>
      <c r="T274" s="143">
        <f>Mitigation_Industry!$E$764</f>
        <v>5.1293294387550576E-4</v>
      </c>
      <c r="U274" s="143">
        <f>Mitigation_Industry!$E$764</f>
        <v>5.1293294387550576E-4</v>
      </c>
      <c r="V274" s="143">
        <f>Mitigation_Industry!$E$764</f>
        <v>5.1293294387550576E-4</v>
      </c>
      <c r="W274" s="143">
        <f>Mitigation_Industry!$E$764</f>
        <v>5.1293294387550576E-4</v>
      </c>
      <c r="X274" s="143">
        <f>Mitigation_Industry!$E$764</f>
        <v>5.1293294387550576E-4</v>
      </c>
      <c r="Y274" s="143">
        <f>Mitigation_Industry!$E$764</f>
        <v>5.1293294387550576E-4</v>
      </c>
      <c r="Z274" s="143">
        <f>Mitigation_Industry!$E$764</f>
        <v>5.1293294387550576E-4</v>
      </c>
      <c r="AA274" s="143">
        <f>Mitigation_Industry!$E$764</f>
        <v>5.1293294387550576E-4</v>
      </c>
      <c r="AB274" s="143">
        <f>Mitigation_Industry!$E$764</f>
        <v>5.1293294387550576E-4</v>
      </c>
      <c r="AC274" s="143">
        <f>Mitigation_Industry!$E$764</f>
        <v>5.1293294387550576E-4</v>
      </c>
      <c r="AD274" s="143">
        <f>Mitigation_Industry!$E$764</f>
        <v>5.1293294387550576E-4</v>
      </c>
      <c r="AE274" s="143">
        <f>Mitigation_Industry!$E$764</f>
        <v>5.1293294387550576E-4</v>
      </c>
      <c r="AF274" s="142"/>
      <c r="AG274" s="142"/>
      <c r="AH274" s="142"/>
      <c r="AI274" s="142"/>
    </row>
    <row r="275" spans="2:35" customFormat="1" ht="14.25" x14ac:dyDescent="0.45">
      <c r="B275" s="14" t="s">
        <v>2598</v>
      </c>
      <c r="C275" s="14" t="s">
        <v>113</v>
      </c>
      <c r="D275" s="15" t="s">
        <v>2650</v>
      </c>
      <c r="E275" s="16" t="s">
        <v>2636</v>
      </c>
      <c r="F275" s="14" t="s">
        <v>2645</v>
      </c>
      <c r="G275" s="17"/>
      <c r="H275" s="129" t="str">
        <f>Settings!$B$3&amp;".mit.bp.cmt.dry.np.2"</f>
        <v>egy.mit.bp.cmt.dry.np.2</v>
      </c>
      <c r="K275" s="140"/>
      <c r="L275" s="143">
        <f>Mitigation_Industry!$E$765</f>
        <v>8.338160893905101E-4</v>
      </c>
      <c r="M275" s="143">
        <f>Mitigation_Industry!$E$765</f>
        <v>8.338160893905101E-4</v>
      </c>
      <c r="N275" s="143">
        <f>Mitigation_Industry!$E$765</f>
        <v>8.338160893905101E-4</v>
      </c>
      <c r="O275" s="143">
        <f>Mitigation_Industry!$E$765</f>
        <v>8.338160893905101E-4</v>
      </c>
      <c r="P275" s="143">
        <f>Mitigation_Industry!$E$765</f>
        <v>8.338160893905101E-4</v>
      </c>
      <c r="Q275" s="143">
        <f>Mitigation_Industry!$E$765</f>
        <v>8.338160893905101E-4</v>
      </c>
      <c r="R275" s="143">
        <f>Mitigation_Industry!$E$765</f>
        <v>8.338160893905101E-4</v>
      </c>
      <c r="S275" s="143">
        <f>Mitigation_Industry!$E$765</f>
        <v>8.338160893905101E-4</v>
      </c>
      <c r="T275" s="143">
        <f>Mitigation_Industry!$E$765</f>
        <v>8.338160893905101E-4</v>
      </c>
      <c r="U275" s="143">
        <f>Mitigation_Industry!$E$765</f>
        <v>8.338160893905101E-4</v>
      </c>
      <c r="V275" s="143">
        <f>Mitigation_Industry!$E$765</f>
        <v>8.338160893905101E-4</v>
      </c>
      <c r="W275" s="143">
        <f>Mitigation_Industry!$E$765</f>
        <v>8.338160893905101E-4</v>
      </c>
      <c r="X275" s="143">
        <f>Mitigation_Industry!$E$765</f>
        <v>8.338160893905101E-4</v>
      </c>
      <c r="Y275" s="143">
        <f>Mitigation_Industry!$E$765</f>
        <v>8.338160893905101E-4</v>
      </c>
      <c r="Z275" s="143">
        <f>Mitigation_Industry!$E$765</f>
        <v>8.338160893905101E-4</v>
      </c>
      <c r="AA275" s="143">
        <f>Mitigation_Industry!$E$765</f>
        <v>8.338160893905101E-4</v>
      </c>
      <c r="AB275" s="143">
        <f>Mitigation_Industry!$E$765</f>
        <v>8.338160893905101E-4</v>
      </c>
      <c r="AC275" s="143">
        <f>Mitigation_Industry!$E$765</f>
        <v>8.338160893905101E-4</v>
      </c>
      <c r="AD275" s="143">
        <f>Mitigation_Industry!$E$765</f>
        <v>8.338160893905101E-4</v>
      </c>
      <c r="AE275" s="143">
        <f>Mitigation_Industry!$E$765</f>
        <v>8.338160893905101E-4</v>
      </c>
      <c r="AF275" s="142"/>
      <c r="AG275" s="142"/>
      <c r="AH275" s="142"/>
      <c r="AI275" s="142"/>
    </row>
    <row r="276" spans="2:35" customFormat="1" ht="14.25" x14ac:dyDescent="0.45">
      <c r="B276" s="14" t="s">
        <v>2600</v>
      </c>
      <c r="C276" s="14" t="s">
        <v>117</v>
      </c>
      <c r="D276" s="15" t="s">
        <v>2651</v>
      </c>
      <c r="E276" s="16" t="s">
        <v>2636</v>
      </c>
      <c r="F276" s="14" t="s">
        <v>2645</v>
      </c>
      <c r="G276" s="17"/>
      <c r="H276" s="129" t="str">
        <f>Settings!$B$3&amp;".mit.bp.frt.amc.np.2"</f>
        <v>egy.mit.bp.frt.amc.np.2</v>
      </c>
      <c r="K276" s="140"/>
      <c r="L276" s="143">
        <f>Mitigation_Industry!$E$766</f>
        <v>1.9845093872383817E-3</v>
      </c>
      <c r="M276" s="143">
        <f>Mitigation_Industry!$E$766</f>
        <v>1.9845093872383817E-3</v>
      </c>
      <c r="N276" s="143">
        <f>Mitigation_Industry!$E$766</f>
        <v>1.9845093872383817E-3</v>
      </c>
      <c r="O276" s="143">
        <f>Mitigation_Industry!$E$766</f>
        <v>1.9845093872383817E-3</v>
      </c>
      <c r="P276" s="143">
        <f>Mitigation_Industry!$E$766</f>
        <v>1.9845093872383817E-3</v>
      </c>
      <c r="Q276" s="143">
        <f>Mitigation_Industry!$E$766</f>
        <v>1.9845093872383817E-3</v>
      </c>
      <c r="R276" s="143">
        <f>Mitigation_Industry!$E$766</f>
        <v>1.9845093872383817E-3</v>
      </c>
      <c r="S276" s="143">
        <f>Mitigation_Industry!$E$766</f>
        <v>1.9845093872383817E-3</v>
      </c>
      <c r="T276" s="143">
        <f>Mitigation_Industry!$E$766</f>
        <v>1.9845093872383817E-3</v>
      </c>
      <c r="U276" s="143">
        <f>Mitigation_Industry!$E$766</f>
        <v>1.9845093872383817E-3</v>
      </c>
      <c r="V276" s="143">
        <f>Mitigation_Industry!$E$766</f>
        <v>1.9845093872383817E-3</v>
      </c>
      <c r="W276" s="143">
        <f>Mitigation_Industry!$E$766</f>
        <v>1.9845093872383817E-3</v>
      </c>
      <c r="X276" s="143">
        <f>Mitigation_Industry!$E$766</f>
        <v>1.9845093872383817E-3</v>
      </c>
      <c r="Y276" s="143">
        <f>Mitigation_Industry!$E$766</f>
        <v>1.9845093872383817E-3</v>
      </c>
      <c r="Z276" s="143">
        <f>Mitigation_Industry!$E$766</f>
        <v>1.9845093872383817E-3</v>
      </c>
      <c r="AA276" s="143">
        <f>Mitigation_Industry!$E$766</f>
        <v>1.9845093872383817E-3</v>
      </c>
      <c r="AB276" s="143">
        <f>Mitigation_Industry!$E$766</f>
        <v>1.9845093872383817E-3</v>
      </c>
      <c r="AC276" s="143">
        <f>Mitigation_Industry!$E$766</f>
        <v>1.9845093872383817E-3</v>
      </c>
      <c r="AD276" s="143">
        <f>Mitigation_Industry!$E$766</f>
        <v>1.9845093872383817E-3</v>
      </c>
      <c r="AE276" s="143">
        <f>Mitigation_Industry!$E$766</f>
        <v>1.9845093872383817E-3</v>
      </c>
      <c r="AF276" s="142"/>
      <c r="AG276" s="142"/>
      <c r="AH276" s="142"/>
      <c r="AI276" s="142"/>
    </row>
    <row r="277" spans="2:35" customFormat="1" ht="14.25" x14ac:dyDescent="0.45">
      <c r="B277" s="14" t="s">
        <v>2602</v>
      </c>
      <c r="C277" s="14" t="s">
        <v>117</v>
      </c>
      <c r="D277" s="15" t="s">
        <v>2652</v>
      </c>
      <c r="E277" s="16" t="s">
        <v>2636</v>
      </c>
      <c r="F277" s="14" t="s">
        <v>2645</v>
      </c>
      <c r="G277" s="17"/>
      <c r="H277" s="129" t="str">
        <f>Settings!$B$3&amp;".mit.bp.frt.ure.np.2"</f>
        <v>egy.mit.bp.frt.ure.np.2</v>
      </c>
      <c r="K277" s="140"/>
      <c r="L277" s="143">
        <f>Mitigation_Industry!$E$767</f>
        <v>0</v>
      </c>
      <c r="M277" s="143">
        <f>Mitigation_Industry!$E$767</f>
        <v>0</v>
      </c>
      <c r="N277" s="143">
        <f>Mitigation_Industry!$E$767</f>
        <v>0</v>
      </c>
      <c r="O277" s="143">
        <f>Mitigation_Industry!$E$767</f>
        <v>0</v>
      </c>
      <c r="P277" s="143">
        <f>Mitigation_Industry!$E$767</f>
        <v>0</v>
      </c>
      <c r="Q277" s="143">
        <f>Mitigation_Industry!$E$767</f>
        <v>0</v>
      </c>
      <c r="R277" s="143">
        <f>Mitigation_Industry!$E$767</f>
        <v>0</v>
      </c>
      <c r="S277" s="143">
        <f>Mitigation_Industry!$E$767</f>
        <v>0</v>
      </c>
      <c r="T277" s="143">
        <f>Mitigation_Industry!$E$767</f>
        <v>0</v>
      </c>
      <c r="U277" s="143">
        <f>Mitigation_Industry!$E$767</f>
        <v>0</v>
      </c>
      <c r="V277" s="143">
        <f>Mitigation_Industry!$E$767</f>
        <v>0</v>
      </c>
      <c r="W277" s="143">
        <f>Mitigation_Industry!$E$767</f>
        <v>0</v>
      </c>
      <c r="X277" s="143">
        <f>Mitigation_Industry!$E$767</f>
        <v>0</v>
      </c>
      <c r="Y277" s="143">
        <f>Mitigation_Industry!$E$767</f>
        <v>0</v>
      </c>
      <c r="Z277" s="143">
        <f>Mitigation_Industry!$E$767</f>
        <v>0</v>
      </c>
      <c r="AA277" s="143">
        <f>Mitigation_Industry!$E$767</f>
        <v>0</v>
      </c>
      <c r="AB277" s="143">
        <f>Mitigation_Industry!$E$767</f>
        <v>0</v>
      </c>
      <c r="AC277" s="143">
        <f>Mitigation_Industry!$E$767</f>
        <v>0</v>
      </c>
      <c r="AD277" s="143">
        <f>Mitigation_Industry!$E$767</f>
        <v>0</v>
      </c>
      <c r="AE277" s="143">
        <f>Mitigation_Industry!$E$767</f>
        <v>0</v>
      </c>
      <c r="AF277" s="142"/>
      <c r="AG277" s="142"/>
      <c r="AH277" s="142"/>
      <c r="AI277" s="142"/>
    </row>
    <row r="278" spans="2:35" customFormat="1" ht="14.25" x14ac:dyDescent="0.45">
      <c r="B278" s="14" t="s">
        <v>2604</v>
      </c>
      <c r="C278" s="14" t="s">
        <v>117</v>
      </c>
      <c r="D278" s="15" t="s">
        <v>2653</v>
      </c>
      <c r="E278" s="16" t="s">
        <v>2636</v>
      </c>
      <c r="F278" s="14" t="s">
        <v>2645</v>
      </c>
      <c r="G278" s="17"/>
      <c r="H278" s="129" t="str">
        <f>Settings!$B$3&amp;".mit.bp.frt.nit.np.2"</f>
        <v>egy.mit.bp.frt.nit.np.2</v>
      </c>
      <c r="K278" s="140"/>
      <c r="L278" s="143">
        <f>Mitigation_Industry!$E$768</f>
        <v>1.0498221244986778E-2</v>
      </c>
      <c r="M278" s="143">
        <f>Mitigation_Industry!$E$768</f>
        <v>1.0498221244986778E-2</v>
      </c>
      <c r="N278" s="143">
        <f>Mitigation_Industry!$E$768</f>
        <v>1.0498221244986778E-2</v>
      </c>
      <c r="O278" s="143">
        <f>Mitigation_Industry!$E$768</f>
        <v>1.0498221244986778E-2</v>
      </c>
      <c r="P278" s="143">
        <f>Mitigation_Industry!$E$768</f>
        <v>1.0498221244986778E-2</v>
      </c>
      <c r="Q278" s="143">
        <f>Mitigation_Industry!$E$768</f>
        <v>1.0498221244986778E-2</v>
      </c>
      <c r="R278" s="143">
        <f>Mitigation_Industry!$E$768</f>
        <v>1.0498221244986778E-2</v>
      </c>
      <c r="S278" s="143">
        <f>Mitigation_Industry!$E$768</f>
        <v>1.0498221244986778E-2</v>
      </c>
      <c r="T278" s="143">
        <f>Mitigation_Industry!$E$768</f>
        <v>1.0498221244986778E-2</v>
      </c>
      <c r="U278" s="143">
        <f>Mitigation_Industry!$E$768</f>
        <v>1.0498221244986778E-2</v>
      </c>
      <c r="V278" s="143">
        <f>Mitigation_Industry!$E$768</f>
        <v>1.0498221244986778E-2</v>
      </c>
      <c r="W278" s="143">
        <f>Mitigation_Industry!$E$768</f>
        <v>1.0498221244986778E-2</v>
      </c>
      <c r="X278" s="143">
        <f>Mitigation_Industry!$E$768</f>
        <v>1.0498221244986778E-2</v>
      </c>
      <c r="Y278" s="143">
        <f>Mitigation_Industry!$E$768</f>
        <v>1.0498221244986778E-2</v>
      </c>
      <c r="Z278" s="143">
        <f>Mitigation_Industry!$E$768</f>
        <v>1.0498221244986778E-2</v>
      </c>
      <c r="AA278" s="143">
        <f>Mitigation_Industry!$E$768</f>
        <v>1.0498221244986778E-2</v>
      </c>
      <c r="AB278" s="143">
        <f>Mitigation_Industry!$E$768</f>
        <v>1.0498221244986778E-2</v>
      </c>
      <c r="AC278" s="143">
        <f>Mitigation_Industry!$E$768</f>
        <v>1.0498221244986778E-2</v>
      </c>
      <c r="AD278" s="143">
        <f>Mitigation_Industry!$E$768</f>
        <v>1.0498221244986778E-2</v>
      </c>
      <c r="AE278" s="143">
        <f>Mitigation_Industry!$E$768</f>
        <v>1.0498221244986778E-2</v>
      </c>
      <c r="AF278" s="142"/>
      <c r="AG278" s="142"/>
      <c r="AH278" s="142"/>
      <c r="AI278" s="142"/>
    </row>
    <row r="279" spans="2:35" customFormat="1" ht="14.25" x14ac:dyDescent="0.45">
      <c r="B279" s="14" t="s">
        <v>2606</v>
      </c>
      <c r="C279" s="14" t="s">
        <v>115</v>
      </c>
      <c r="D279" s="15" t="s">
        <v>2654</v>
      </c>
      <c r="E279" s="16" t="s">
        <v>2636</v>
      </c>
      <c r="F279" s="14" t="s">
        <v>2645</v>
      </c>
      <c r="G279" s="17"/>
      <c r="H279" s="129" t="str">
        <f>Settings!$B$3&amp;".mit.bp.alu.prp.np.2"</f>
        <v>egy.mit.bp.alu.prp.np.2</v>
      </c>
      <c r="K279" s="140"/>
      <c r="L279" s="143">
        <f>Mitigation_Industry!$E$769</f>
        <v>8.338160893905101E-4</v>
      </c>
      <c r="M279" s="143">
        <f>Mitigation_Industry!$E$769</f>
        <v>8.338160893905101E-4</v>
      </c>
      <c r="N279" s="143">
        <f>Mitigation_Industry!$E$769</f>
        <v>8.338160893905101E-4</v>
      </c>
      <c r="O279" s="143">
        <f>Mitigation_Industry!$E$769</f>
        <v>8.338160893905101E-4</v>
      </c>
      <c r="P279" s="143">
        <f>Mitigation_Industry!$E$769</f>
        <v>8.338160893905101E-4</v>
      </c>
      <c r="Q279" s="143">
        <f>Mitigation_Industry!$E$769</f>
        <v>8.338160893905101E-4</v>
      </c>
      <c r="R279" s="143">
        <f>Mitigation_Industry!$E$769</f>
        <v>8.338160893905101E-4</v>
      </c>
      <c r="S279" s="143">
        <f>Mitigation_Industry!$E$769</f>
        <v>8.338160893905101E-4</v>
      </c>
      <c r="T279" s="143">
        <f>Mitigation_Industry!$E$769</f>
        <v>8.338160893905101E-4</v>
      </c>
      <c r="U279" s="143">
        <f>Mitigation_Industry!$E$769</f>
        <v>8.338160893905101E-4</v>
      </c>
      <c r="V279" s="143">
        <f>Mitigation_Industry!$E$769</f>
        <v>8.338160893905101E-4</v>
      </c>
      <c r="W279" s="143">
        <f>Mitigation_Industry!$E$769</f>
        <v>8.338160893905101E-4</v>
      </c>
      <c r="X279" s="143">
        <f>Mitigation_Industry!$E$769</f>
        <v>8.338160893905101E-4</v>
      </c>
      <c r="Y279" s="143">
        <f>Mitigation_Industry!$E$769</f>
        <v>8.338160893905101E-4</v>
      </c>
      <c r="Z279" s="143">
        <f>Mitigation_Industry!$E$769</f>
        <v>8.338160893905101E-4</v>
      </c>
      <c r="AA279" s="143">
        <f>Mitigation_Industry!$E$769</f>
        <v>8.338160893905101E-4</v>
      </c>
      <c r="AB279" s="143">
        <f>Mitigation_Industry!$E$769</f>
        <v>8.338160893905101E-4</v>
      </c>
      <c r="AC279" s="143">
        <f>Mitigation_Industry!$E$769</f>
        <v>8.338160893905101E-4</v>
      </c>
      <c r="AD279" s="143">
        <f>Mitigation_Industry!$E$769</f>
        <v>8.338160893905101E-4</v>
      </c>
      <c r="AE279" s="143">
        <f>Mitigation_Industry!$E$769</f>
        <v>8.338160893905101E-4</v>
      </c>
      <c r="AF279" s="142"/>
      <c r="AG279" s="142"/>
      <c r="AH279" s="142"/>
      <c r="AI279" s="142"/>
    </row>
    <row r="280" spans="2:35" customFormat="1" ht="14.25" x14ac:dyDescent="0.45">
      <c r="B280" s="14" t="s">
        <v>2608</v>
      </c>
      <c r="C280" s="14" t="s">
        <v>43</v>
      </c>
      <c r="D280" s="15" t="s">
        <v>2655</v>
      </c>
      <c r="E280" s="16" t="s">
        <v>2636</v>
      </c>
      <c r="F280" s="14" t="s">
        <v>2645</v>
      </c>
      <c r="G280" s="17"/>
      <c r="H280" s="129" t="str">
        <f>Settings!$B$3&amp;".mit.bp.stl.drg.no.2"</f>
        <v>egy.mit.bp.stl.drg.no.2</v>
      </c>
      <c r="K280" s="140"/>
      <c r="L280" s="143">
        <f>Mitigation_Industry!$G$762</f>
        <v>1.0536051565782627E-3</v>
      </c>
      <c r="M280" s="143">
        <f>Mitigation_Industry!$G$762</f>
        <v>1.0536051565782627E-3</v>
      </c>
      <c r="N280" s="143">
        <f>Mitigation_Industry!$G$762</f>
        <v>1.0536051565782627E-3</v>
      </c>
      <c r="O280" s="143">
        <f>Mitigation_Industry!$G$762</f>
        <v>1.0536051565782627E-3</v>
      </c>
      <c r="P280" s="143">
        <f>Mitigation_Industry!$G$762</f>
        <v>1.0536051565782627E-3</v>
      </c>
      <c r="Q280" s="143">
        <f>Mitigation_Industry!$G$762</f>
        <v>1.0536051565782627E-3</v>
      </c>
      <c r="R280" s="143">
        <f>Mitigation_Industry!$G$762</f>
        <v>1.0536051565782627E-3</v>
      </c>
      <c r="S280" s="143">
        <f>Mitigation_Industry!$G$762</f>
        <v>1.0536051565782627E-3</v>
      </c>
      <c r="T280" s="143">
        <f>Mitigation_Industry!$G$762</f>
        <v>1.0536051565782627E-3</v>
      </c>
      <c r="U280" s="143">
        <f>Mitigation_Industry!$G$762</f>
        <v>1.0536051565782627E-3</v>
      </c>
      <c r="V280" s="143">
        <f>Mitigation_Industry!$G$762</f>
        <v>1.0536051565782627E-3</v>
      </c>
      <c r="W280" s="143">
        <f>Mitigation_Industry!$G$762</f>
        <v>1.0536051565782627E-3</v>
      </c>
      <c r="X280" s="143">
        <f>Mitigation_Industry!$G$762</f>
        <v>1.0536051565782627E-3</v>
      </c>
      <c r="Y280" s="143">
        <f>Mitigation_Industry!$G$762</f>
        <v>1.0536051565782627E-3</v>
      </c>
      <c r="Z280" s="143">
        <f>Mitigation_Industry!$G$762</f>
        <v>1.0536051565782627E-3</v>
      </c>
      <c r="AA280" s="143">
        <f>Mitigation_Industry!$G$762</f>
        <v>1.0536051565782627E-3</v>
      </c>
      <c r="AB280" s="143">
        <f>Mitigation_Industry!$G$762</f>
        <v>1.0536051565782627E-3</v>
      </c>
      <c r="AC280" s="143">
        <f>Mitigation_Industry!$G$762</f>
        <v>1.0536051565782627E-3</v>
      </c>
      <c r="AD280" s="143">
        <f>Mitigation_Industry!$G$762</f>
        <v>1.0536051565782627E-3</v>
      </c>
      <c r="AE280" s="143">
        <f>Mitigation_Industry!$G$762</f>
        <v>1.0536051565782627E-3</v>
      </c>
      <c r="AF280" s="142"/>
      <c r="AG280" s="142"/>
      <c r="AH280" s="142"/>
      <c r="AI280" s="142"/>
    </row>
    <row r="281" spans="2:35" customFormat="1" ht="14.25" x14ac:dyDescent="0.45">
      <c r="B281" s="14" t="s">
        <v>2610</v>
      </c>
      <c r="C281" s="14" t="s">
        <v>43</v>
      </c>
      <c r="D281" s="15" t="s">
        <v>2656</v>
      </c>
      <c r="E281" s="16" t="s">
        <v>2636</v>
      </c>
      <c r="F281" s="14" t="s">
        <v>2645</v>
      </c>
      <c r="G281" s="17"/>
      <c r="H281" s="129" t="str">
        <f>Settings!$B$3&amp;".mit.bp.stl.scr.no.2"</f>
        <v>egy.mit.bp.stl.scr.no.2</v>
      </c>
      <c r="K281" s="140"/>
      <c r="L281" s="143">
        <f>Mitigation_Industry!$G$763</f>
        <v>2.0202707317519466E-4</v>
      </c>
      <c r="M281" s="143">
        <f>Mitigation_Industry!$G$763</f>
        <v>2.0202707317519466E-4</v>
      </c>
      <c r="N281" s="143">
        <f>Mitigation_Industry!$G$763</f>
        <v>2.0202707317519466E-4</v>
      </c>
      <c r="O281" s="143">
        <f>Mitigation_Industry!$G$763</f>
        <v>2.0202707317519466E-4</v>
      </c>
      <c r="P281" s="143">
        <f>Mitigation_Industry!$G$763</f>
        <v>2.0202707317519466E-4</v>
      </c>
      <c r="Q281" s="143">
        <f>Mitigation_Industry!$G$763</f>
        <v>2.0202707317519466E-4</v>
      </c>
      <c r="R281" s="143">
        <f>Mitigation_Industry!$G$763</f>
        <v>2.0202707317519466E-4</v>
      </c>
      <c r="S281" s="143">
        <f>Mitigation_Industry!$G$763</f>
        <v>2.0202707317519466E-4</v>
      </c>
      <c r="T281" s="143">
        <f>Mitigation_Industry!$G$763</f>
        <v>2.0202707317519466E-4</v>
      </c>
      <c r="U281" s="143">
        <f>Mitigation_Industry!$G$763</f>
        <v>2.0202707317519466E-4</v>
      </c>
      <c r="V281" s="143">
        <f>Mitigation_Industry!$G$763</f>
        <v>2.0202707317519466E-4</v>
      </c>
      <c r="W281" s="143">
        <f>Mitigation_Industry!$G$763</f>
        <v>2.0202707317519466E-4</v>
      </c>
      <c r="X281" s="143">
        <f>Mitigation_Industry!$G$763</f>
        <v>2.0202707317519466E-4</v>
      </c>
      <c r="Y281" s="143">
        <f>Mitigation_Industry!$G$763</f>
        <v>2.0202707317519466E-4</v>
      </c>
      <c r="Z281" s="143">
        <f>Mitigation_Industry!$G$763</f>
        <v>2.0202707317519466E-4</v>
      </c>
      <c r="AA281" s="143">
        <f>Mitigation_Industry!$G$763</f>
        <v>2.0202707317519466E-4</v>
      </c>
      <c r="AB281" s="143">
        <f>Mitigation_Industry!$G$763</f>
        <v>2.0202707317519466E-4</v>
      </c>
      <c r="AC281" s="143">
        <f>Mitigation_Industry!$G$763</f>
        <v>2.0202707317519466E-4</v>
      </c>
      <c r="AD281" s="143">
        <f>Mitigation_Industry!$G$763</f>
        <v>2.0202707317519466E-4</v>
      </c>
      <c r="AE281" s="143">
        <f>Mitigation_Industry!$G$763</f>
        <v>2.0202707317519466E-4</v>
      </c>
      <c r="AF281" s="142"/>
      <c r="AG281" s="142"/>
      <c r="AH281" s="142"/>
      <c r="AI281" s="142"/>
    </row>
    <row r="282" spans="2:35" customFormat="1" ht="14.25" x14ac:dyDescent="0.45">
      <c r="B282" s="14" t="s">
        <v>2612</v>
      </c>
      <c r="C282" s="14" t="s">
        <v>43</v>
      </c>
      <c r="D282" s="15" t="s">
        <v>2657</v>
      </c>
      <c r="E282" s="16" t="s">
        <v>2636</v>
      </c>
      <c r="F282" s="14" t="s">
        <v>2645</v>
      </c>
      <c r="G282" s="17"/>
      <c r="H282" s="129" t="str">
        <f>Settings!$B$3&amp;".mit.bp.stl.bof.no.2"</f>
        <v>egy.mit.bp.stl.bof.no.2</v>
      </c>
      <c r="K282" s="140"/>
      <c r="L282" s="143">
        <f>Mitigation_Industry!$G$764</f>
        <v>5.1293294387550576E-4</v>
      </c>
      <c r="M282" s="143">
        <f>Mitigation_Industry!$G$764</f>
        <v>5.1293294387550576E-4</v>
      </c>
      <c r="N282" s="143">
        <f>Mitigation_Industry!$G$764</f>
        <v>5.1293294387550576E-4</v>
      </c>
      <c r="O282" s="143">
        <f>Mitigation_Industry!$G$764</f>
        <v>5.1293294387550576E-4</v>
      </c>
      <c r="P282" s="143">
        <f>Mitigation_Industry!$G$764</f>
        <v>5.1293294387550576E-4</v>
      </c>
      <c r="Q282" s="143">
        <f>Mitigation_Industry!$G$764</f>
        <v>5.1293294387550576E-4</v>
      </c>
      <c r="R282" s="143">
        <f>Mitigation_Industry!$G$764</f>
        <v>5.1293294387550576E-4</v>
      </c>
      <c r="S282" s="143">
        <f>Mitigation_Industry!$G$764</f>
        <v>5.1293294387550576E-4</v>
      </c>
      <c r="T282" s="143">
        <f>Mitigation_Industry!$G$764</f>
        <v>5.1293294387550576E-4</v>
      </c>
      <c r="U282" s="143">
        <f>Mitigation_Industry!$G$764</f>
        <v>5.1293294387550576E-4</v>
      </c>
      <c r="V282" s="143">
        <f>Mitigation_Industry!$G$764</f>
        <v>5.1293294387550576E-4</v>
      </c>
      <c r="W282" s="143">
        <f>Mitigation_Industry!$G$764</f>
        <v>5.1293294387550576E-4</v>
      </c>
      <c r="X282" s="143">
        <f>Mitigation_Industry!$G$764</f>
        <v>5.1293294387550576E-4</v>
      </c>
      <c r="Y282" s="143">
        <f>Mitigation_Industry!$G$764</f>
        <v>5.1293294387550576E-4</v>
      </c>
      <c r="Z282" s="143">
        <f>Mitigation_Industry!$G$764</f>
        <v>5.1293294387550576E-4</v>
      </c>
      <c r="AA282" s="143">
        <f>Mitigation_Industry!$G$764</f>
        <v>5.1293294387550576E-4</v>
      </c>
      <c r="AB282" s="143">
        <f>Mitigation_Industry!$G$764</f>
        <v>5.1293294387550576E-4</v>
      </c>
      <c r="AC282" s="143">
        <f>Mitigation_Industry!$G$764</f>
        <v>5.1293294387550576E-4</v>
      </c>
      <c r="AD282" s="143">
        <f>Mitigation_Industry!$G$764</f>
        <v>5.1293294387550576E-4</v>
      </c>
      <c r="AE282" s="143">
        <f>Mitigation_Industry!$G$764</f>
        <v>5.1293294387550576E-4</v>
      </c>
      <c r="AF282" s="142"/>
      <c r="AG282" s="142"/>
      <c r="AH282" s="142"/>
      <c r="AI282" s="142"/>
    </row>
    <row r="283" spans="2:35" customFormat="1" ht="14.25" x14ac:dyDescent="0.45">
      <c r="B283" s="14" t="s">
        <v>2614</v>
      </c>
      <c r="C283" s="14" t="s">
        <v>113</v>
      </c>
      <c r="D283" s="15" t="s">
        <v>2658</v>
      </c>
      <c r="E283" s="16" t="s">
        <v>2636</v>
      </c>
      <c r="F283" s="14" t="s">
        <v>2645</v>
      </c>
      <c r="G283" s="17"/>
      <c r="H283" s="129" t="str">
        <f>Settings!$B$3&amp;".mit.bp.cmt.dry.no.2"</f>
        <v>egy.mit.bp.cmt.dry.no.2</v>
      </c>
      <c r="K283" s="140"/>
      <c r="L283" s="143">
        <f>Mitigation_Industry!$G$765</f>
        <v>8.338160893905101E-4</v>
      </c>
      <c r="M283" s="143">
        <f>Mitigation_Industry!$G$765</f>
        <v>8.338160893905101E-4</v>
      </c>
      <c r="N283" s="143">
        <f>Mitigation_Industry!$G$765</f>
        <v>8.338160893905101E-4</v>
      </c>
      <c r="O283" s="143">
        <f>Mitigation_Industry!$G$765</f>
        <v>8.338160893905101E-4</v>
      </c>
      <c r="P283" s="143">
        <f>Mitigation_Industry!$G$765</f>
        <v>8.338160893905101E-4</v>
      </c>
      <c r="Q283" s="143">
        <f>Mitigation_Industry!$G$765</f>
        <v>8.338160893905101E-4</v>
      </c>
      <c r="R283" s="143">
        <f>Mitigation_Industry!$G$765</f>
        <v>8.338160893905101E-4</v>
      </c>
      <c r="S283" s="143">
        <f>Mitigation_Industry!$G$765</f>
        <v>8.338160893905101E-4</v>
      </c>
      <c r="T283" s="143">
        <f>Mitigation_Industry!$G$765</f>
        <v>8.338160893905101E-4</v>
      </c>
      <c r="U283" s="143">
        <f>Mitigation_Industry!$G$765</f>
        <v>8.338160893905101E-4</v>
      </c>
      <c r="V283" s="143">
        <f>Mitigation_Industry!$G$765</f>
        <v>8.338160893905101E-4</v>
      </c>
      <c r="W283" s="143">
        <f>Mitigation_Industry!$G$765</f>
        <v>8.338160893905101E-4</v>
      </c>
      <c r="X283" s="143">
        <f>Mitigation_Industry!$G$765</f>
        <v>8.338160893905101E-4</v>
      </c>
      <c r="Y283" s="143">
        <f>Mitigation_Industry!$G$765</f>
        <v>8.338160893905101E-4</v>
      </c>
      <c r="Z283" s="143">
        <f>Mitigation_Industry!$G$765</f>
        <v>8.338160893905101E-4</v>
      </c>
      <c r="AA283" s="143">
        <f>Mitigation_Industry!$G$765</f>
        <v>8.338160893905101E-4</v>
      </c>
      <c r="AB283" s="143">
        <f>Mitigation_Industry!$G$765</f>
        <v>8.338160893905101E-4</v>
      </c>
      <c r="AC283" s="143">
        <f>Mitigation_Industry!$G$765</f>
        <v>8.338160893905101E-4</v>
      </c>
      <c r="AD283" s="143">
        <f>Mitigation_Industry!$G$765</f>
        <v>8.338160893905101E-4</v>
      </c>
      <c r="AE283" s="143">
        <f>Mitigation_Industry!$G$765</f>
        <v>8.338160893905101E-4</v>
      </c>
      <c r="AF283" s="142"/>
      <c r="AG283" s="142"/>
      <c r="AH283" s="142"/>
      <c r="AI283" s="142"/>
    </row>
    <row r="284" spans="2:35" customFormat="1" ht="14.25" x14ac:dyDescent="0.45">
      <c r="B284" s="14" t="s">
        <v>2616</v>
      </c>
      <c r="C284" s="14" t="s">
        <v>117</v>
      </c>
      <c r="D284" s="15" t="s">
        <v>2659</v>
      </c>
      <c r="E284" s="16" t="s">
        <v>2636</v>
      </c>
      <c r="F284" s="14" t="s">
        <v>2645</v>
      </c>
      <c r="G284" s="17"/>
      <c r="H284" s="129" t="str">
        <f>Settings!$B$3&amp;".mit.bp.frt.amc.no.2"</f>
        <v>egy.mit.bp.frt.amc.no.2</v>
      </c>
      <c r="K284" s="140"/>
      <c r="L284" s="143">
        <f>Mitigation_Industry!$G$766</f>
        <v>1.9845093872383817E-3</v>
      </c>
      <c r="M284" s="143">
        <f>Mitigation_Industry!$G$766</f>
        <v>1.9845093872383817E-3</v>
      </c>
      <c r="N284" s="143">
        <f>Mitigation_Industry!$G$766</f>
        <v>1.9845093872383817E-3</v>
      </c>
      <c r="O284" s="143">
        <f>Mitigation_Industry!$G$766</f>
        <v>1.9845093872383817E-3</v>
      </c>
      <c r="P284" s="143">
        <f>Mitigation_Industry!$G$766</f>
        <v>1.9845093872383817E-3</v>
      </c>
      <c r="Q284" s="143">
        <f>Mitigation_Industry!$G$766</f>
        <v>1.9845093872383817E-3</v>
      </c>
      <c r="R284" s="143">
        <f>Mitigation_Industry!$G$766</f>
        <v>1.9845093872383817E-3</v>
      </c>
      <c r="S284" s="143">
        <f>Mitigation_Industry!$G$766</f>
        <v>1.9845093872383817E-3</v>
      </c>
      <c r="T284" s="143">
        <f>Mitigation_Industry!$G$766</f>
        <v>1.9845093872383817E-3</v>
      </c>
      <c r="U284" s="143">
        <f>Mitigation_Industry!$G$766</f>
        <v>1.9845093872383817E-3</v>
      </c>
      <c r="V284" s="143">
        <f>Mitigation_Industry!$G$766</f>
        <v>1.9845093872383817E-3</v>
      </c>
      <c r="W284" s="143">
        <f>Mitigation_Industry!$G$766</f>
        <v>1.9845093872383817E-3</v>
      </c>
      <c r="X284" s="143">
        <f>Mitigation_Industry!$G$766</f>
        <v>1.9845093872383817E-3</v>
      </c>
      <c r="Y284" s="143">
        <f>Mitigation_Industry!$G$766</f>
        <v>1.9845093872383817E-3</v>
      </c>
      <c r="Z284" s="143">
        <f>Mitigation_Industry!$G$766</f>
        <v>1.9845093872383817E-3</v>
      </c>
      <c r="AA284" s="143">
        <f>Mitigation_Industry!$G$766</f>
        <v>1.9845093872383817E-3</v>
      </c>
      <c r="AB284" s="143">
        <f>Mitigation_Industry!$G$766</f>
        <v>1.9845093872383817E-3</v>
      </c>
      <c r="AC284" s="143">
        <f>Mitigation_Industry!$G$766</f>
        <v>1.9845093872383817E-3</v>
      </c>
      <c r="AD284" s="143">
        <f>Mitigation_Industry!$G$766</f>
        <v>1.9845093872383817E-3</v>
      </c>
      <c r="AE284" s="143">
        <f>Mitigation_Industry!$G$766</f>
        <v>1.9845093872383817E-3</v>
      </c>
      <c r="AF284" s="142"/>
      <c r="AG284" s="142"/>
      <c r="AH284" s="142"/>
      <c r="AI284" s="142"/>
    </row>
    <row r="285" spans="2:35" customFormat="1" ht="14.25" x14ac:dyDescent="0.45">
      <c r="B285" s="14" t="s">
        <v>2618</v>
      </c>
      <c r="C285" s="14" t="s">
        <v>117</v>
      </c>
      <c r="D285" s="15" t="s">
        <v>2660</v>
      </c>
      <c r="E285" s="16" t="s">
        <v>2636</v>
      </c>
      <c r="F285" s="14" t="s">
        <v>2645</v>
      </c>
      <c r="G285" s="17"/>
      <c r="H285" s="129" t="str">
        <f>Settings!$B$3&amp;".mit.bp.frt.ure.no.2"</f>
        <v>egy.mit.bp.frt.ure.no.2</v>
      </c>
      <c r="K285" s="140"/>
      <c r="L285" s="143">
        <f>Mitigation_Industry!$G$767</f>
        <v>0</v>
      </c>
      <c r="M285" s="143">
        <f>Mitigation_Industry!$G$767</f>
        <v>0</v>
      </c>
      <c r="N285" s="143">
        <f>Mitigation_Industry!$G$767</f>
        <v>0</v>
      </c>
      <c r="O285" s="143">
        <f>Mitigation_Industry!$G$767</f>
        <v>0</v>
      </c>
      <c r="P285" s="143">
        <f>Mitigation_Industry!$G$767</f>
        <v>0</v>
      </c>
      <c r="Q285" s="143">
        <f>Mitigation_Industry!$G$767</f>
        <v>0</v>
      </c>
      <c r="R285" s="143">
        <f>Mitigation_Industry!$G$767</f>
        <v>0</v>
      </c>
      <c r="S285" s="143">
        <f>Mitigation_Industry!$G$767</f>
        <v>0</v>
      </c>
      <c r="T285" s="143">
        <f>Mitigation_Industry!$G$767</f>
        <v>0</v>
      </c>
      <c r="U285" s="143">
        <f>Mitigation_Industry!$G$767</f>
        <v>0</v>
      </c>
      <c r="V285" s="143">
        <f>Mitigation_Industry!$G$767</f>
        <v>0</v>
      </c>
      <c r="W285" s="143">
        <f>Mitigation_Industry!$G$767</f>
        <v>0</v>
      </c>
      <c r="X285" s="143">
        <f>Mitigation_Industry!$G$767</f>
        <v>0</v>
      </c>
      <c r="Y285" s="143">
        <f>Mitigation_Industry!$G$767</f>
        <v>0</v>
      </c>
      <c r="Z285" s="143">
        <f>Mitigation_Industry!$G$767</f>
        <v>0</v>
      </c>
      <c r="AA285" s="143">
        <f>Mitigation_Industry!$G$767</f>
        <v>0</v>
      </c>
      <c r="AB285" s="143">
        <f>Mitigation_Industry!$G$767</f>
        <v>0</v>
      </c>
      <c r="AC285" s="143">
        <f>Mitigation_Industry!$G$767</f>
        <v>0</v>
      </c>
      <c r="AD285" s="143">
        <f>Mitigation_Industry!$G$767</f>
        <v>0</v>
      </c>
      <c r="AE285" s="143">
        <f>Mitigation_Industry!$G$767</f>
        <v>0</v>
      </c>
      <c r="AF285" s="142"/>
      <c r="AG285" s="142"/>
      <c r="AH285" s="142"/>
      <c r="AI285" s="142"/>
    </row>
    <row r="286" spans="2:35" customFormat="1" ht="14.25" x14ac:dyDescent="0.45">
      <c r="B286" s="14" t="s">
        <v>2620</v>
      </c>
      <c r="C286" s="14" t="s">
        <v>117</v>
      </c>
      <c r="D286" s="15" t="s">
        <v>2661</v>
      </c>
      <c r="E286" s="16" t="s">
        <v>2636</v>
      </c>
      <c r="F286" s="14" t="s">
        <v>2645</v>
      </c>
      <c r="G286" s="17"/>
      <c r="H286" s="129" t="str">
        <f>Settings!$B$3&amp;".mit.bp.frt.nit.no.2"</f>
        <v>egy.mit.bp.frt.nit.no.2</v>
      </c>
      <c r="K286" s="140"/>
      <c r="L286" s="143">
        <f>Mitigation_Industry!$G$768</f>
        <v>1.0498221244986778E-2</v>
      </c>
      <c r="M286" s="143">
        <f>Mitigation_Industry!$G$768</f>
        <v>1.0498221244986778E-2</v>
      </c>
      <c r="N286" s="143">
        <f>Mitigation_Industry!$G$768</f>
        <v>1.0498221244986778E-2</v>
      </c>
      <c r="O286" s="143">
        <f>Mitigation_Industry!$G$768</f>
        <v>1.0498221244986778E-2</v>
      </c>
      <c r="P286" s="143">
        <f>Mitigation_Industry!$G$768</f>
        <v>1.0498221244986778E-2</v>
      </c>
      <c r="Q286" s="143">
        <f>Mitigation_Industry!$G$768</f>
        <v>1.0498221244986778E-2</v>
      </c>
      <c r="R286" s="143">
        <f>Mitigation_Industry!$G$768</f>
        <v>1.0498221244986778E-2</v>
      </c>
      <c r="S286" s="143">
        <f>Mitigation_Industry!$G$768</f>
        <v>1.0498221244986778E-2</v>
      </c>
      <c r="T286" s="143">
        <f>Mitigation_Industry!$G$768</f>
        <v>1.0498221244986778E-2</v>
      </c>
      <c r="U286" s="143">
        <f>Mitigation_Industry!$G$768</f>
        <v>1.0498221244986778E-2</v>
      </c>
      <c r="V286" s="143">
        <f>Mitigation_Industry!$G$768</f>
        <v>1.0498221244986778E-2</v>
      </c>
      <c r="W286" s="143">
        <f>Mitigation_Industry!$G$768</f>
        <v>1.0498221244986778E-2</v>
      </c>
      <c r="X286" s="143">
        <f>Mitigation_Industry!$G$768</f>
        <v>1.0498221244986778E-2</v>
      </c>
      <c r="Y286" s="143">
        <f>Mitigation_Industry!$G$768</f>
        <v>1.0498221244986778E-2</v>
      </c>
      <c r="Z286" s="143">
        <f>Mitigation_Industry!$G$768</f>
        <v>1.0498221244986778E-2</v>
      </c>
      <c r="AA286" s="143">
        <f>Mitigation_Industry!$G$768</f>
        <v>1.0498221244986778E-2</v>
      </c>
      <c r="AB286" s="143">
        <f>Mitigation_Industry!$G$768</f>
        <v>1.0498221244986778E-2</v>
      </c>
      <c r="AC286" s="143">
        <f>Mitigation_Industry!$G$768</f>
        <v>1.0498221244986778E-2</v>
      </c>
      <c r="AD286" s="143">
        <f>Mitigation_Industry!$G$768</f>
        <v>1.0498221244986778E-2</v>
      </c>
      <c r="AE286" s="143">
        <f>Mitigation_Industry!$G$768</f>
        <v>1.0498221244986778E-2</v>
      </c>
      <c r="AF286" s="142"/>
      <c r="AG286" s="142"/>
      <c r="AH286" s="142"/>
      <c r="AI286" s="142"/>
    </row>
    <row r="287" spans="2:35" customFormat="1" ht="14.25" x14ac:dyDescent="0.45">
      <c r="B287" s="14" t="s">
        <v>2622</v>
      </c>
      <c r="C287" s="14" t="s">
        <v>115</v>
      </c>
      <c r="D287" s="15" t="s">
        <v>2662</v>
      </c>
      <c r="E287" s="16" t="s">
        <v>2636</v>
      </c>
      <c r="F287" s="14" t="s">
        <v>2645</v>
      </c>
      <c r="G287" s="17"/>
      <c r="H287" s="129" t="str">
        <f>Settings!$B$3&amp;".mit.bp.alu.prp.no.2"</f>
        <v>egy.mit.bp.alu.prp.no.2</v>
      </c>
      <c r="K287" s="140"/>
      <c r="L287" s="143">
        <f>Mitigation_Industry!$G$769</f>
        <v>8.338160893905101E-4</v>
      </c>
      <c r="M287" s="143">
        <f>Mitigation_Industry!$G$769</f>
        <v>8.338160893905101E-4</v>
      </c>
      <c r="N287" s="143">
        <f>Mitigation_Industry!$G$769</f>
        <v>8.338160893905101E-4</v>
      </c>
      <c r="O287" s="143">
        <f>Mitigation_Industry!$G$769</f>
        <v>8.338160893905101E-4</v>
      </c>
      <c r="P287" s="143">
        <f>Mitigation_Industry!$G$769</f>
        <v>8.338160893905101E-4</v>
      </c>
      <c r="Q287" s="143">
        <f>Mitigation_Industry!$G$769</f>
        <v>8.338160893905101E-4</v>
      </c>
      <c r="R287" s="143">
        <f>Mitigation_Industry!$G$769</f>
        <v>8.338160893905101E-4</v>
      </c>
      <c r="S287" s="143">
        <f>Mitigation_Industry!$G$769</f>
        <v>8.338160893905101E-4</v>
      </c>
      <c r="T287" s="143">
        <f>Mitigation_Industry!$G$769</f>
        <v>8.338160893905101E-4</v>
      </c>
      <c r="U287" s="143">
        <f>Mitigation_Industry!$G$769</f>
        <v>8.338160893905101E-4</v>
      </c>
      <c r="V287" s="143">
        <f>Mitigation_Industry!$G$769</f>
        <v>8.338160893905101E-4</v>
      </c>
      <c r="W287" s="143">
        <f>Mitigation_Industry!$G$769</f>
        <v>8.338160893905101E-4</v>
      </c>
      <c r="X287" s="143">
        <f>Mitigation_Industry!$G$769</f>
        <v>8.338160893905101E-4</v>
      </c>
      <c r="Y287" s="143">
        <f>Mitigation_Industry!$G$769</f>
        <v>8.338160893905101E-4</v>
      </c>
      <c r="Z287" s="143">
        <f>Mitigation_Industry!$G$769</f>
        <v>8.338160893905101E-4</v>
      </c>
      <c r="AA287" s="143">
        <f>Mitigation_Industry!$G$769</f>
        <v>8.338160893905101E-4</v>
      </c>
      <c r="AB287" s="143">
        <f>Mitigation_Industry!$G$769</f>
        <v>8.338160893905101E-4</v>
      </c>
      <c r="AC287" s="143">
        <f>Mitigation_Industry!$G$769</f>
        <v>8.338160893905101E-4</v>
      </c>
      <c r="AD287" s="143">
        <f>Mitigation_Industry!$G$769</f>
        <v>8.338160893905101E-4</v>
      </c>
      <c r="AE287" s="143">
        <f>Mitigation_Industry!$G$769</f>
        <v>8.338160893905101E-4</v>
      </c>
      <c r="AF287" s="142"/>
      <c r="AG287" s="142"/>
      <c r="AH287" s="142"/>
      <c r="AI287" s="142"/>
    </row>
    <row r="288" spans="2:35" x14ac:dyDescent="0.35"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</row>
    <row r="289" spans="1:35" customFormat="1" ht="14.25" x14ac:dyDescent="0.45">
      <c r="A289" s="11"/>
      <c r="B289" s="6"/>
      <c r="C289" s="7" t="s">
        <v>2663</v>
      </c>
      <c r="D289" s="6" t="s">
        <v>1504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8">
        <v>2021</v>
      </c>
      <c r="L289" s="139">
        <v>2022</v>
      </c>
      <c r="M289" s="138">
        <v>2023</v>
      </c>
      <c r="N289" s="138">
        <v>2024</v>
      </c>
      <c r="O289" s="138">
        <v>2025</v>
      </c>
      <c r="P289" s="138">
        <v>2026</v>
      </c>
      <c r="Q289" s="138">
        <v>2027</v>
      </c>
      <c r="R289" s="138">
        <v>2028</v>
      </c>
      <c r="S289" s="138">
        <v>2029</v>
      </c>
      <c r="T289" s="138">
        <v>2030</v>
      </c>
      <c r="U289" s="138">
        <v>2031</v>
      </c>
      <c r="V289" s="138">
        <v>2032</v>
      </c>
      <c r="W289" s="138">
        <v>2033</v>
      </c>
      <c r="X289" s="138">
        <v>2034</v>
      </c>
      <c r="Y289" s="138">
        <v>2035</v>
      </c>
      <c r="Z289" s="138">
        <v>2036</v>
      </c>
      <c r="AA289" s="138">
        <v>2037</v>
      </c>
      <c r="AB289" s="138">
        <v>2038</v>
      </c>
      <c r="AC289" s="138">
        <v>2039</v>
      </c>
      <c r="AD289" s="138">
        <v>2040</v>
      </c>
      <c r="AE289" s="138">
        <v>2041</v>
      </c>
      <c r="AF289" s="138">
        <v>2042</v>
      </c>
      <c r="AG289" s="138">
        <v>2043</v>
      </c>
      <c r="AH289" s="138">
        <v>2044</v>
      </c>
      <c r="AI289" s="138">
        <v>2045</v>
      </c>
    </row>
    <row r="290" spans="1:35" customFormat="1" ht="14.25" x14ac:dyDescent="0.45">
      <c r="B290" s="14" t="s">
        <v>2591</v>
      </c>
      <c r="C290" s="14" t="s">
        <v>43</v>
      </c>
      <c r="D290" s="15" t="s">
        <v>2664</v>
      </c>
      <c r="E290" s="16" t="s">
        <v>2094</v>
      </c>
      <c r="F290" s="14" t="s">
        <v>2663</v>
      </c>
      <c r="G290" s="17"/>
      <c r="H290" s="129" t="str">
        <f>Settings!$B$3&amp;".mit.wm.stl.drg.np.2"</f>
        <v>egy.mit.wm.stl.drg.np.2</v>
      </c>
      <c r="I290" t="s">
        <v>2665</v>
      </c>
      <c r="K290" s="140"/>
      <c r="L290" s="141">
        <f>Mitigation_Industry!L$675*Mitigation_Industry!$J$672*MAX(Mitigation_Industry!$J$663,0)*Mitigation_Industry!$F$762/1000</f>
        <v>0.18716695292200644</v>
      </c>
      <c r="M290" s="141">
        <f>Mitigation_Industry!M$675*Mitigation_Industry!$J$672*MAX(Mitigation_Industry!$J$663,0)*Mitigation_Industry!$F$762/1000</f>
        <v>0.1954022988505747</v>
      </c>
      <c r="N290" s="141">
        <f>Mitigation_Industry!N$675*Mitigation_Industry!$J$672*MAX(Mitigation_Industry!$J$663,0)*Mitigation_Industry!$F$762/1000</f>
        <v>0.20399999999999999</v>
      </c>
      <c r="O290" s="141">
        <f>Mitigation_Industry!O$675*Mitigation_Industry!$J$672*MAX(Mitigation_Industry!$J$663,0)*Mitigation_Industry!$F$762/1000</f>
        <v>0.21297600000000003</v>
      </c>
      <c r="P290" s="141">
        <f>Mitigation_Industry!P$675*Mitigation_Industry!$J$672*MAX(Mitigation_Industry!$J$663,0)*Mitigation_Industry!$F$762/1000</f>
        <v>0.22234694400000002</v>
      </c>
      <c r="Q290" s="141">
        <f>Mitigation_Industry!Q$675*Mitigation_Industry!$J$672*MAX(Mitigation_Industry!$J$663,0)*Mitigation_Industry!$F$762/1000</f>
        <v>0.23213020953600005</v>
      </c>
      <c r="R290" s="141">
        <f>Mitigation_Industry!R$675*Mitigation_Industry!$J$672*MAX(Mitigation_Industry!$J$663,0)*Mitigation_Industry!$F$762/1000</f>
        <v>0.24234393875558402</v>
      </c>
      <c r="S290" s="141">
        <f>Mitigation_Industry!S$675*Mitigation_Industry!$J$672*MAX(Mitigation_Industry!$J$663,0)*Mitigation_Industry!$F$762/1000</f>
        <v>0.25300707206082967</v>
      </c>
      <c r="T290" s="141">
        <f>Mitigation_Industry!T$675*Mitigation_Industry!$J$672*MAX(Mitigation_Industry!$J$663,0)*Mitigation_Industry!$F$762/1000</f>
        <v>0.26413938323150626</v>
      </c>
      <c r="U290" s="141">
        <f>Mitigation_Industry!U$675*Mitigation_Industry!$J$672*MAX(Mitigation_Industry!$J$663,0)*Mitigation_Industry!$F$762/1000</f>
        <v>0.27576151609369254</v>
      </c>
      <c r="V290" s="141">
        <f>Mitigation_Industry!V$675*Mitigation_Industry!$J$672*MAX(Mitigation_Industry!$J$663,0)*Mitigation_Industry!$F$762/1000</f>
        <v>0.287895022801815</v>
      </c>
      <c r="W290" s="141">
        <f>Mitigation_Industry!W$675*Mitigation_Industry!$J$672*MAX(Mitigation_Industry!$J$663,0)*Mitigation_Industry!$F$762/1000</f>
        <v>0.30056240380509491</v>
      </c>
      <c r="X290" s="141">
        <f>Mitigation_Industry!X$675*Mitigation_Industry!$J$672*MAX(Mitigation_Industry!$J$663,0)*Mitigation_Industry!$F$762/1000</f>
        <v>0.31378714957251908</v>
      </c>
      <c r="Y290" s="141">
        <f>Mitigation_Industry!Y$675*Mitigation_Industry!$J$672*MAX(Mitigation_Industry!$J$663,0)*Mitigation_Industry!$F$762/1000</f>
        <v>0.32759378415370993</v>
      </c>
      <c r="Z290" s="141">
        <f>Mitigation_Industry!Z$675*Mitigation_Industry!$J$672*MAX(Mitigation_Industry!$J$663,0)*Mitigation_Industry!$F$762/1000</f>
        <v>0.34200791065647307</v>
      </c>
      <c r="AA290" s="141">
        <f>Mitigation_Industry!AA$675*Mitigation_Industry!$J$672*MAX(Mitigation_Industry!$J$663,0)*Mitigation_Industry!$F$762/1000</f>
        <v>0.3570562587253579</v>
      </c>
      <c r="AB290" s="141">
        <f>Mitigation_Industry!AB$675*Mitigation_Industry!$J$672*MAX(Mitigation_Industry!$J$663,0)*Mitigation_Industry!$F$762/1000</f>
        <v>0.37276673410927375</v>
      </c>
      <c r="AC290" s="141">
        <f>Mitigation_Industry!AC$675*Mitigation_Industry!$J$672*MAX(Mitigation_Industry!$J$663,0)*Mitigation_Industry!$F$762/1000</f>
        <v>0.38916847041008179</v>
      </c>
      <c r="AD290" s="141">
        <f>Mitigation_Industry!AD$675*Mitigation_Industry!$J$672*MAX(Mitigation_Industry!$J$663,0)*Mitigation_Industry!$F$762/1000</f>
        <v>0.40629188310812531</v>
      </c>
      <c r="AE290" s="141">
        <f>Mitigation_Industry!AE$675*Mitigation_Industry!$J$672*MAX(Mitigation_Industry!$J$663,0)*Mitigation_Industry!$F$762/1000</f>
        <v>0.42416872596488286</v>
      </c>
      <c r="AF290" s="142"/>
      <c r="AG290" s="142"/>
      <c r="AH290" s="142"/>
      <c r="AI290" s="142"/>
    </row>
    <row r="291" spans="1:35" customFormat="1" ht="14.25" x14ac:dyDescent="0.45">
      <c r="B291" s="14" t="s">
        <v>2594</v>
      </c>
      <c r="C291" s="14" t="s">
        <v>43</v>
      </c>
      <c r="D291" s="15" t="s">
        <v>2666</v>
      </c>
      <c r="E291" s="16" t="s">
        <v>2094</v>
      </c>
      <c r="F291" s="14" t="s">
        <v>2663</v>
      </c>
      <c r="G291" s="17"/>
      <c r="H291" s="129" t="str">
        <f>Settings!$B$3&amp;".mit.wm.stl.scr.np.2"</f>
        <v>egy.mit.wm.stl.scr.np.2</v>
      </c>
      <c r="K291" s="140"/>
      <c r="L291" s="141">
        <f>Mitigation_Industry!L$676*Mitigation_Industry!$J$672*MAX(Mitigation_Industry!$J$664,0)*Mitigation_Industry!$F$763/1000</f>
        <v>6.6058924560708152E-2</v>
      </c>
      <c r="M291" s="141">
        <f>Mitigation_Industry!M$676*Mitigation_Industry!$J$672*MAX(Mitigation_Industry!$J$664,0)*Mitigation_Industry!$F$763/1000</f>
        <v>6.8965517241379309E-2</v>
      </c>
      <c r="N291" s="141">
        <f>Mitigation_Industry!N$676*Mitigation_Industry!$J$672*MAX(Mitigation_Industry!$J$664,0)*Mitigation_Industry!$F$763/1000</f>
        <v>7.1999999999999995E-2</v>
      </c>
      <c r="O291" s="141">
        <f>Mitigation_Industry!O$676*Mitigation_Industry!$J$672*MAX(Mitigation_Industry!$J$664,0)*Mitigation_Industry!$F$763/1000</f>
        <v>7.5167999999999999E-2</v>
      </c>
      <c r="P291" s="141">
        <f>Mitigation_Industry!P$676*Mitigation_Industry!$J$672*MAX(Mitigation_Industry!$J$664,0)*Mitigation_Industry!$F$763/1000</f>
        <v>7.8475392000000005E-2</v>
      </c>
      <c r="Q291" s="141">
        <f>Mitigation_Industry!Q$676*Mitigation_Industry!$J$672*MAX(Mitigation_Industry!$J$664,0)*Mitigation_Industry!$F$763/1000</f>
        <v>8.1928309248E-2</v>
      </c>
      <c r="R291" s="141">
        <f>Mitigation_Industry!R$676*Mitigation_Industry!$J$672*MAX(Mitigation_Industry!$J$664,0)*Mitigation_Industry!$F$763/1000</f>
        <v>8.5533154854912002E-2</v>
      </c>
      <c r="S291" s="141">
        <f>Mitigation_Industry!S$676*Mitigation_Industry!$J$672*MAX(Mitigation_Industry!$J$664,0)*Mitigation_Industry!$F$763/1000</f>
        <v>8.9296613668528119E-2</v>
      </c>
      <c r="T291" s="141">
        <f>Mitigation_Industry!T$676*Mitigation_Industry!$J$672*MAX(Mitigation_Industry!$J$664,0)*Mitigation_Industry!$F$763/1000</f>
        <v>9.3225664669943364E-2</v>
      </c>
      <c r="U291" s="141">
        <f>Mitigation_Industry!U$676*Mitigation_Industry!$J$672*MAX(Mitigation_Industry!$J$664,0)*Mitigation_Industry!$F$763/1000</f>
        <v>9.732759391542091E-2</v>
      </c>
      <c r="V291" s="141">
        <f>Mitigation_Industry!V$676*Mitigation_Industry!$J$672*MAX(Mitigation_Industry!$J$664,0)*Mitigation_Industry!$F$763/1000</f>
        <v>0.10161000804769942</v>
      </c>
      <c r="W291" s="141">
        <f>Mitigation_Industry!W$676*Mitigation_Industry!$J$672*MAX(Mitigation_Industry!$J$664,0)*Mitigation_Industry!$F$763/1000</f>
        <v>0.1060808484017982</v>
      </c>
      <c r="X291" s="141">
        <f>Mitigation_Industry!X$676*Mitigation_Industry!$J$672*MAX(Mitigation_Industry!$J$664,0)*Mitigation_Industry!$F$763/1000</f>
        <v>0.1107484057314773</v>
      </c>
      <c r="Y291" s="141">
        <f>Mitigation_Industry!Y$676*Mitigation_Industry!$J$672*MAX(Mitigation_Industry!$J$664,0)*Mitigation_Industry!$F$763/1000</f>
        <v>0.11562133558366232</v>
      </c>
      <c r="Z291" s="141">
        <f>Mitigation_Industry!Z$676*Mitigation_Industry!$J$672*MAX(Mitigation_Industry!$J$664,0)*Mitigation_Industry!$F$763/1000</f>
        <v>0.12070867434934346</v>
      </c>
      <c r="AA291" s="141">
        <f>Mitigation_Industry!AA$676*Mitigation_Industry!$J$672*MAX(Mitigation_Industry!$J$664,0)*Mitigation_Industry!$F$763/1000</f>
        <v>0.12601985602071455</v>
      </c>
      <c r="AB291" s="141">
        <f>Mitigation_Industry!AB$676*Mitigation_Industry!$J$672*MAX(Mitigation_Industry!$J$664,0)*Mitigation_Industry!$F$763/1000</f>
        <v>0.13156472968562602</v>
      </c>
      <c r="AC291" s="141">
        <f>Mitigation_Industry!AC$676*Mitigation_Industry!$J$672*MAX(Mitigation_Industry!$J$664,0)*Mitigation_Industry!$F$763/1000</f>
        <v>0.13735357779179355</v>
      </c>
      <c r="AD291" s="141">
        <f>Mitigation_Industry!AD$676*Mitigation_Industry!$J$672*MAX(Mitigation_Industry!$J$664,0)*Mitigation_Industry!$F$763/1000</f>
        <v>0.14339713521463246</v>
      </c>
      <c r="AE291" s="141">
        <f>Mitigation_Industry!AE$676*Mitigation_Industry!$J$672*MAX(Mitigation_Industry!$J$664,0)*Mitigation_Industry!$F$763/1000</f>
        <v>0.1497066091640763</v>
      </c>
      <c r="AF291" s="142"/>
      <c r="AG291" s="142"/>
      <c r="AH291" s="142"/>
      <c r="AI291" s="142"/>
    </row>
    <row r="292" spans="1:35" customFormat="1" ht="14.25" x14ac:dyDescent="0.45">
      <c r="B292" s="14" t="s">
        <v>2596</v>
      </c>
      <c r="C292" s="14" t="s">
        <v>43</v>
      </c>
      <c r="D292" s="15" t="s">
        <v>2667</v>
      </c>
      <c r="E292" s="16" t="s">
        <v>2094</v>
      </c>
      <c r="F292" s="14" t="s">
        <v>2663</v>
      </c>
      <c r="G292" s="17"/>
      <c r="H292" s="129" t="str">
        <f>Settings!$B$3&amp;".mit.wm.stl.bof.np.2"</f>
        <v>egy.mit.wm.stl.bof.np.2</v>
      </c>
      <c r="K292" s="140"/>
      <c r="L292" s="141">
        <f>Mitigation_Industry!L$677*Mitigation_Industry!$J$672*MAX(Mitigation_Industry!$J$665,0)*Mitigation_Industry!$F$764/1000</f>
        <v>0</v>
      </c>
      <c r="M292" s="141">
        <f>Mitigation_Industry!M$677*Mitigation_Industry!$J$672*MAX(Mitigation_Industry!$J$665,0)*Mitigation_Industry!$F$764/1000</f>
        <v>0</v>
      </c>
      <c r="N292" s="141">
        <f>Mitigation_Industry!N$677*Mitigation_Industry!$J$672*MAX(Mitigation_Industry!$J$665,0)*Mitigation_Industry!$F$764/1000</f>
        <v>0</v>
      </c>
      <c r="O292" s="141">
        <f>Mitigation_Industry!O$677*Mitigation_Industry!$J$672*MAX(Mitigation_Industry!$J$665,0)*Mitigation_Industry!$F$764/1000</f>
        <v>0</v>
      </c>
      <c r="P292" s="141">
        <f>Mitigation_Industry!P$677*Mitigation_Industry!$J$672*MAX(Mitigation_Industry!$J$665,0)*Mitigation_Industry!$F$764/1000</f>
        <v>0</v>
      </c>
      <c r="Q292" s="141">
        <f>Mitigation_Industry!Q$677*Mitigation_Industry!$J$672*MAX(Mitigation_Industry!$J$665,0)*Mitigation_Industry!$F$764/1000</f>
        <v>0</v>
      </c>
      <c r="R292" s="141">
        <f>Mitigation_Industry!R$677*Mitigation_Industry!$J$672*MAX(Mitigation_Industry!$J$665,0)*Mitigation_Industry!$F$764/1000</f>
        <v>0</v>
      </c>
      <c r="S292" s="141">
        <f>Mitigation_Industry!S$677*Mitigation_Industry!$J$672*MAX(Mitigation_Industry!$J$665,0)*Mitigation_Industry!$F$764/1000</f>
        <v>0</v>
      </c>
      <c r="T292" s="141">
        <f>Mitigation_Industry!T$677*Mitigation_Industry!$J$672*MAX(Mitigation_Industry!$J$665,0)*Mitigation_Industry!$F$764/1000</f>
        <v>0</v>
      </c>
      <c r="U292" s="141">
        <f>Mitigation_Industry!U$677*Mitigation_Industry!$J$672*MAX(Mitigation_Industry!$J$665,0)*Mitigation_Industry!$F$764/1000</f>
        <v>0</v>
      </c>
      <c r="V292" s="141">
        <f>Mitigation_Industry!V$677*Mitigation_Industry!$J$672*MAX(Mitigation_Industry!$J$665,0)*Mitigation_Industry!$F$764/1000</f>
        <v>0</v>
      </c>
      <c r="W292" s="141">
        <f>Mitigation_Industry!W$677*Mitigation_Industry!$J$672*MAX(Mitigation_Industry!$J$665,0)*Mitigation_Industry!$F$764/1000</f>
        <v>0</v>
      </c>
      <c r="X292" s="141">
        <f>Mitigation_Industry!X$677*Mitigation_Industry!$J$672*MAX(Mitigation_Industry!$J$665,0)*Mitigation_Industry!$F$764/1000</f>
        <v>0</v>
      </c>
      <c r="Y292" s="141">
        <f>Mitigation_Industry!Y$677*Mitigation_Industry!$J$672*MAX(Mitigation_Industry!$J$665,0)*Mitigation_Industry!$F$764/1000</f>
        <v>0</v>
      </c>
      <c r="Z292" s="141">
        <f>Mitigation_Industry!Z$677*Mitigation_Industry!$J$672*MAX(Mitigation_Industry!$J$665,0)*Mitigation_Industry!$F$764/1000</f>
        <v>0</v>
      </c>
      <c r="AA292" s="141">
        <f>Mitigation_Industry!AA$677*Mitigation_Industry!$J$672*MAX(Mitigation_Industry!$J$665,0)*Mitigation_Industry!$F$764/1000</f>
        <v>0</v>
      </c>
      <c r="AB292" s="141">
        <f>Mitigation_Industry!AB$677*Mitigation_Industry!$J$672*MAX(Mitigation_Industry!$J$665,0)*Mitigation_Industry!$F$764/1000</f>
        <v>0</v>
      </c>
      <c r="AC292" s="141">
        <f>Mitigation_Industry!AC$677*Mitigation_Industry!$J$672*MAX(Mitigation_Industry!$J$665,0)*Mitigation_Industry!$F$764/1000</f>
        <v>0</v>
      </c>
      <c r="AD292" s="141">
        <f>Mitigation_Industry!AD$677*Mitigation_Industry!$J$672*MAX(Mitigation_Industry!$J$665,0)*Mitigation_Industry!$F$764/1000</f>
        <v>0</v>
      </c>
      <c r="AE292" s="141">
        <f>Mitigation_Industry!AE$677*Mitigation_Industry!$J$672*MAX(Mitigation_Industry!$J$665,0)*Mitigation_Industry!$F$764/1000</f>
        <v>0</v>
      </c>
      <c r="AF292" s="142"/>
      <c r="AG292" s="142"/>
      <c r="AH292" s="142"/>
      <c r="AI292" s="142"/>
    </row>
    <row r="293" spans="1:35" customFormat="1" ht="14.25" x14ac:dyDescent="0.45">
      <c r="B293" s="14" t="s">
        <v>2598</v>
      </c>
      <c r="C293" s="14" t="s">
        <v>113</v>
      </c>
      <c r="D293" s="15" t="s">
        <v>2668</v>
      </c>
      <c r="E293" s="16" t="s">
        <v>2094</v>
      </c>
      <c r="F293" s="14" t="s">
        <v>2663</v>
      </c>
      <c r="G293" s="17"/>
      <c r="H293" s="129" t="str">
        <f>Settings!$B$3&amp;".mit.wm.cmt.dry.np.2"</f>
        <v>egy.mit.wm.cmt.dry.np.2</v>
      </c>
      <c r="K293" s="140"/>
      <c r="L293" s="141">
        <f>Mitigation_Industry!L$678*Mitigation_Industry!$J$672*MAX(Mitigation_Industry!$J$666,0)*Mitigation_Industry!$F$765/1000</f>
        <v>24.646491529759945</v>
      </c>
      <c r="M293" s="141">
        <f>Mitigation_Industry!M$678*Mitigation_Industry!$J$672*MAX(Mitigation_Industry!$J$666,0)*Mitigation_Industry!$F$765/1000</f>
        <v>25.459825750242022</v>
      </c>
      <c r="N293" s="141">
        <f>Mitigation_Industry!N$678*Mitigation_Industry!$J$672*MAX(Mitigation_Industry!$J$666,0)*Mitigation_Industry!$F$765/1000</f>
        <v>26.3</v>
      </c>
      <c r="O293" s="141">
        <f>Mitigation_Industry!O$678*Mitigation_Industry!$J$672*MAX(Mitigation_Industry!$J$666,0)*Mitigation_Industry!$F$765/1000</f>
        <v>27.167899999999999</v>
      </c>
      <c r="P293" s="141">
        <f>Mitigation_Industry!P$678*Mitigation_Industry!$J$672*MAX(Mitigation_Industry!$J$666,0)*Mitigation_Industry!$F$765/1000</f>
        <v>28.064440699999995</v>
      </c>
      <c r="Q293" s="141">
        <f>Mitigation_Industry!Q$678*Mitigation_Industry!$J$672*MAX(Mitigation_Industry!$J$666,0)*Mitigation_Industry!$F$765/1000</f>
        <v>28.990567243099992</v>
      </c>
      <c r="R293" s="141">
        <f>Mitigation_Industry!R$678*Mitigation_Industry!$J$672*MAX(Mitigation_Industry!$J$666,0)*Mitigation_Industry!$F$765/1000</f>
        <v>29.947255962122291</v>
      </c>
      <c r="S293" s="141">
        <f>Mitigation_Industry!S$678*Mitigation_Industry!$J$672*MAX(Mitigation_Industry!$J$666,0)*Mitigation_Industry!$F$765/1000</f>
        <v>30.935515408872323</v>
      </c>
      <c r="T293" s="141">
        <f>Mitigation_Industry!T$678*Mitigation_Industry!$J$672*MAX(Mitigation_Industry!$J$666,0)*Mitigation_Industry!$F$765/1000</f>
        <v>31.956387417365107</v>
      </c>
      <c r="U293" s="141">
        <f>Mitigation_Industry!U$678*Mitigation_Industry!$J$672*MAX(Mitigation_Industry!$J$666,0)*Mitigation_Industry!$F$765/1000</f>
        <v>33.010948202138145</v>
      </c>
      <c r="V293" s="141">
        <f>Mitigation_Industry!V$678*Mitigation_Industry!$J$672*MAX(Mitigation_Industry!$J$666,0)*Mitigation_Industry!$F$765/1000</f>
        <v>34.100309492808698</v>
      </c>
      <c r="W293" s="141">
        <f>Mitigation_Industry!W$678*Mitigation_Industry!$J$672*MAX(Mitigation_Industry!$J$666,0)*Mitigation_Industry!$F$765/1000</f>
        <v>35.225619706071392</v>
      </c>
      <c r="X293" s="141">
        <f>Mitigation_Industry!X$678*Mitigation_Industry!$J$672*MAX(Mitigation_Industry!$J$666,0)*Mitigation_Industry!$F$765/1000</f>
        <v>36.388065156371731</v>
      </c>
      <c r="Y293" s="141">
        <f>Mitigation_Industry!Y$678*Mitigation_Industry!$J$672*MAX(Mitigation_Industry!$J$666,0)*Mitigation_Industry!$F$765/1000</f>
        <v>37.588871306532006</v>
      </c>
      <c r="Z293" s="141">
        <f>Mitigation_Industry!Z$678*Mitigation_Industry!$J$672*MAX(Mitigation_Industry!$J$666,0)*Mitigation_Industry!$F$765/1000</f>
        <v>38.829304059647555</v>
      </c>
      <c r="AA293" s="141">
        <f>Mitigation_Industry!AA$678*Mitigation_Industry!$J$672*MAX(Mitigation_Industry!$J$666,0)*Mitigation_Industry!$F$765/1000</f>
        <v>40.11067109361592</v>
      </c>
      <c r="AB293" s="141">
        <f>Mitigation_Industry!AB$678*Mitigation_Industry!$J$672*MAX(Mitigation_Industry!$J$666,0)*Mitigation_Industry!$F$765/1000</f>
        <v>41.434323239705236</v>
      </c>
      <c r="AC293" s="141">
        <f>Mitigation_Industry!AC$678*Mitigation_Industry!$J$672*MAX(Mitigation_Industry!$J$666,0)*Mitigation_Industry!$F$765/1000</f>
        <v>42.801655906615501</v>
      </c>
      <c r="AD293" s="141">
        <f>Mitigation_Industry!AD$678*Mitigation_Industry!$J$672*MAX(Mitigation_Industry!$J$666,0)*Mitigation_Industry!$F$765/1000</f>
        <v>44.214110551533814</v>
      </c>
      <c r="AE293" s="141">
        <f>Mitigation_Industry!AE$678*Mitigation_Industry!$J$672*MAX(Mitigation_Industry!$J$666,0)*Mitigation_Industry!$F$765/1000</f>
        <v>45.673176199734421</v>
      </c>
      <c r="AF293" s="142"/>
      <c r="AG293" s="142"/>
      <c r="AH293" s="142"/>
      <c r="AI293" s="142"/>
    </row>
    <row r="294" spans="1:35" customFormat="1" ht="14.25" x14ac:dyDescent="0.45">
      <c r="B294" s="14" t="s">
        <v>2600</v>
      </c>
      <c r="C294" s="14" t="s">
        <v>117</v>
      </c>
      <c r="D294" s="15" t="s">
        <v>2669</v>
      </c>
      <c r="E294" s="16" t="s">
        <v>2094</v>
      </c>
      <c r="F294" s="14" t="s">
        <v>2663</v>
      </c>
      <c r="G294" s="17"/>
      <c r="H294" s="129" t="str">
        <f>Settings!$B$3&amp;".mit.wm.frt.amc.np.2"</f>
        <v>egy.mit.wm.frt.amc.np.2</v>
      </c>
      <c r="K294" s="140"/>
      <c r="L294" s="141">
        <f>Mitigation_Industry!L$679*Mitigation_Industry!$J$672*MAX(Mitigation_Industry!$J$667,0)*Mitigation_Industry!$F$766/1000</f>
        <v>0</v>
      </c>
      <c r="M294" s="141">
        <f>Mitigation_Industry!M$679*Mitigation_Industry!$J$672*MAX(Mitigation_Industry!$J$667,0)*Mitigation_Industry!$F$766/1000</f>
        <v>0</v>
      </c>
      <c r="N294" s="141">
        <f>Mitigation_Industry!N$679*Mitigation_Industry!$J$672*MAX(Mitigation_Industry!$J$667,0)*Mitigation_Industry!$F$766/1000</f>
        <v>0</v>
      </c>
      <c r="O294" s="141">
        <f>Mitigation_Industry!O$679*Mitigation_Industry!$J$672*MAX(Mitigation_Industry!$J$667,0)*Mitigation_Industry!$F$766/1000</f>
        <v>0</v>
      </c>
      <c r="P294" s="141">
        <f>Mitigation_Industry!P$679*Mitigation_Industry!$J$672*MAX(Mitigation_Industry!$J$667,0)*Mitigation_Industry!$F$766/1000</f>
        <v>0</v>
      </c>
      <c r="Q294" s="141">
        <f>Mitigation_Industry!Q$679*Mitigation_Industry!$J$672*MAX(Mitigation_Industry!$J$667,0)*Mitigation_Industry!$F$766/1000</f>
        <v>0</v>
      </c>
      <c r="R294" s="141">
        <f>Mitigation_Industry!R$679*Mitigation_Industry!$J$672*MAX(Mitigation_Industry!$J$667,0)*Mitigation_Industry!$F$766/1000</f>
        <v>0</v>
      </c>
      <c r="S294" s="141">
        <f>Mitigation_Industry!S$679*Mitigation_Industry!$J$672*MAX(Mitigation_Industry!$J$667,0)*Mitigation_Industry!$F$766/1000</f>
        <v>0</v>
      </c>
      <c r="T294" s="141">
        <f>Mitigation_Industry!T$679*Mitigation_Industry!$J$672*MAX(Mitigation_Industry!$J$667,0)*Mitigation_Industry!$F$766/1000</f>
        <v>0</v>
      </c>
      <c r="U294" s="141">
        <f>Mitigation_Industry!U$679*Mitigation_Industry!$J$672*MAX(Mitigation_Industry!$J$667,0)*Mitigation_Industry!$F$766/1000</f>
        <v>0</v>
      </c>
      <c r="V294" s="141">
        <f>Mitigation_Industry!V$679*Mitigation_Industry!$J$672*MAX(Mitigation_Industry!$J$667,0)*Mitigation_Industry!$F$766/1000</f>
        <v>0</v>
      </c>
      <c r="W294" s="141">
        <f>Mitigation_Industry!W$679*Mitigation_Industry!$J$672*MAX(Mitigation_Industry!$J$667,0)*Mitigation_Industry!$F$766/1000</f>
        <v>0</v>
      </c>
      <c r="X294" s="141">
        <f>Mitigation_Industry!X$679*Mitigation_Industry!$J$672*MAX(Mitigation_Industry!$J$667,0)*Mitigation_Industry!$F$766/1000</f>
        <v>0</v>
      </c>
      <c r="Y294" s="141">
        <f>Mitigation_Industry!Y$679*Mitigation_Industry!$J$672*MAX(Mitigation_Industry!$J$667,0)*Mitigation_Industry!$F$766/1000</f>
        <v>0</v>
      </c>
      <c r="Z294" s="141">
        <f>Mitigation_Industry!Z$679*Mitigation_Industry!$J$672*MAX(Mitigation_Industry!$J$667,0)*Mitigation_Industry!$F$766/1000</f>
        <v>0</v>
      </c>
      <c r="AA294" s="141">
        <f>Mitigation_Industry!AA$679*Mitigation_Industry!$J$672*MAX(Mitigation_Industry!$J$667,0)*Mitigation_Industry!$F$766/1000</f>
        <v>0</v>
      </c>
      <c r="AB294" s="141">
        <f>Mitigation_Industry!AB$679*Mitigation_Industry!$J$672*MAX(Mitigation_Industry!$J$667,0)*Mitigation_Industry!$F$766/1000</f>
        <v>0</v>
      </c>
      <c r="AC294" s="141">
        <f>Mitigation_Industry!AC$679*Mitigation_Industry!$J$672*MAX(Mitigation_Industry!$J$667,0)*Mitigation_Industry!$F$766/1000</f>
        <v>0</v>
      </c>
      <c r="AD294" s="141">
        <f>Mitigation_Industry!AD$679*Mitigation_Industry!$J$672*MAX(Mitigation_Industry!$J$667,0)*Mitigation_Industry!$F$766/1000</f>
        <v>0</v>
      </c>
      <c r="AE294" s="141">
        <f>Mitigation_Industry!AE$679*Mitigation_Industry!$J$672*MAX(Mitigation_Industry!$J$667,0)*Mitigation_Industry!$F$766/1000</f>
        <v>0</v>
      </c>
      <c r="AF294" s="142"/>
      <c r="AG294" s="142"/>
      <c r="AH294" s="142"/>
      <c r="AI294" s="142"/>
    </row>
    <row r="295" spans="1:35" customFormat="1" ht="14.25" x14ac:dyDescent="0.45">
      <c r="B295" s="14" t="s">
        <v>2602</v>
      </c>
      <c r="C295" s="14" t="s">
        <v>117</v>
      </c>
      <c r="D295" s="15" t="s">
        <v>2670</v>
      </c>
      <c r="E295" s="16" t="s">
        <v>2094</v>
      </c>
      <c r="F295" s="14" t="s">
        <v>2663</v>
      </c>
      <c r="G295" s="17"/>
      <c r="H295" s="129" t="str">
        <f>Settings!$B$3&amp;".mit.wm.frt.ure.np.2"</f>
        <v>egy.mit.wm.frt.ure.np.2</v>
      </c>
      <c r="K295" s="140"/>
      <c r="L295" s="141">
        <f>Mitigation_Industry!L$680*Mitigation_Industry!$J$672*MAX(Mitigation_Industry!$J$668,0)*Mitigation_Industry!$F$767/1000</f>
        <v>0</v>
      </c>
      <c r="M295" s="141">
        <f>Mitigation_Industry!M$680*Mitigation_Industry!$J$672*MAX(Mitigation_Industry!$J$668,0)*Mitigation_Industry!$F$767/1000</f>
        <v>0</v>
      </c>
      <c r="N295" s="141">
        <f>Mitigation_Industry!N$680*Mitigation_Industry!$J$672*MAX(Mitigation_Industry!$J$668,0)*Mitigation_Industry!$F$767/1000</f>
        <v>0</v>
      </c>
      <c r="O295" s="141">
        <f>Mitigation_Industry!O$680*Mitigation_Industry!$J$672*MAX(Mitigation_Industry!$J$668,0)*Mitigation_Industry!$F$767/1000</f>
        <v>0</v>
      </c>
      <c r="P295" s="141">
        <f>Mitigation_Industry!P$680*Mitigation_Industry!$J$672*MAX(Mitigation_Industry!$J$668,0)*Mitigation_Industry!$F$767/1000</f>
        <v>0</v>
      </c>
      <c r="Q295" s="141">
        <f>Mitigation_Industry!Q$680*Mitigation_Industry!$J$672*MAX(Mitigation_Industry!$J$668,0)*Mitigation_Industry!$F$767/1000</f>
        <v>0</v>
      </c>
      <c r="R295" s="141">
        <f>Mitigation_Industry!R$680*Mitigation_Industry!$J$672*MAX(Mitigation_Industry!$J$668,0)*Mitigation_Industry!$F$767/1000</f>
        <v>0</v>
      </c>
      <c r="S295" s="141">
        <f>Mitigation_Industry!S$680*Mitigation_Industry!$J$672*MAX(Mitigation_Industry!$J$668,0)*Mitigation_Industry!$F$767/1000</f>
        <v>0</v>
      </c>
      <c r="T295" s="141">
        <f>Mitigation_Industry!T$680*Mitigation_Industry!$J$672*MAX(Mitigation_Industry!$J$668,0)*Mitigation_Industry!$F$767/1000</f>
        <v>0</v>
      </c>
      <c r="U295" s="141">
        <f>Mitigation_Industry!U$680*Mitigation_Industry!$J$672*MAX(Mitigation_Industry!$J$668,0)*Mitigation_Industry!$F$767/1000</f>
        <v>0</v>
      </c>
      <c r="V295" s="141">
        <f>Mitigation_Industry!V$680*Mitigation_Industry!$J$672*MAX(Mitigation_Industry!$J$668,0)*Mitigation_Industry!$F$767/1000</f>
        <v>0</v>
      </c>
      <c r="W295" s="141">
        <f>Mitigation_Industry!W$680*Mitigation_Industry!$J$672*MAX(Mitigation_Industry!$J$668,0)*Mitigation_Industry!$F$767/1000</f>
        <v>0</v>
      </c>
      <c r="X295" s="141">
        <f>Mitigation_Industry!X$680*Mitigation_Industry!$J$672*MAX(Mitigation_Industry!$J$668,0)*Mitigation_Industry!$F$767/1000</f>
        <v>0</v>
      </c>
      <c r="Y295" s="141">
        <f>Mitigation_Industry!Y$680*Mitigation_Industry!$J$672*MAX(Mitigation_Industry!$J$668,0)*Mitigation_Industry!$F$767/1000</f>
        <v>0</v>
      </c>
      <c r="Z295" s="141">
        <f>Mitigation_Industry!Z$680*Mitigation_Industry!$J$672*MAX(Mitigation_Industry!$J$668,0)*Mitigation_Industry!$F$767/1000</f>
        <v>0</v>
      </c>
      <c r="AA295" s="141">
        <f>Mitigation_Industry!AA$680*Mitigation_Industry!$J$672*MAX(Mitigation_Industry!$J$668,0)*Mitigation_Industry!$F$767/1000</f>
        <v>0</v>
      </c>
      <c r="AB295" s="141">
        <f>Mitigation_Industry!AB$680*Mitigation_Industry!$J$672*MAX(Mitigation_Industry!$J$668,0)*Mitigation_Industry!$F$767/1000</f>
        <v>0</v>
      </c>
      <c r="AC295" s="141">
        <f>Mitigation_Industry!AC$680*Mitigation_Industry!$J$672*MAX(Mitigation_Industry!$J$668,0)*Mitigation_Industry!$F$767/1000</f>
        <v>0</v>
      </c>
      <c r="AD295" s="141">
        <f>Mitigation_Industry!AD$680*Mitigation_Industry!$J$672*MAX(Mitigation_Industry!$J$668,0)*Mitigation_Industry!$F$767/1000</f>
        <v>0</v>
      </c>
      <c r="AE295" s="141">
        <f>Mitigation_Industry!AE$680*Mitigation_Industry!$J$672*MAX(Mitigation_Industry!$J$668,0)*Mitigation_Industry!$F$767/1000</f>
        <v>0</v>
      </c>
      <c r="AF295" s="142"/>
      <c r="AG295" s="142"/>
      <c r="AH295" s="142"/>
      <c r="AI295" s="142"/>
    </row>
    <row r="296" spans="1:35" customFormat="1" ht="14.25" x14ac:dyDescent="0.45">
      <c r="B296" s="14" t="s">
        <v>2604</v>
      </c>
      <c r="C296" s="14" t="s">
        <v>117</v>
      </c>
      <c r="D296" s="15" t="s">
        <v>2671</v>
      </c>
      <c r="E296" s="16" t="s">
        <v>2094</v>
      </c>
      <c r="F296" s="14" t="s">
        <v>2663</v>
      </c>
      <c r="G296" s="17"/>
      <c r="H296" s="129" t="str">
        <f>Settings!$B$3&amp;".mit.wm.frt.nit.np.2"</f>
        <v>egy.mit.wm.frt.nit.np.2</v>
      </c>
      <c r="K296" s="140"/>
      <c r="L296" s="141">
        <f>Mitigation_Industry!L$681*Mitigation_Industry!$J$672*MAX(Mitigation_Industry!$J$669,0)*Mitigation_Industry!$F$768/1000</f>
        <v>0</v>
      </c>
      <c r="M296" s="141">
        <f>Mitigation_Industry!M$681*Mitigation_Industry!$J$672*MAX(Mitigation_Industry!$J$669,0)*Mitigation_Industry!$F$768/1000</f>
        <v>0</v>
      </c>
      <c r="N296" s="141">
        <f>Mitigation_Industry!N$681*Mitigation_Industry!$J$672*MAX(Mitigation_Industry!$J$669,0)*Mitigation_Industry!$F$768/1000</f>
        <v>0</v>
      </c>
      <c r="O296" s="141">
        <f>Mitigation_Industry!O$681*Mitigation_Industry!$J$672*MAX(Mitigation_Industry!$J$669,0)*Mitigation_Industry!$F$768/1000</f>
        <v>0</v>
      </c>
      <c r="P296" s="141">
        <f>Mitigation_Industry!P$681*Mitigation_Industry!$J$672*MAX(Mitigation_Industry!$J$669,0)*Mitigation_Industry!$F$768/1000</f>
        <v>0</v>
      </c>
      <c r="Q296" s="141">
        <f>Mitigation_Industry!Q$681*Mitigation_Industry!$J$672*MAX(Mitigation_Industry!$J$669,0)*Mitigation_Industry!$F$768/1000</f>
        <v>0</v>
      </c>
      <c r="R296" s="141">
        <f>Mitigation_Industry!R$681*Mitigation_Industry!$J$672*MAX(Mitigation_Industry!$J$669,0)*Mitigation_Industry!$F$768/1000</f>
        <v>0</v>
      </c>
      <c r="S296" s="141">
        <f>Mitigation_Industry!S$681*Mitigation_Industry!$J$672*MAX(Mitigation_Industry!$J$669,0)*Mitigation_Industry!$F$768/1000</f>
        <v>0</v>
      </c>
      <c r="T296" s="141">
        <f>Mitigation_Industry!T$681*Mitigation_Industry!$J$672*MAX(Mitigation_Industry!$J$669,0)*Mitigation_Industry!$F$768/1000</f>
        <v>0</v>
      </c>
      <c r="U296" s="141">
        <f>Mitigation_Industry!U$681*Mitigation_Industry!$J$672*MAX(Mitigation_Industry!$J$669,0)*Mitigation_Industry!$F$768/1000</f>
        <v>0</v>
      </c>
      <c r="V296" s="141">
        <f>Mitigation_Industry!V$681*Mitigation_Industry!$J$672*MAX(Mitigation_Industry!$J$669,0)*Mitigation_Industry!$F$768/1000</f>
        <v>0</v>
      </c>
      <c r="W296" s="141">
        <f>Mitigation_Industry!W$681*Mitigation_Industry!$J$672*MAX(Mitigation_Industry!$J$669,0)*Mitigation_Industry!$F$768/1000</f>
        <v>0</v>
      </c>
      <c r="X296" s="141">
        <f>Mitigation_Industry!X$681*Mitigation_Industry!$J$672*MAX(Mitigation_Industry!$J$669,0)*Mitigation_Industry!$F$768/1000</f>
        <v>0</v>
      </c>
      <c r="Y296" s="141">
        <f>Mitigation_Industry!Y$681*Mitigation_Industry!$J$672*MAX(Mitigation_Industry!$J$669,0)*Mitigation_Industry!$F$768/1000</f>
        <v>0</v>
      </c>
      <c r="Z296" s="141">
        <f>Mitigation_Industry!Z$681*Mitigation_Industry!$J$672*MAX(Mitigation_Industry!$J$669,0)*Mitigation_Industry!$F$768/1000</f>
        <v>0</v>
      </c>
      <c r="AA296" s="141">
        <f>Mitigation_Industry!AA$681*Mitigation_Industry!$J$672*MAX(Mitigation_Industry!$J$669,0)*Mitigation_Industry!$F$768/1000</f>
        <v>0</v>
      </c>
      <c r="AB296" s="141">
        <f>Mitigation_Industry!AB$681*Mitigation_Industry!$J$672*MAX(Mitigation_Industry!$J$669,0)*Mitigation_Industry!$F$768/1000</f>
        <v>0</v>
      </c>
      <c r="AC296" s="141">
        <f>Mitigation_Industry!AC$681*Mitigation_Industry!$J$672*MAX(Mitigation_Industry!$J$669,0)*Mitigation_Industry!$F$768/1000</f>
        <v>0</v>
      </c>
      <c r="AD296" s="141">
        <f>Mitigation_Industry!AD$681*Mitigation_Industry!$J$672*MAX(Mitigation_Industry!$J$669,0)*Mitigation_Industry!$F$768/1000</f>
        <v>0</v>
      </c>
      <c r="AE296" s="141">
        <f>Mitigation_Industry!AE$681*Mitigation_Industry!$J$672*MAX(Mitigation_Industry!$J$669,0)*Mitigation_Industry!$F$768/1000</f>
        <v>0</v>
      </c>
      <c r="AF296" s="142"/>
      <c r="AG296" s="142"/>
      <c r="AH296" s="142"/>
      <c r="AI296" s="142"/>
    </row>
    <row r="297" spans="1:35" customFormat="1" ht="14.25" x14ac:dyDescent="0.45">
      <c r="B297" s="14" t="s">
        <v>2606</v>
      </c>
      <c r="C297" s="14" t="s">
        <v>115</v>
      </c>
      <c r="D297" s="15" t="s">
        <v>2672</v>
      </c>
      <c r="E297" s="16" t="s">
        <v>2094</v>
      </c>
      <c r="F297" s="14" t="s">
        <v>2663</v>
      </c>
      <c r="G297" s="17"/>
      <c r="H297" s="129" t="str">
        <f>Settings!$B$3&amp;".mit.wm.alu.prp.np.2"</f>
        <v>egy.mit.wm.alu.prp.np.2</v>
      </c>
      <c r="K297" s="140"/>
      <c r="L297" s="141">
        <f>Mitigation_Industry!L$682*Mitigation_Industry!$J$672*MAX(Mitigation_Industry!$J$670,0)*Mitigation_Industry!$F$769/1000</f>
        <v>0.40430358707126968</v>
      </c>
      <c r="M297" s="141">
        <f>Mitigation_Industry!M$682*Mitigation_Industry!$J$672*MAX(Mitigation_Industry!$J$670,0)*Mitigation_Industry!$F$769/1000</f>
        <v>0.42654028436018954</v>
      </c>
      <c r="N297" s="141">
        <f>Mitigation_Industry!N$682*Mitigation_Industry!$J$672*MAX(Mitigation_Industry!$J$670,0)*Mitigation_Industry!$F$769/1000</f>
        <v>0.45</v>
      </c>
      <c r="O297" s="141">
        <f>Mitigation_Industry!O$682*Mitigation_Industry!$J$672*MAX(Mitigation_Industry!$J$670,0)*Mitigation_Industry!$F$769/1000</f>
        <v>0.47475000000000001</v>
      </c>
      <c r="P297" s="141">
        <f>Mitigation_Industry!P$682*Mitigation_Industry!$J$672*MAX(Mitigation_Industry!$J$670,0)*Mitigation_Industry!$F$769/1000</f>
        <v>0.50086124999999992</v>
      </c>
      <c r="Q297" s="141">
        <f>Mitigation_Industry!Q$682*Mitigation_Industry!$J$672*MAX(Mitigation_Industry!$J$670,0)*Mitigation_Industry!$F$769/1000</f>
        <v>0.52840861874999989</v>
      </c>
      <c r="R297" s="141">
        <f>Mitigation_Industry!R$682*Mitigation_Industry!$J$672*MAX(Mitigation_Industry!$J$670,0)*Mitigation_Industry!$F$769/1000</f>
        <v>0.55747109278124996</v>
      </c>
      <c r="S297" s="141">
        <f>Mitigation_Industry!S$682*Mitigation_Industry!$J$672*MAX(Mitigation_Industry!$J$670,0)*Mitigation_Industry!$F$769/1000</f>
        <v>0.58813200288421852</v>
      </c>
      <c r="T297" s="141">
        <f>Mitigation_Industry!T$682*Mitigation_Industry!$J$672*MAX(Mitigation_Industry!$J$670,0)*Mitigation_Industry!$F$769/1000</f>
        <v>0.62047926304285062</v>
      </c>
      <c r="U297" s="141">
        <f>Mitigation_Industry!U$682*Mitigation_Industry!$J$672*MAX(Mitigation_Industry!$J$670,0)*Mitigation_Industry!$F$769/1000</f>
        <v>0.65460562251020737</v>
      </c>
      <c r="V297" s="141">
        <f>Mitigation_Industry!V$682*Mitigation_Industry!$J$672*MAX(Mitigation_Industry!$J$670,0)*Mitigation_Industry!$F$769/1000</f>
        <v>0.69060893174826876</v>
      </c>
      <c r="W297" s="141">
        <f>Mitigation_Industry!W$682*Mitigation_Industry!$J$672*MAX(Mitigation_Industry!$J$670,0)*Mitigation_Industry!$F$769/1000</f>
        <v>0.72859242299442351</v>
      </c>
      <c r="X297" s="141">
        <f>Mitigation_Industry!X$682*Mitigation_Industry!$J$672*MAX(Mitigation_Industry!$J$670,0)*Mitigation_Industry!$F$769/1000</f>
        <v>0.76866500625911682</v>
      </c>
      <c r="Y297" s="141">
        <f>Mitigation_Industry!Y$682*Mitigation_Industry!$J$672*MAX(Mitigation_Industry!$J$670,0)*Mitigation_Industry!$F$769/1000</f>
        <v>0.81094158160336816</v>
      </c>
      <c r="Z297" s="141">
        <f>Mitigation_Industry!Z$682*Mitigation_Industry!$J$672*MAX(Mitigation_Industry!$J$670,0)*Mitigation_Industry!$F$769/1000</f>
        <v>0.85554336859155344</v>
      </c>
      <c r="AA297" s="141">
        <f>Mitigation_Industry!AA$682*Mitigation_Industry!$J$672*MAX(Mitigation_Industry!$J$670,0)*Mitigation_Industry!$F$769/1000</f>
        <v>0.90259825386408876</v>
      </c>
      <c r="AB297" s="141">
        <f>Mitigation_Industry!AB$682*Mitigation_Industry!$J$672*MAX(Mitigation_Industry!$J$670,0)*Mitigation_Industry!$F$769/1000</f>
        <v>0.95224115782661378</v>
      </c>
      <c r="AC297" s="141">
        <f>Mitigation_Industry!AC$682*Mitigation_Industry!$J$672*MAX(Mitigation_Industry!$J$670,0)*Mitigation_Industry!$F$769/1000</f>
        <v>1.0046144215070774</v>
      </c>
      <c r="AD297" s="141">
        <f>Mitigation_Industry!AD$682*Mitigation_Industry!$J$672*MAX(Mitigation_Industry!$J$670,0)*Mitigation_Industry!$F$769/1000</f>
        <v>1.0598682146899667</v>
      </c>
      <c r="AE297" s="141">
        <f>Mitigation_Industry!AE$682*Mitigation_Industry!$J$672*MAX(Mitigation_Industry!$J$670,0)*Mitigation_Industry!$F$769/1000</f>
        <v>1.1181609664979146</v>
      </c>
      <c r="AF297" s="142"/>
      <c r="AG297" s="142"/>
      <c r="AH297" s="142"/>
      <c r="AI297" s="142"/>
    </row>
    <row r="298" spans="1:35" customFormat="1" ht="14.25" x14ac:dyDescent="0.45">
      <c r="B298" s="14" t="s">
        <v>2608</v>
      </c>
      <c r="C298" s="14" t="s">
        <v>43</v>
      </c>
      <c r="D298" s="15" t="s">
        <v>2673</v>
      </c>
      <c r="E298" s="16" t="s">
        <v>2094</v>
      </c>
      <c r="F298" s="14" t="s">
        <v>2663</v>
      </c>
      <c r="G298" s="17"/>
      <c r="H298" s="129" t="str">
        <f>Settings!$B$3&amp;".mit.wm.stl.drg.no.2"</f>
        <v>egy.mit.wm.stl.drg.no.2</v>
      </c>
      <c r="K298" s="140"/>
      <c r="L298" s="141">
        <f>Mitigation_Industry!L$675*Mitigation_Industry!$K$672*MAX(Mitigation_Industry!$K$663,0)*Mitigation_Industry!$H$762/1000</f>
        <v>0</v>
      </c>
      <c r="M298" s="141">
        <f>Mitigation_Industry!M$675*Mitigation_Industry!$K$672*MAX(Mitigation_Industry!$K$663,0)*Mitigation_Industry!$H$762/1000</f>
        <v>0</v>
      </c>
      <c r="N298" s="141">
        <f>Mitigation_Industry!N$675*Mitigation_Industry!$K$672*MAX(Mitigation_Industry!$K$663,0)*Mitigation_Industry!$H$762/1000</f>
        <v>0</v>
      </c>
      <c r="O298" s="141">
        <f>Mitigation_Industry!O$675*Mitigation_Industry!$K$672*MAX(Mitigation_Industry!$K$663,0)*Mitigation_Industry!$H$762/1000</f>
        <v>0</v>
      </c>
      <c r="P298" s="141">
        <f>Mitigation_Industry!P$675*Mitigation_Industry!$K$672*MAX(Mitigation_Industry!$K$663,0)*Mitigation_Industry!$H$762/1000</f>
        <v>0</v>
      </c>
      <c r="Q298" s="141">
        <f>Mitigation_Industry!Q$675*Mitigation_Industry!$K$672*MAX(Mitigation_Industry!$K$663,0)*Mitigation_Industry!$H$762/1000</f>
        <v>0</v>
      </c>
      <c r="R298" s="141">
        <f>Mitigation_Industry!R$675*Mitigation_Industry!$K$672*MAX(Mitigation_Industry!$K$663,0)*Mitigation_Industry!$H$762/1000</f>
        <v>0</v>
      </c>
      <c r="S298" s="141">
        <f>Mitigation_Industry!S$675*Mitigation_Industry!$K$672*MAX(Mitigation_Industry!$K$663,0)*Mitigation_Industry!$H$762/1000</f>
        <v>0</v>
      </c>
      <c r="T298" s="141">
        <f>Mitigation_Industry!T$675*Mitigation_Industry!$K$672*MAX(Mitigation_Industry!$K$663,0)*Mitigation_Industry!$H$762/1000</f>
        <v>0</v>
      </c>
      <c r="U298" s="141">
        <f>Mitigation_Industry!U$675*Mitigation_Industry!$K$672*MAX(Mitigation_Industry!$K$663,0)*Mitigation_Industry!$H$762/1000</f>
        <v>0</v>
      </c>
      <c r="V298" s="141">
        <f>Mitigation_Industry!V$675*Mitigation_Industry!$K$672*MAX(Mitigation_Industry!$K$663,0)*Mitigation_Industry!$H$762/1000</f>
        <v>0</v>
      </c>
      <c r="W298" s="141">
        <f>Mitigation_Industry!W$675*Mitigation_Industry!$K$672*MAX(Mitigation_Industry!$K$663,0)*Mitigation_Industry!$H$762/1000</f>
        <v>0</v>
      </c>
      <c r="X298" s="141">
        <f>Mitigation_Industry!X$675*Mitigation_Industry!$K$672*MAX(Mitigation_Industry!$K$663,0)*Mitigation_Industry!$H$762/1000</f>
        <v>0</v>
      </c>
      <c r="Y298" s="141">
        <f>Mitigation_Industry!Y$675*Mitigation_Industry!$K$672*MAX(Mitigation_Industry!$K$663,0)*Mitigation_Industry!$H$762/1000</f>
        <v>0</v>
      </c>
      <c r="Z298" s="141">
        <f>Mitigation_Industry!Z$675*Mitigation_Industry!$K$672*MAX(Mitigation_Industry!$K$663,0)*Mitigation_Industry!$H$762/1000</f>
        <v>0</v>
      </c>
      <c r="AA298" s="141">
        <f>Mitigation_Industry!AA$675*Mitigation_Industry!$K$672*MAX(Mitigation_Industry!$K$663,0)*Mitigation_Industry!$H$762/1000</f>
        <v>0</v>
      </c>
      <c r="AB298" s="141">
        <f>Mitigation_Industry!AB$675*Mitigation_Industry!$K$672*MAX(Mitigation_Industry!$K$663,0)*Mitigation_Industry!$H$762/1000</f>
        <v>0</v>
      </c>
      <c r="AC298" s="141">
        <f>Mitigation_Industry!AC$675*Mitigation_Industry!$K$672*MAX(Mitigation_Industry!$K$663,0)*Mitigation_Industry!$H$762/1000</f>
        <v>0</v>
      </c>
      <c r="AD298" s="141">
        <f>Mitigation_Industry!AD$675*Mitigation_Industry!$K$672*MAX(Mitigation_Industry!$K$663,0)*Mitigation_Industry!$H$762/1000</f>
        <v>0</v>
      </c>
      <c r="AE298" s="141">
        <f>Mitigation_Industry!AE$675*Mitigation_Industry!$K$672*MAX(Mitigation_Industry!$K$663,0)*Mitigation_Industry!$H$762/1000</f>
        <v>0</v>
      </c>
      <c r="AF298" s="142"/>
      <c r="AG298" s="142"/>
      <c r="AH298" s="142"/>
      <c r="AI298" s="142"/>
    </row>
    <row r="299" spans="1:35" customFormat="1" ht="14.25" x14ac:dyDescent="0.45">
      <c r="B299" s="14" t="s">
        <v>2610</v>
      </c>
      <c r="C299" s="14" t="s">
        <v>43</v>
      </c>
      <c r="D299" s="15" t="s">
        <v>2674</v>
      </c>
      <c r="E299" s="16" t="s">
        <v>2094</v>
      </c>
      <c r="F299" s="14" t="s">
        <v>2663</v>
      </c>
      <c r="G299" s="17"/>
      <c r="H299" s="129" t="str">
        <f>Settings!$B$3&amp;".mit.wm.stl.scr.no.2"</f>
        <v>egy.mit.wm.stl.scr.no.2</v>
      </c>
      <c r="K299" s="140"/>
      <c r="L299" s="141">
        <f>Mitigation_Industry!L$676*Mitigation_Industry!$K$672*MAX(Mitigation_Industry!$K$664,0)*Mitigation_Industry!$H$763/1000</f>
        <v>0</v>
      </c>
      <c r="M299" s="141">
        <f>Mitigation_Industry!M$676*Mitigation_Industry!$K$672*MAX(Mitigation_Industry!$K$664,0)*Mitigation_Industry!$H$763/1000</f>
        <v>0</v>
      </c>
      <c r="N299" s="141">
        <f>Mitigation_Industry!N$676*Mitigation_Industry!$K$672*MAX(Mitigation_Industry!$K$664,0)*Mitigation_Industry!$H$763/1000</f>
        <v>0</v>
      </c>
      <c r="O299" s="141">
        <f>Mitigation_Industry!O$676*Mitigation_Industry!$K$672*MAX(Mitigation_Industry!$K$664,0)*Mitigation_Industry!$H$763/1000</f>
        <v>0</v>
      </c>
      <c r="P299" s="141">
        <f>Mitigation_Industry!P$676*Mitigation_Industry!$K$672*MAX(Mitigation_Industry!$K$664,0)*Mitigation_Industry!$H$763/1000</f>
        <v>0</v>
      </c>
      <c r="Q299" s="141">
        <f>Mitigation_Industry!Q$676*Mitigation_Industry!$K$672*MAX(Mitigation_Industry!$K$664,0)*Mitigation_Industry!$H$763/1000</f>
        <v>0</v>
      </c>
      <c r="R299" s="141">
        <f>Mitigation_Industry!R$676*Mitigation_Industry!$K$672*MAX(Mitigation_Industry!$K$664,0)*Mitigation_Industry!$H$763/1000</f>
        <v>0</v>
      </c>
      <c r="S299" s="141">
        <f>Mitigation_Industry!S$676*Mitigation_Industry!$K$672*MAX(Mitigation_Industry!$K$664,0)*Mitigation_Industry!$H$763/1000</f>
        <v>0</v>
      </c>
      <c r="T299" s="141">
        <f>Mitigation_Industry!T$676*Mitigation_Industry!$K$672*MAX(Mitigation_Industry!$K$664,0)*Mitigation_Industry!$H$763/1000</f>
        <v>0</v>
      </c>
      <c r="U299" s="141">
        <f>Mitigation_Industry!U$676*Mitigation_Industry!$K$672*MAX(Mitigation_Industry!$K$664,0)*Mitigation_Industry!$H$763/1000</f>
        <v>0</v>
      </c>
      <c r="V299" s="141">
        <f>Mitigation_Industry!V$676*Mitigation_Industry!$K$672*MAX(Mitigation_Industry!$K$664,0)*Mitigation_Industry!$H$763/1000</f>
        <v>0</v>
      </c>
      <c r="W299" s="141">
        <f>Mitigation_Industry!W$676*Mitigation_Industry!$K$672*MAX(Mitigation_Industry!$K$664,0)*Mitigation_Industry!$H$763/1000</f>
        <v>0</v>
      </c>
      <c r="X299" s="141">
        <f>Mitigation_Industry!X$676*Mitigation_Industry!$K$672*MAX(Mitigation_Industry!$K$664,0)*Mitigation_Industry!$H$763/1000</f>
        <v>0</v>
      </c>
      <c r="Y299" s="141">
        <f>Mitigation_Industry!Y$676*Mitigation_Industry!$K$672*MAX(Mitigation_Industry!$K$664,0)*Mitigation_Industry!$H$763/1000</f>
        <v>0</v>
      </c>
      <c r="Z299" s="141">
        <f>Mitigation_Industry!Z$676*Mitigation_Industry!$K$672*MAX(Mitigation_Industry!$K$664,0)*Mitigation_Industry!$H$763/1000</f>
        <v>0</v>
      </c>
      <c r="AA299" s="141">
        <f>Mitigation_Industry!AA$676*Mitigation_Industry!$K$672*MAX(Mitigation_Industry!$K$664,0)*Mitigation_Industry!$H$763/1000</f>
        <v>0</v>
      </c>
      <c r="AB299" s="141">
        <f>Mitigation_Industry!AB$676*Mitigation_Industry!$K$672*MAX(Mitigation_Industry!$K$664,0)*Mitigation_Industry!$H$763/1000</f>
        <v>0</v>
      </c>
      <c r="AC299" s="141">
        <f>Mitigation_Industry!AC$676*Mitigation_Industry!$K$672*MAX(Mitigation_Industry!$K$664,0)*Mitigation_Industry!$H$763/1000</f>
        <v>0</v>
      </c>
      <c r="AD299" s="141">
        <f>Mitigation_Industry!AD$676*Mitigation_Industry!$K$672*MAX(Mitigation_Industry!$K$664,0)*Mitigation_Industry!$H$763/1000</f>
        <v>0</v>
      </c>
      <c r="AE299" s="141">
        <f>Mitigation_Industry!AE$676*Mitigation_Industry!$K$672*MAX(Mitigation_Industry!$K$664,0)*Mitigation_Industry!$H$763/1000</f>
        <v>0</v>
      </c>
      <c r="AF299" s="142"/>
      <c r="AG299" s="142"/>
      <c r="AH299" s="142"/>
      <c r="AI299" s="142"/>
    </row>
    <row r="300" spans="1:35" customFormat="1" ht="14.25" x14ac:dyDescent="0.45">
      <c r="B300" s="14" t="s">
        <v>2612</v>
      </c>
      <c r="C300" s="14" t="s">
        <v>43</v>
      </c>
      <c r="D300" s="15" t="s">
        <v>2675</v>
      </c>
      <c r="E300" s="16" t="s">
        <v>2094</v>
      </c>
      <c r="F300" s="14" t="s">
        <v>2663</v>
      </c>
      <c r="G300" s="17"/>
      <c r="H300" s="129" t="str">
        <f>Settings!$B$3&amp;".mit.wm.stl.bof.no.2"</f>
        <v>egy.mit.wm.stl.bof.no.2</v>
      </c>
      <c r="K300" s="140"/>
      <c r="L300" s="141">
        <f>Mitigation_Industry!L$677*Mitigation_Industry!$K$672*MAX(Mitigation_Industry!$K$665,0)*Mitigation_Industry!$H$764/1000</f>
        <v>0</v>
      </c>
      <c r="M300" s="141">
        <f>Mitigation_Industry!M$677*Mitigation_Industry!$K$672*MAX(Mitigation_Industry!$K$665,0)*Mitigation_Industry!$H$764/1000</f>
        <v>0</v>
      </c>
      <c r="N300" s="141">
        <f>Mitigation_Industry!N$677*Mitigation_Industry!$K$672*MAX(Mitigation_Industry!$K$665,0)*Mitigation_Industry!$H$764/1000</f>
        <v>0</v>
      </c>
      <c r="O300" s="141">
        <f>Mitigation_Industry!O$677*Mitigation_Industry!$K$672*MAX(Mitigation_Industry!$K$665,0)*Mitigation_Industry!$H$764/1000</f>
        <v>0</v>
      </c>
      <c r="P300" s="141">
        <f>Mitigation_Industry!P$677*Mitigation_Industry!$K$672*MAX(Mitigation_Industry!$K$665,0)*Mitigation_Industry!$H$764/1000</f>
        <v>0</v>
      </c>
      <c r="Q300" s="141">
        <f>Mitigation_Industry!Q$677*Mitigation_Industry!$K$672*MAX(Mitigation_Industry!$K$665,0)*Mitigation_Industry!$H$764/1000</f>
        <v>0</v>
      </c>
      <c r="R300" s="141">
        <f>Mitigation_Industry!R$677*Mitigation_Industry!$K$672*MAX(Mitigation_Industry!$K$665,0)*Mitigation_Industry!$H$764/1000</f>
        <v>0</v>
      </c>
      <c r="S300" s="141">
        <f>Mitigation_Industry!S$677*Mitigation_Industry!$K$672*MAX(Mitigation_Industry!$K$665,0)*Mitigation_Industry!$H$764/1000</f>
        <v>0</v>
      </c>
      <c r="T300" s="141">
        <f>Mitigation_Industry!T$677*Mitigation_Industry!$K$672*MAX(Mitigation_Industry!$K$665,0)*Mitigation_Industry!$H$764/1000</f>
        <v>0</v>
      </c>
      <c r="U300" s="141">
        <f>Mitigation_Industry!U$677*Mitigation_Industry!$K$672*MAX(Mitigation_Industry!$K$665,0)*Mitigation_Industry!$H$764/1000</f>
        <v>0</v>
      </c>
      <c r="V300" s="141">
        <f>Mitigation_Industry!V$677*Mitigation_Industry!$K$672*MAX(Mitigation_Industry!$K$665,0)*Mitigation_Industry!$H$764/1000</f>
        <v>0</v>
      </c>
      <c r="W300" s="141">
        <f>Mitigation_Industry!W$677*Mitigation_Industry!$K$672*MAX(Mitigation_Industry!$K$665,0)*Mitigation_Industry!$H$764/1000</f>
        <v>0</v>
      </c>
      <c r="X300" s="141">
        <f>Mitigation_Industry!X$677*Mitigation_Industry!$K$672*MAX(Mitigation_Industry!$K$665,0)*Mitigation_Industry!$H$764/1000</f>
        <v>0</v>
      </c>
      <c r="Y300" s="141">
        <f>Mitigation_Industry!Y$677*Mitigation_Industry!$K$672*MAX(Mitigation_Industry!$K$665,0)*Mitigation_Industry!$H$764/1000</f>
        <v>0</v>
      </c>
      <c r="Z300" s="141">
        <f>Mitigation_Industry!Z$677*Mitigation_Industry!$K$672*MAX(Mitigation_Industry!$K$665,0)*Mitigation_Industry!$H$764/1000</f>
        <v>0</v>
      </c>
      <c r="AA300" s="141">
        <f>Mitigation_Industry!AA$677*Mitigation_Industry!$K$672*MAX(Mitigation_Industry!$K$665,0)*Mitigation_Industry!$H$764/1000</f>
        <v>0</v>
      </c>
      <c r="AB300" s="141">
        <f>Mitigation_Industry!AB$677*Mitigation_Industry!$K$672*MAX(Mitigation_Industry!$K$665,0)*Mitigation_Industry!$H$764/1000</f>
        <v>0</v>
      </c>
      <c r="AC300" s="141">
        <f>Mitigation_Industry!AC$677*Mitigation_Industry!$K$672*MAX(Mitigation_Industry!$K$665,0)*Mitigation_Industry!$H$764/1000</f>
        <v>0</v>
      </c>
      <c r="AD300" s="141">
        <f>Mitigation_Industry!AD$677*Mitigation_Industry!$K$672*MAX(Mitigation_Industry!$K$665,0)*Mitigation_Industry!$H$764/1000</f>
        <v>0</v>
      </c>
      <c r="AE300" s="141">
        <f>Mitigation_Industry!AE$677*Mitigation_Industry!$K$672*MAX(Mitigation_Industry!$K$665,0)*Mitigation_Industry!$H$764/1000</f>
        <v>0</v>
      </c>
      <c r="AF300" s="142"/>
      <c r="AG300" s="142"/>
      <c r="AH300" s="142"/>
      <c r="AI300" s="142"/>
    </row>
    <row r="301" spans="1:35" customFormat="1" ht="14.25" x14ac:dyDescent="0.45">
      <c r="B301" s="14" t="s">
        <v>2614</v>
      </c>
      <c r="C301" s="14" t="s">
        <v>113</v>
      </c>
      <c r="D301" s="15" t="s">
        <v>2676</v>
      </c>
      <c r="E301" s="16" t="s">
        <v>2094</v>
      </c>
      <c r="F301" s="14" t="s">
        <v>2663</v>
      </c>
      <c r="G301" s="17"/>
      <c r="H301" s="129" t="str">
        <f>Settings!$B$3&amp;".mit.wm.cmt.dry.no.2"</f>
        <v>egy.mit.wm.cmt.dry.no.2</v>
      </c>
      <c r="K301" s="140"/>
      <c r="L301" s="141">
        <f>Mitigation_Industry!L$678*Mitigation_Industry!$K$672*MAX(Mitigation_Industry!$K$666,0)*Mitigation_Industry!$H$765/1000</f>
        <v>0</v>
      </c>
      <c r="M301" s="141">
        <f>Mitigation_Industry!M$678*Mitigation_Industry!$K$672*MAX(Mitigation_Industry!$K$666,0)*Mitigation_Industry!$H$765/1000</f>
        <v>0</v>
      </c>
      <c r="N301" s="141">
        <f>Mitigation_Industry!N$678*Mitigation_Industry!$K$672*MAX(Mitigation_Industry!$K$666,0)*Mitigation_Industry!$H$765/1000</f>
        <v>0</v>
      </c>
      <c r="O301" s="141">
        <f>Mitigation_Industry!O$678*Mitigation_Industry!$K$672*MAX(Mitigation_Industry!$K$666,0)*Mitigation_Industry!$H$765/1000</f>
        <v>0</v>
      </c>
      <c r="P301" s="141">
        <f>Mitigation_Industry!P$678*Mitigation_Industry!$K$672*MAX(Mitigation_Industry!$K$666,0)*Mitigation_Industry!$H$765/1000</f>
        <v>0</v>
      </c>
      <c r="Q301" s="141">
        <f>Mitigation_Industry!Q$678*Mitigation_Industry!$K$672*MAX(Mitigation_Industry!$K$666,0)*Mitigation_Industry!$H$765/1000</f>
        <v>0</v>
      </c>
      <c r="R301" s="141">
        <f>Mitigation_Industry!R$678*Mitigation_Industry!$K$672*MAX(Mitigation_Industry!$K$666,0)*Mitigation_Industry!$H$765/1000</f>
        <v>0</v>
      </c>
      <c r="S301" s="141">
        <f>Mitigation_Industry!S$678*Mitigation_Industry!$K$672*MAX(Mitigation_Industry!$K$666,0)*Mitigation_Industry!$H$765/1000</f>
        <v>0</v>
      </c>
      <c r="T301" s="141">
        <f>Mitigation_Industry!T$678*Mitigation_Industry!$K$672*MAX(Mitigation_Industry!$K$666,0)*Mitigation_Industry!$H$765/1000</f>
        <v>0</v>
      </c>
      <c r="U301" s="141">
        <f>Mitigation_Industry!U$678*Mitigation_Industry!$K$672*MAX(Mitigation_Industry!$K$666,0)*Mitigation_Industry!$H$765/1000</f>
        <v>0</v>
      </c>
      <c r="V301" s="141">
        <f>Mitigation_Industry!V$678*Mitigation_Industry!$K$672*MAX(Mitigation_Industry!$K$666,0)*Mitigation_Industry!$H$765/1000</f>
        <v>0</v>
      </c>
      <c r="W301" s="141">
        <f>Mitigation_Industry!W$678*Mitigation_Industry!$K$672*MAX(Mitigation_Industry!$K$666,0)*Mitigation_Industry!$H$765/1000</f>
        <v>0</v>
      </c>
      <c r="X301" s="141">
        <f>Mitigation_Industry!X$678*Mitigation_Industry!$K$672*MAX(Mitigation_Industry!$K$666,0)*Mitigation_Industry!$H$765/1000</f>
        <v>0</v>
      </c>
      <c r="Y301" s="141">
        <f>Mitigation_Industry!Y$678*Mitigation_Industry!$K$672*MAX(Mitigation_Industry!$K$666,0)*Mitigation_Industry!$H$765/1000</f>
        <v>0</v>
      </c>
      <c r="Z301" s="141">
        <f>Mitigation_Industry!Z$678*Mitigation_Industry!$K$672*MAX(Mitigation_Industry!$K$666,0)*Mitigation_Industry!$H$765/1000</f>
        <v>0</v>
      </c>
      <c r="AA301" s="141">
        <f>Mitigation_Industry!AA$678*Mitigation_Industry!$K$672*MAX(Mitigation_Industry!$K$666,0)*Mitigation_Industry!$H$765/1000</f>
        <v>0</v>
      </c>
      <c r="AB301" s="141">
        <f>Mitigation_Industry!AB$678*Mitigation_Industry!$K$672*MAX(Mitigation_Industry!$K$666,0)*Mitigation_Industry!$H$765/1000</f>
        <v>0</v>
      </c>
      <c r="AC301" s="141">
        <f>Mitigation_Industry!AC$678*Mitigation_Industry!$K$672*MAX(Mitigation_Industry!$K$666,0)*Mitigation_Industry!$H$765/1000</f>
        <v>0</v>
      </c>
      <c r="AD301" s="141">
        <f>Mitigation_Industry!AD$678*Mitigation_Industry!$K$672*MAX(Mitigation_Industry!$K$666,0)*Mitigation_Industry!$H$765/1000</f>
        <v>0</v>
      </c>
      <c r="AE301" s="141">
        <f>Mitigation_Industry!AE$678*Mitigation_Industry!$K$672*MAX(Mitigation_Industry!$K$666,0)*Mitigation_Industry!$H$765/1000</f>
        <v>0</v>
      </c>
      <c r="AF301" s="142"/>
      <c r="AG301" s="142"/>
      <c r="AH301" s="142"/>
      <c r="AI301" s="142"/>
    </row>
    <row r="302" spans="1:35" customFormat="1" ht="14.25" x14ac:dyDescent="0.45">
      <c r="B302" s="14" t="s">
        <v>2616</v>
      </c>
      <c r="C302" s="14" t="s">
        <v>117</v>
      </c>
      <c r="D302" s="15" t="s">
        <v>2677</v>
      </c>
      <c r="E302" s="16" t="s">
        <v>2094</v>
      </c>
      <c r="F302" s="14" t="s">
        <v>2663</v>
      </c>
      <c r="G302" s="17"/>
      <c r="H302" s="129" t="str">
        <f>Settings!$B$3&amp;".mit.wm.frt.amc.no.2"</f>
        <v>egy.mit.wm.frt.amc.no.2</v>
      </c>
      <c r="K302" s="140"/>
      <c r="L302" s="141">
        <f>Mitigation_Industry!L$679*Mitigation_Industry!$K$672*MAX(Mitigation_Industry!$K$667,0)*Mitigation_Industry!$H$766/1000</f>
        <v>0</v>
      </c>
      <c r="M302" s="141">
        <f>Mitigation_Industry!M$679*Mitigation_Industry!$K$672*MAX(Mitigation_Industry!$K$667,0)*Mitigation_Industry!$H$766/1000</f>
        <v>0</v>
      </c>
      <c r="N302" s="141">
        <f>Mitigation_Industry!N$679*Mitigation_Industry!$K$672*MAX(Mitigation_Industry!$K$667,0)*Mitigation_Industry!$H$766/1000</f>
        <v>0</v>
      </c>
      <c r="O302" s="141">
        <f>Mitigation_Industry!O$679*Mitigation_Industry!$K$672*MAX(Mitigation_Industry!$K$667,0)*Mitigation_Industry!$H$766/1000</f>
        <v>0</v>
      </c>
      <c r="P302" s="141">
        <f>Mitigation_Industry!P$679*Mitigation_Industry!$K$672*MAX(Mitigation_Industry!$K$667,0)*Mitigation_Industry!$H$766/1000</f>
        <v>0</v>
      </c>
      <c r="Q302" s="141">
        <f>Mitigation_Industry!Q$679*Mitigation_Industry!$K$672*MAX(Mitigation_Industry!$K$667,0)*Mitigation_Industry!$H$766/1000</f>
        <v>0</v>
      </c>
      <c r="R302" s="141">
        <f>Mitigation_Industry!R$679*Mitigation_Industry!$K$672*MAX(Mitigation_Industry!$K$667,0)*Mitigation_Industry!$H$766/1000</f>
        <v>0</v>
      </c>
      <c r="S302" s="141">
        <f>Mitigation_Industry!S$679*Mitigation_Industry!$K$672*MAX(Mitigation_Industry!$K$667,0)*Mitigation_Industry!$H$766/1000</f>
        <v>0</v>
      </c>
      <c r="T302" s="141">
        <f>Mitigation_Industry!T$679*Mitigation_Industry!$K$672*MAX(Mitigation_Industry!$K$667,0)*Mitigation_Industry!$H$766/1000</f>
        <v>0</v>
      </c>
      <c r="U302" s="141">
        <f>Mitigation_Industry!U$679*Mitigation_Industry!$K$672*MAX(Mitigation_Industry!$K$667,0)*Mitigation_Industry!$H$766/1000</f>
        <v>0</v>
      </c>
      <c r="V302" s="141">
        <f>Mitigation_Industry!V$679*Mitigation_Industry!$K$672*MAX(Mitigation_Industry!$K$667,0)*Mitigation_Industry!$H$766/1000</f>
        <v>0</v>
      </c>
      <c r="W302" s="141">
        <f>Mitigation_Industry!W$679*Mitigation_Industry!$K$672*MAX(Mitigation_Industry!$K$667,0)*Mitigation_Industry!$H$766/1000</f>
        <v>0</v>
      </c>
      <c r="X302" s="141">
        <f>Mitigation_Industry!X$679*Mitigation_Industry!$K$672*MAX(Mitigation_Industry!$K$667,0)*Mitigation_Industry!$H$766/1000</f>
        <v>0</v>
      </c>
      <c r="Y302" s="141">
        <f>Mitigation_Industry!Y$679*Mitigation_Industry!$K$672*MAX(Mitigation_Industry!$K$667,0)*Mitigation_Industry!$H$766/1000</f>
        <v>0</v>
      </c>
      <c r="Z302" s="141">
        <f>Mitigation_Industry!Z$679*Mitigation_Industry!$K$672*MAX(Mitigation_Industry!$K$667,0)*Mitigation_Industry!$H$766/1000</f>
        <v>0</v>
      </c>
      <c r="AA302" s="141">
        <f>Mitigation_Industry!AA$679*Mitigation_Industry!$K$672*MAX(Mitigation_Industry!$K$667,0)*Mitigation_Industry!$H$766/1000</f>
        <v>0</v>
      </c>
      <c r="AB302" s="141">
        <f>Mitigation_Industry!AB$679*Mitigation_Industry!$K$672*MAX(Mitigation_Industry!$K$667,0)*Mitigation_Industry!$H$766/1000</f>
        <v>0</v>
      </c>
      <c r="AC302" s="141">
        <f>Mitigation_Industry!AC$679*Mitigation_Industry!$K$672*MAX(Mitigation_Industry!$K$667,0)*Mitigation_Industry!$H$766/1000</f>
        <v>0</v>
      </c>
      <c r="AD302" s="141">
        <f>Mitigation_Industry!AD$679*Mitigation_Industry!$K$672*MAX(Mitigation_Industry!$K$667,0)*Mitigation_Industry!$H$766/1000</f>
        <v>0</v>
      </c>
      <c r="AE302" s="141">
        <f>Mitigation_Industry!AE$679*Mitigation_Industry!$K$672*MAX(Mitigation_Industry!$K$667,0)*Mitigation_Industry!$H$766/1000</f>
        <v>0</v>
      </c>
      <c r="AF302" s="142"/>
      <c r="AG302" s="142"/>
      <c r="AH302" s="142"/>
      <c r="AI302" s="142"/>
    </row>
    <row r="303" spans="1:35" customFormat="1" ht="14.25" x14ac:dyDescent="0.45">
      <c r="B303" s="14" t="s">
        <v>2618</v>
      </c>
      <c r="C303" s="14" t="s">
        <v>117</v>
      </c>
      <c r="D303" s="15" t="s">
        <v>2678</v>
      </c>
      <c r="E303" s="16" t="s">
        <v>2094</v>
      </c>
      <c r="F303" s="14" t="s">
        <v>2663</v>
      </c>
      <c r="G303" s="17"/>
      <c r="H303" s="129" t="str">
        <f>Settings!$B$3&amp;".mit.wm.frt.ure.no.2"</f>
        <v>egy.mit.wm.frt.ure.no.2</v>
      </c>
      <c r="K303" s="140"/>
      <c r="L303" s="141">
        <f>Mitigation_Industry!L$680*Mitigation_Industry!$K$672*MAX(Mitigation_Industry!$K$668,0)*Mitigation_Industry!$H$767/1000</f>
        <v>0</v>
      </c>
      <c r="M303" s="141">
        <f>Mitigation_Industry!M$680*Mitigation_Industry!$K$672*MAX(Mitigation_Industry!$K$668,0)*Mitigation_Industry!$H$767/1000</f>
        <v>0</v>
      </c>
      <c r="N303" s="141">
        <f>Mitigation_Industry!N$680*Mitigation_Industry!$K$672*MAX(Mitigation_Industry!$K$668,0)*Mitigation_Industry!$H$767/1000</f>
        <v>0</v>
      </c>
      <c r="O303" s="141">
        <f>Mitigation_Industry!O$680*Mitigation_Industry!$K$672*MAX(Mitigation_Industry!$K$668,0)*Mitigation_Industry!$H$767/1000</f>
        <v>0</v>
      </c>
      <c r="P303" s="141">
        <f>Mitigation_Industry!P$680*Mitigation_Industry!$K$672*MAX(Mitigation_Industry!$K$668,0)*Mitigation_Industry!$H$767/1000</f>
        <v>0</v>
      </c>
      <c r="Q303" s="141">
        <f>Mitigation_Industry!Q$680*Mitigation_Industry!$K$672*MAX(Mitigation_Industry!$K$668,0)*Mitigation_Industry!$H$767/1000</f>
        <v>0</v>
      </c>
      <c r="R303" s="141">
        <f>Mitigation_Industry!R$680*Mitigation_Industry!$K$672*MAX(Mitigation_Industry!$K$668,0)*Mitigation_Industry!$H$767/1000</f>
        <v>0</v>
      </c>
      <c r="S303" s="141">
        <f>Mitigation_Industry!S$680*Mitigation_Industry!$K$672*MAX(Mitigation_Industry!$K$668,0)*Mitigation_Industry!$H$767/1000</f>
        <v>0</v>
      </c>
      <c r="T303" s="141">
        <f>Mitigation_Industry!T$680*Mitigation_Industry!$K$672*MAX(Mitigation_Industry!$K$668,0)*Mitigation_Industry!$H$767/1000</f>
        <v>0</v>
      </c>
      <c r="U303" s="141">
        <f>Mitigation_Industry!U$680*Mitigation_Industry!$K$672*MAX(Mitigation_Industry!$K$668,0)*Mitigation_Industry!$H$767/1000</f>
        <v>0</v>
      </c>
      <c r="V303" s="141">
        <f>Mitigation_Industry!V$680*Mitigation_Industry!$K$672*MAX(Mitigation_Industry!$K$668,0)*Mitigation_Industry!$H$767/1000</f>
        <v>0</v>
      </c>
      <c r="W303" s="141">
        <f>Mitigation_Industry!W$680*Mitigation_Industry!$K$672*MAX(Mitigation_Industry!$K$668,0)*Mitigation_Industry!$H$767/1000</f>
        <v>0</v>
      </c>
      <c r="X303" s="141">
        <f>Mitigation_Industry!X$680*Mitigation_Industry!$K$672*MAX(Mitigation_Industry!$K$668,0)*Mitigation_Industry!$H$767/1000</f>
        <v>0</v>
      </c>
      <c r="Y303" s="141">
        <f>Mitigation_Industry!Y$680*Mitigation_Industry!$K$672*MAX(Mitigation_Industry!$K$668,0)*Mitigation_Industry!$H$767/1000</f>
        <v>0</v>
      </c>
      <c r="Z303" s="141">
        <f>Mitigation_Industry!Z$680*Mitigation_Industry!$K$672*MAX(Mitigation_Industry!$K$668,0)*Mitigation_Industry!$H$767/1000</f>
        <v>0</v>
      </c>
      <c r="AA303" s="141">
        <f>Mitigation_Industry!AA$680*Mitigation_Industry!$K$672*MAX(Mitigation_Industry!$K$668,0)*Mitigation_Industry!$H$767/1000</f>
        <v>0</v>
      </c>
      <c r="AB303" s="141">
        <f>Mitigation_Industry!AB$680*Mitigation_Industry!$K$672*MAX(Mitigation_Industry!$K$668,0)*Mitigation_Industry!$H$767/1000</f>
        <v>0</v>
      </c>
      <c r="AC303" s="141">
        <f>Mitigation_Industry!AC$680*Mitigation_Industry!$K$672*MAX(Mitigation_Industry!$K$668,0)*Mitigation_Industry!$H$767/1000</f>
        <v>0</v>
      </c>
      <c r="AD303" s="141">
        <f>Mitigation_Industry!AD$680*Mitigation_Industry!$K$672*MAX(Mitigation_Industry!$K$668,0)*Mitigation_Industry!$H$767/1000</f>
        <v>0</v>
      </c>
      <c r="AE303" s="141">
        <f>Mitigation_Industry!AE$680*Mitigation_Industry!$K$672*MAX(Mitigation_Industry!$K$668,0)*Mitigation_Industry!$H$767/1000</f>
        <v>0</v>
      </c>
      <c r="AF303" s="142"/>
      <c r="AG303" s="142"/>
      <c r="AH303" s="142"/>
      <c r="AI303" s="142"/>
    </row>
    <row r="304" spans="1:35" customFormat="1" ht="14.25" x14ac:dyDescent="0.45">
      <c r="B304" s="14" t="s">
        <v>2620</v>
      </c>
      <c r="C304" s="14" t="s">
        <v>117</v>
      </c>
      <c r="D304" s="15" t="s">
        <v>2679</v>
      </c>
      <c r="E304" s="16" t="s">
        <v>2094</v>
      </c>
      <c r="F304" s="14" t="s">
        <v>2663</v>
      </c>
      <c r="G304" s="17"/>
      <c r="H304" s="129" t="str">
        <f>Settings!$B$3&amp;".mit.wm.frt.nit.no.2"</f>
        <v>egy.mit.wm.frt.nit.no.2</v>
      </c>
      <c r="K304" s="140"/>
      <c r="L304" s="141">
        <f>Mitigation_Industry!L$681*Mitigation_Industry!$K$672*MAX(Mitigation_Industry!$K$669,0)*Mitigation_Industry!$H$768/1000</f>
        <v>0.55721293959505358</v>
      </c>
      <c r="M304" s="141">
        <f>Mitigation_Industry!M$681*Mitigation_Industry!$K$672*MAX(Mitigation_Industry!$K$669,0)*Mitigation_Industry!$H$768/1000</f>
        <v>0.56947162426614473</v>
      </c>
      <c r="N304" s="141">
        <f>Mitigation_Industry!N$681*Mitigation_Industry!$K$672*MAX(Mitigation_Industry!$K$669,0)*Mitigation_Industry!$H$768/1000</f>
        <v>0.58199999999999996</v>
      </c>
      <c r="O304" s="141">
        <f>Mitigation_Industry!O$681*Mitigation_Industry!$K$672*MAX(Mitigation_Industry!$K$669,0)*Mitigation_Industry!$H$768/1000</f>
        <v>0.594804</v>
      </c>
      <c r="P304" s="141">
        <f>Mitigation_Industry!P$681*Mitigation_Industry!$K$672*MAX(Mitigation_Industry!$K$669,0)*Mitigation_Industry!$H$768/1000</f>
        <v>0.60788968799999998</v>
      </c>
      <c r="Q304" s="141">
        <f>Mitigation_Industry!Q$681*Mitigation_Industry!$K$672*MAX(Mitigation_Industry!$K$669,0)*Mitigation_Industry!$H$768/1000</f>
        <v>0.62126326113599994</v>
      </c>
      <c r="R304" s="141">
        <f>Mitigation_Industry!R$681*Mitigation_Industry!$K$672*MAX(Mitigation_Industry!$K$669,0)*Mitigation_Industry!$H$768/1000</f>
        <v>0.63493105288099194</v>
      </c>
      <c r="S304" s="141">
        <f>Mitigation_Industry!S$681*Mitigation_Industry!$K$672*MAX(Mitigation_Industry!$K$669,0)*Mitigation_Industry!$H$768/1000</f>
        <v>0.64889953604437378</v>
      </c>
      <c r="T304" s="141">
        <f>Mitigation_Industry!T$681*Mitigation_Industry!$K$672*MAX(Mitigation_Industry!$K$669,0)*Mitigation_Industry!$H$768/1000</f>
        <v>0.66317532583734995</v>
      </c>
      <c r="U304" s="141">
        <f>Mitigation_Industry!U$681*Mitigation_Industry!$K$672*MAX(Mitigation_Industry!$K$669,0)*Mitigation_Industry!$H$768/1000</f>
        <v>0.67776518300577171</v>
      </c>
      <c r="V304" s="141">
        <f>Mitigation_Industry!V$681*Mitigation_Industry!$K$672*MAX(Mitigation_Industry!$K$669,0)*Mitigation_Industry!$H$768/1000</f>
        <v>0.69267601703189885</v>
      </c>
      <c r="W304" s="141">
        <f>Mitigation_Industry!W$681*Mitigation_Industry!$K$672*MAX(Mitigation_Industry!$K$669,0)*Mitigation_Industry!$H$768/1000</f>
        <v>0.70791488940660041</v>
      </c>
      <c r="X304" s="141">
        <f>Mitigation_Industry!X$681*Mitigation_Industry!$K$672*MAX(Mitigation_Industry!$K$669,0)*Mitigation_Industry!$H$768/1000</f>
        <v>0.72348901697354573</v>
      </c>
      <c r="Y304" s="141">
        <f>Mitigation_Industry!Y$681*Mitigation_Industry!$K$672*MAX(Mitigation_Industry!$K$669,0)*Mitigation_Industry!$H$768/1000</f>
        <v>0.73940577534696372</v>
      </c>
      <c r="Z304" s="141">
        <f>Mitigation_Industry!Z$681*Mitigation_Industry!$K$672*MAX(Mitigation_Industry!$K$669,0)*Mitigation_Industry!$H$768/1000</f>
        <v>0.75567270240459705</v>
      </c>
      <c r="AA304" s="141">
        <f>Mitigation_Industry!AA$681*Mitigation_Industry!$K$672*MAX(Mitigation_Industry!$K$669,0)*Mitigation_Industry!$H$768/1000</f>
        <v>0.77229750185749824</v>
      </c>
      <c r="AB304" s="141">
        <f>Mitigation_Industry!AB$681*Mitigation_Industry!$K$672*MAX(Mitigation_Industry!$K$669,0)*Mitigation_Industry!$H$768/1000</f>
        <v>0.78928804689836307</v>
      </c>
      <c r="AC304" s="141">
        <f>Mitigation_Industry!AC$681*Mitigation_Industry!$K$672*MAX(Mitigation_Industry!$K$669,0)*Mitigation_Industry!$H$768/1000</f>
        <v>0.80665238393012706</v>
      </c>
      <c r="AD304" s="141">
        <f>Mitigation_Industry!AD$681*Mitigation_Industry!$K$672*MAX(Mitigation_Industry!$K$669,0)*Mitigation_Industry!$H$768/1000</f>
        <v>0.82439873637658989</v>
      </c>
      <c r="AE304" s="141">
        <f>Mitigation_Industry!AE$681*Mitigation_Industry!$K$672*MAX(Mitigation_Industry!$K$669,0)*Mitigation_Industry!$H$768/1000</f>
        <v>0.84253550857687487</v>
      </c>
      <c r="AF304" s="142"/>
      <c r="AG304" s="142"/>
      <c r="AH304" s="142"/>
      <c r="AI304" s="142"/>
    </row>
    <row r="305" spans="1:35" customFormat="1" ht="14.25" x14ac:dyDescent="0.45">
      <c r="B305" s="14" t="s">
        <v>2622</v>
      </c>
      <c r="C305" s="14" t="s">
        <v>115</v>
      </c>
      <c r="D305" s="15" t="s">
        <v>2680</v>
      </c>
      <c r="E305" s="16" t="s">
        <v>2094</v>
      </c>
      <c r="F305" s="14" t="s">
        <v>2663</v>
      </c>
      <c r="G305" s="17"/>
      <c r="H305" s="129" t="str">
        <f>Settings!$B$3&amp;".mit.wm.alu.prp.no.2"</f>
        <v>egy.mit.wm.alu.prp.no.2</v>
      </c>
      <c r="K305" s="140"/>
      <c r="L305" s="141">
        <f>Mitigation_Industry!L$682*Mitigation_Industry!$K$672*MAX(Mitigation_Industry!$K$670,0)*Mitigation_Industry!$H$769/1000</f>
        <v>0.22910536600705286</v>
      </c>
      <c r="M305" s="141">
        <f>Mitigation_Industry!M$682*Mitigation_Industry!$K$672*MAX(Mitigation_Industry!$K$670,0)*Mitigation_Industry!$H$769/1000</f>
        <v>0.24170616113744076</v>
      </c>
      <c r="N305" s="141">
        <f>Mitigation_Industry!N$682*Mitigation_Industry!$K$672*MAX(Mitigation_Industry!$K$670,0)*Mitigation_Industry!$H$769/1000</f>
        <v>0.255</v>
      </c>
      <c r="O305" s="141">
        <f>Mitigation_Industry!O$682*Mitigation_Industry!$K$672*MAX(Mitigation_Industry!$K$670,0)*Mitigation_Industry!$H$769/1000</f>
        <v>0.26902499999999996</v>
      </c>
      <c r="P305" s="141">
        <f>Mitigation_Industry!P$682*Mitigation_Industry!$K$672*MAX(Mitigation_Industry!$K$670,0)*Mitigation_Industry!$H$769/1000</f>
        <v>0.28382137499999999</v>
      </c>
      <c r="Q305" s="141">
        <f>Mitigation_Industry!Q$682*Mitigation_Industry!$K$672*MAX(Mitigation_Industry!$K$670,0)*Mitigation_Industry!$H$769/1000</f>
        <v>0.29943155062499993</v>
      </c>
      <c r="R305" s="141">
        <f>Mitigation_Industry!R$682*Mitigation_Industry!$K$672*MAX(Mitigation_Industry!$K$670,0)*Mitigation_Industry!$H$769/1000</f>
        <v>0.31590028590937497</v>
      </c>
      <c r="S305" s="141">
        <f>Mitigation_Industry!S$682*Mitigation_Industry!$K$672*MAX(Mitigation_Industry!$K$670,0)*Mitigation_Industry!$H$769/1000</f>
        <v>0.33327480163439055</v>
      </c>
      <c r="T305" s="141">
        <f>Mitigation_Industry!T$682*Mitigation_Industry!$K$672*MAX(Mitigation_Industry!$K$670,0)*Mitigation_Industry!$H$769/1000</f>
        <v>0.35160491572428204</v>
      </c>
      <c r="U305" s="141">
        <f>Mitigation_Industry!U$682*Mitigation_Industry!$K$672*MAX(Mitigation_Industry!$K$670,0)*Mitigation_Industry!$H$769/1000</f>
        <v>0.37094318608911747</v>
      </c>
      <c r="V305" s="141">
        <f>Mitigation_Industry!V$682*Mitigation_Industry!$K$672*MAX(Mitigation_Industry!$K$670,0)*Mitigation_Industry!$H$769/1000</f>
        <v>0.39134506132401897</v>
      </c>
      <c r="W305" s="141">
        <f>Mitigation_Industry!W$682*Mitigation_Industry!$K$672*MAX(Mitigation_Industry!$K$670,0)*Mitigation_Industry!$H$769/1000</f>
        <v>0.41286903969683997</v>
      </c>
      <c r="X305" s="141">
        <f>Mitigation_Industry!X$682*Mitigation_Industry!$K$672*MAX(Mitigation_Industry!$K$670,0)*Mitigation_Industry!$H$769/1000</f>
        <v>0.43557683688016618</v>
      </c>
      <c r="Y305" s="141">
        <f>Mitigation_Industry!Y$682*Mitigation_Industry!$K$672*MAX(Mitigation_Industry!$K$670,0)*Mitigation_Industry!$H$769/1000</f>
        <v>0.45953356290857528</v>
      </c>
      <c r="Z305" s="141">
        <f>Mitigation_Industry!Z$682*Mitigation_Industry!$K$672*MAX(Mitigation_Industry!$K$670,0)*Mitigation_Industry!$H$769/1000</f>
        <v>0.48480790886854697</v>
      </c>
      <c r="AA305" s="141">
        <f>Mitigation_Industry!AA$682*Mitigation_Industry!$K$672*MAX(Mitigation_Industry!$K$670,0)*Mitigation_Industry!$H$769/1000</f>
        <v>0.51147234385631701</v>
      </c>
      <c r="AB305" s="141">
        <f>Mitigation_Industry!AB$682*Mitigation_Industry!$K$672*MAX(Mitigation_Industry!$K$670,0)*Mitigation_Industry!$H$769/1000</f>
        <v>0.53960332276841438</v>
      </c>
      <c r="AC305" s="141">
        <f>Mitigation_Industry!AC$682*Mitigation_Industry!$K$672*MAX(Mitigation_Industry!$K$670,0)*Mitigation_Industry!$H$769/1000</f>
        <v>0.56928150552067713</v>
      </c>
      <c r="AD305" s="141">
        <f>Mitigation_Industry!AD$682*Mitigation_Industry!$K$672*MAX(Mitigation_Industry!$K$670,0)*Mitigation_Industry!$H$769/1000</f>
        <v>0.60059198832431437</v>
      </c>
      <c r="AE305" s="141">
        <f>Mitigation_Industry!AE$682*Mitigation_Industry!$K$672*MAX(Mitigation_Industry!$K$670,0)*Mitigation_Industry!$H$769/1000</f>
        <v>0.6336245476821516</v>
      </c>
      <c r="AF305" s="142"/>
      <c r="AG305" s="142"/>
      <c r="AH305" s="142"/>
      <c r="AI305" s="142"/>
    </row>
    <row r="306" spans="1:35" x14ac:dyDescent="0.35"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</row>
    <row r="307" spans="1:35" customFormat="1" ht="14.25" x14ac:dyDescent="0.45">
      <c r="A307" s="11"/>
      <c r="B307" s="6"/>
      <c r="C307" s="7" t="s">
        <v>2681</v>
      </c>
      <c r="D307" s="6" t="s">
        <v>1504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8">
        <v>2021</v>
      </c>
      <c r="L307" s="139">
        <v>2022</v>
      </c>
      <c r="M307" s="138">
        <v>2023</v>
      </c>
      <c r="N307" s="138">
        <v>2024</v>
      </c>
      <c r="O307" s="138">
        <v>2025</v>
      </c>
      <c r="P307" s="138">
        <v>2026</v>
      </c>
      <c r="Q307" s="138">
        <v>2027</v>
      </c>
      <c r="R307" s="138">
        <v>2028</v>
      </c>
      <c r="S307" s="138">
        <v>2029</v>
      </c>
      <c r="T307" s="138">
        <v>2030</v>
      </c>
      <c r="U307" s="138">
        <v>2031</v>
      </c>
      <c r="V307" s="138">
        <v>2032</v>
      </c>
      <c r="W307" s="138">
        <v>2033</v>
      </c>
      <c r="X307" s="138">
        <v>2034</v>
      </c>
      <c r="Y307" s="138">
        <v>2035</v>
      </c>
      <c r="Z307" s="138">
        <v>2036</v>
      </c>
      <c r="AA307" s="138">
        <v>2037</v>
      </c>
      <c r="AB307" s="138">
        <v>2038</v>
      </c>
      <c r="AC307" s="138">
        <v>2039</v>
      </c>
      <c r="AD307" s="138">
        <v>2040</v>
      </c>
      <c r="AE307" s="138">
        <v>2041</v>
      </c>
      <c r="AF307" s="138">
        <v>2042</v>
      </c>
      <c r="AG307" s="138">
        <v>2043</v>
      </c>
      <c r="AH307" s="138">
        <v>2044</v>
      </c>
      <c r="AI307" s="138">
        <v>2045</v>
      </c>
    </row>
    <row r="308" spans="1:35" customFormat="1" ht="14.25" x14ac:dyDescent="0.45">
      <c r="B308" s="14" t="s">
        <v>2591</v>
      </c>
      <c r="C308" s="14" t="s">
        <v>43</v>
      </c>
      <c r="D308" s="15" t="s">
        <v>2682</v>
      </c>
      <c r="E308" s="16" t="s">
        <v>2094</v>
      </c>
      <c r="F308" s="14" t="s">
        <v>2681</v>
      </c>
      <c r="G308" s="17"/>
      <c r="H308" s="129" t="str">
        <f>Settings!$B$3&amp;".mit.wp.stl.drg.np.2"</f>
        <v>egy.mit.wp.stl.drg.np.2</v>
      </c>
      <c r="I308" t="s">
        <v>2683</v>
      </c>
      <c r="K308" s="140"/>
      <c r="L308" s="141">
        <f t="shared" ref="L308:AE308" si="91">L$290*EXP(-L$272*L$234)</f>
        <v>0.18716695292200644</v>
      </c>
      <c r="M308" s="141">
        <f t="shared" si="91"/>
        <v>0.1954022988505747</v>
      </c>
      <c r="N308" s="141">
        <f t="shared" si="91"/>
        <v>0.20399999999999999</v>
      </c>
      <c r="O308" s="141">
        <f t="shared" si="91"/>
        <v>0.21297600000000003</v>
      </c>
      <c r="P308" s="141">
        <f t="shared" si="91"/>
        <v>0.22234694400000002</v>
      </c>
      <c r="Q308" s="141">
        <f t="shared" si="91"/>
        <v>0.23213020953600005</v>
      </c>
      <c r="R308" s="141">
        <f t="shared" si="91"/>
        <v>0.24234393875558402</v>
      </c>
      <c r="S308" s="141">
        <f t="shared" si="91"/>
        <v>0.25300707206082967</v>
      </c>
      <c r="T308" s="141">
        <f t="shared" si="91"/>
        <v>0.26413938323150626</v>
      </c>
      <c r="U308" s="141">
        <f t="shared" si="91"/>
        <v>0.27576151609369254</v>
      </c>
      <c r="V308" s="141">
        <f t="shared" si="91"/>
        <v>0.287895022801815</v>
      </c>
      <c r="W308" s="141">
        <f t="shared" si="91"/>
        <v>0.30056240380509491</v>
      </c>
      <c r="X308" s="141">
        <f t="shared" si="91"/>
        <v>0.31378714957251908</v>
      </c>
      <c r="Y308" s="141">
        <f t="shared" si="91"/>
        <v>0.32759378415370993</v>
      </c>
      <c r="Z308" s="141">
        <f t="shared" si="91"/>
        <v>0.34200791065647307</v>
      </c>
      <c r="AA308" s="141">
        <f t="shared" si="91"/>
        <v>0.3570562587253579</v>
      </c>
      <c r="AB308" s="141">
        <f t="shared" si="91"/>
        <v>0.37276673410927375</v>
      </c>
      <c r="AC308" s="141">
        <f t="shared" si="91"/>
        <v>0.38916847041008179</v>
      </c>
      <c r="AD308" s="141">
        <f t="shared" si="91"/>
        <v>0.40629188310812531</v>
      </c>
      <c r="AE308" s="141">
        <f t="shared" si="91"/>
        <v>0.42416872596488286</v>
      </c>
      <c r="AF308" s="142"/>
      <c r="AG308" s="142"/>
      <c r="AH308" s="142"/>
      <c r="AI308" s="142"/>
    </row>
    <row r="309" spans="1:35" customFormat="1" ht="14.25" x14ac:dyDescent="0.45">
      <c r="B309" s="14" t="s">
        <v>2594</v>
      </c>
      <c r="C309" s="14" t="s">
        <v>43</v>
      </c>
      <c r="D309" s="15" t="s">
        <v>2684</v>
      </c>
      <c r="E309" s="16" t="s">
        <v>2094</v>
      </c>
      <c r="F309" s="14" t="s">
        <v>2681</v>
      </c>
      <c r="G309" s="17"/>
      <c r="H309" s="129" t="str">
        <f>Settings!$B$3&amp;".mit.wp.stl.scr.np.2"</f>
        <v>egy.mit.wp.stl.scr.np.2</v>
      </c>
      <c r="K309" s="140"/>
      <c r="L309" s="141">
        <f t="shared" ref="L309:AE309" si="92">L$291*EXP(-L$273*L$235)</f>
        <v>6.6058924560708152E-2</v>
      </c>
      <c r="M309" s="141">
        <f t="shared" si="92"/>
        <v>6.8965517241379309E-2</v>
      </c>
      <c r="N309" s="141">
        <f t="shared" si="92"/>
        <v>7.1999999999999995E-2</v>
      </c>
      <c r="O309" s="141">
        <f t="shared" si="92"/>
        <v>7.5167999999999999E-2</v>
      </c>
      <c r="P309" s="141">
        <f t="shared" si="92"/>
        <v>7.8475392000000005E-2</v>
      </c>
      <c r="Q309" s="141">
        <f t="shared" si="92"/>
        <v>8.1928309248E-2</v>
      </c>
      <c r="R309" s="141">
        <f t="shared" si="92"/>
        <v>8.5533154854912002E-2</v>
      </c>
      <c r="S309" s="141">
        <f t="shared" si="92"/>
        <v>8.9296613668528119E-2</v>
      </c>
      <c r="T309" s="141">
        <f t="shared" si="92"/>
        <v>9.3225664669943364E-2</v>
      </c>
      <c r="U309" s="141">
        <f t="shared" si="92"/>
        <v>9.732759391542091E-2</v>
      </c>
      <c r="V309" s="141">
        <f t="shared" si="92"/>
        <v>0.10161000804769942</v>
      </c>
      <c r="W309" s="141">
        <f t="shared" si="92"/>
        <v>0.1060808484017982</v>
      </c>
      <c r="X309" s="141">
        <f t="shared" si="92"/>
        <v>0.1107484057314773</v>
      </c>
      <c r="Y309" s="141">
        <f t="shared" si="92"/>
        <v>0.11562133558366232</v>
      </c>
      <c r="Z309" s="141">
        <f t="shared" si="92"/>
        <v>0.12070867434934346</v>
      </c>
      <c r="AA309" s="141">
        <f t="shared" si="92"/>
        <v>0.12601985602071455</v>
      </c>
      <c r="AB309" s="141">
        <f t="shared" si="92"/>
        <v>0.13156472968562602</v>
      </c>
      <c r="AC309" s="141">
        <f t="shared" si="92"/>
        <v>0.13735357779179355</v>
      </c>
      <c r="AD309" s="141">
        <f t="shared" si="92"/>
        <v>0.14339713521463246</v>
      </c>
      <c r="AE309" s="141">
        <f t="shared" si="92"/>
        <v>0.1497066091640763</v>
      </c>
      <c r="AF309" s="142"/>
      <c r="AG309" s="142"/>
      <c r="AH309" s="142"/>
      <c r="AI309" s="142"/>
    </row>
    <row r="310" spans="1:35" customFormat="1" ht="14.25" x14ac:dyDescent="0.45">
      <c r="B310" s="14" t="s">
        <v>2596</v>
      </c>
      <c r="C310" s="14" t="s">
        <v>43</v>
      </c>
      <c r="D310" s="15" t="s">
        <v>2685</v>
      </c>
      <c r="E310" s="16" t="s">
        <v>2094</v>
      </c>
      <c r="F310" s="14" t="s">
        <v>2681</v>
      </c>
      <c r="G310" s="17"/>
      <c r="H310" s="129" t="str">
        <f>Settings!$B$3&amp;".mit.wp.stl.bof.np.2"</f>
        <v>egy.mit.wp.stl.bof.np.2</v>
      </c>
      <c r="K310" s="140"/>
      <c r="L310" s="141">
        <f t="shared" ref="L310:AE310" si="93">L$292*EXP(-L$274*L$236)</f>
        <v>0</v>
      </c>
      <c r="M310" s="141">
        <f t="shared" si="93"/>
        <v>0</v>
      </c>
      <c r="N310" s="141">
        <f t="shared" si="93"/>
        <v>0</v>
      </c>
      <c r="O310" s="141">
        <f t="shared" si="93"/>
        <v>0</v>
      </c>
      <c r="P310" s="141">
        <f t="shared" si="93"/>
        <v>0</v>
      </c>
      <c r="Q310" s="141">
        <f t="shared" si="93"/>
        <v>0</v>
      </c>
      <c r="R310" s="141">
        <f t="shared" si="93"/>
        <v>0</v>
      </c>
      <c r="S310" s="141">
        <f t="shared" si="93"/>
        <v>0</v>
      </c>
      <c r="T310" s="141">
        <f t="shared" si="93"/>
        <v>0</v>
      </c>
      <c r="U310" s="141">
        <f t="shared" si="93"/>
        <v>0</v>
      </c>
      <c r="V310" s="141">
        <f t="shared" si="93"/>
        <v>0</v>
      </c>
      <c r="W310" s="141">
        <f t="shared" si="93"/>
        <v>0</v>
      </c>
      <c r="X310" s="141">
        <f t="shared" si="93"/>
        <v>0</v>
      </c>
      <c r="Y310" s="141">
        <f t="shared" si="93"/>
        <v>0</v>
      </c>
      <c r="Z310" s="141">
        <f t="shared" si="93"/>
        <v>0</v>
      </c>
      <c r="AA310" s="141">
        <f t="shared" si="93"/>
        <v>0</v>
      </c>
      <c r="AB310" s="141">
        <f t="shared" si="93"/>
        <v>0</v>
      </c>
      <c r="AC310" s="141">
        <f t="shared" si="93"/>
        <v>0</v>
      </c>
      <c r="AD310" s="141">
        <f t="shared" si="93"/>
        <v>0</v>
      </c>
      <c r="AE310" s="141">
        <f t="shared" si="93"/>
        <v>0</v>
      </c>
      <c r="AF310" s="142"/>
      <c r="AG310" s="142"/>
      <c r="AH310" s="142"/>
      <c r="AI310" s="142"/>
    </row>
    <row r="311" spans="1:35" customFormat="1" ht="14.25" x14ac:dyDescent="0.45">
      <c r="B311" s="14" t="s">
        <v>2598</v>
      </c>
      <c r="C311" s="14" t="s">
        <v>113</v>
      </c>
      <c r="D311" s="15" t="s">
        <v>2686</v>
      </c>
      <c r="E311" s="16" t="s">
        <v>2094</v>
      </c>
      <c r="F311" s="14" t="s">
        <v>2681</v>
      </c>
      <c r="G311" s="17"/>
      <c r="H311" s="129" t="str">
        <f>Settings!$B$3&amp;".mit.wp.cmt.dry.np.2"</f>
        <v>egy.mit.wp.cmt.dry.np.2</v>
      </c>
      <c r="K311" s="140"/>
      <c r="L311" s="141">
        <f t="shared" ref="L311:AE311" si="94">L$293*EXP(-L$275*L$237)</f>
        <v>24.646491529759945</v>
      </c>
      <c r="M311" s="141">
        <f t="shared" si="94"/>
        <v>25.459825750242022</v>
      </c>
      <c r="N311" s="141">
        <f t="shared" si="94"/>
        <v>26.3</v>
      </c>
      <c r="O311" s="141">
        <f t="shared" si="94"/>
        <v>27.167899999999999</v>
      </c>
      <c r="P311" s="141">
        <f t="shared" si="94"/>
        <v>28.064440699999995</v>
      </c>
      <c r="Q311" s="141">
        <f t="shared" si="94"/>
        <v>28.990567243099992</v>
      </c>
      <c r="R311" s="141">
        <f t="shared" si="94"/>
        <v>29.947255962122291</v>
      </c>
      <c r="S311" s="141">
        <f t="shared" si="94"/>
        <v>30.935515408872323</v>
      </c>
      <c r="T311" s="141">
        <f t="shared" si="94"/>
        <v>31.956387417365107</v>
      </c>
      <c r="U311" s="141">
        <f t="shared" si="94"/>
        <v>33.010948202138145</v>
      </c>
      <c r="V311" s="141">
        <f t="shared" si="94"/>
        <v>34.100309492808698</v>
      </c>
      <c r="W311" s="141">
        <f t="shared" si="94"/>
        <v>35.225619706071392</v>
      </c>
      <c r="X311" s="141">
        <f t="shared" si="94"/>
        <v>36.388065156371731</v>
      </c>
      <c r="Y311" s="141">
        <f t="shared" si="94"/>
        <v>37.588871306532006</v>
      </c>
      <c r="Z311" s="141">
        <f t="shared" si="94"/>
        <v>38.829304059647555</v>
      </c>
      <c r="AA311" s="141">
        <f t="shared" si="94"/>
        <v>40.11067109361592</v>
      </c>
      <c r="AB311" s="141">
        <f t="shared" si="94"/>
        <v>41.434323239705236</v>
      </c>
      <c r="AC311" s="141">
        <f t="shared" si="94"/>
        <v>42.801655906615501</v>
      </c>
      <c r="AD311" s="141">
        <f t="shared" si="94"/>
        <v>44.214110551533814</v>
      </c>
      <c r="AE311" s="141">
        <f t="shared" si="94"/>
        <v>45.673176199734421</v>
      </c>
      <c r="AF311" s="142"/>
      <c r="AG311" s="142"/>
      <c r="AH311" s="142"/>
      <c r="AI311" s="142"/>
    </row>
    <row r="312" spans="1:35" customFormat="1" ht="14.25" x14ac:dyDescent="0.45">
      <c r="B312" s="14" t="s">
        <v>2600</v>
      </c>
      <c r="C312" s="14" t="s">
        <v>117</v>
      </c>
      <c r="D312" s="15" t="s">
        <v>2687</v>
      </c>
      <c r="E312" s="16" t="s">
        <v>2094</v>
      </c>
      <c r="F312" s="14" t="s">
        <v>2681</v>
      </c>
      <c r="G312" s="17"/>
      <c r="H312" s="129" t="str">
        <f>Settings!$B$3&amp;".mit.wp.frt.amc.np.2"</f>
        <v>egy.mit.wp.frt.amc.np.2</v>
      </c>
      <c r="K312" s="140"/>
      <c r="L312" s="141">
        <f t="shared" ref="L312:AE312" si="95">L$294*EXP(-L$276*L$238)</f>
        <v>0</v>
      </c>
      <c r="M312" s="141">
        <f t="shared" si="95"/>
        <v>0</v>
      </c>
      <c r="N312" s="141">
        <f t="shared" si="95"/>
        <v>0</v>
      </c>
      <c r="O312" s="141">
        <f t="shared" si="95"/>
        <v>0</v>
      </c>
      <c r="P312" s="141">
        <f t="shared" si="95"/>
        <v>0</v>
      </c>
      <c r="Q312" s="141">
        <f t="shared" si="95"/>
        <v>0</v>
      </c>
      <c r="R312" s="141">
        <f t="shared" si="95"/>
        <v>0</v>
      </c>
      <c r="S312" s="141">
        <f t="shared" si="95"/>
        <v>0</v>
      </c>
      <c r="T312" s="141">
        <f t="shared" si="95"/>
        <v>0</v>
      </c>
      <c r="U312" s="141">
        <f t="shared" si="95"/>
        <v>0</v>
      </c>
      <c r="V312" s="141">
        <f t="shared" si="95"/>
        <v>0</v>
      </c>
      <c r="W312" s="141">
        <f t="shared" si="95"/>
        <v>0</v>
      </c>
      <c r="X312" s="141">
        <f t="shared" si="95"/>
        <v>0</v>
      </c>
      <c r="Y312" s="141">
        <f t="shared" si="95"/>
        <v>0</v>
      </c>
      <c r="Z312" s="141">
        <f t="shared" si="95"/>
        <v>0</v>
      </c>
      <c r="AA312" s="141">
        <f t="shared" si="95"/>
        <v>0</v>
      </c>
      <c r="AB312" s="141">
        <f t="shared" si="95"/>
        <v>0</v>
      </c>
      <c r="AC312" s="141">
        <f t="shared" si="95"/>
        <v>0</v>
      </c>
      <c r="AD312" s="141">
        <f t="shared" si="95"/>
        <v>0</v>
      </c>
      <c r="AE312" s="141">
        <f t="shared" si="95"/>
        <v>0</v>
      </c>
      <c r="AF312" s="142"/>
      <c r="AG312" s="142"/>
      <c r="AH312" s="142"/>
      <c r="AI312" s="142"/>
    </row>
    <row r="313" spans="1:35" customFormat="1" ht="14.25" x14ac:dyDescent="0.45">
      <c r="B313" s="14" t="s">
        <v>2602</v>
      </c>
      <c r="C313" s="14" t="s">
        <v>117</v>
      </c>
      <c r="D313" s="15" t="s">
        <v>2688</v>
      </c>
      <c r="E313" s="16" t="s">
        <v>2094</v>
      </c>
      <c r="F313" s="14" t="s">
        <v>2681</v>
      </c>
      <c r="G313" s="17"/>
      <c r="H313" s="129" t="str">
        <f>Settings!$B$3&amp;".mit.wp.frt.ure.np.2"</f>
        <v>egy.mit.wp.frt.ure.np.2</v>
      </c>
      <c r="K313" s="140"/>
      <c r="L313" s="141">
        <f t="shared" ref="L313:AE313" si="96">L$295*EXP(-L$277*L$239)</f>
        <v>0</v>
      </c>
      <c r="M313" s="141">
        <f t="shared" si="96"/>
        <v>0</v>
      </c>
      <c r="N313" s="141">
        <f t="shared" si="96"/>
        <v>0</v>
      </c>
      <c r="O313" s="141">
        <f t="shared" si="96"/>
        <v>0</v>
      </c>
      <c r="P313" s="141">
        <f t="shared" si="96"/>
        <v>0</v>
      </c>
      <c r="Q313" s="141">
        <f t="shared" si="96"/>
        <v>0</v>
      </c>
      <c r="R313" s="141">
        <f t="shared" si="96"/>
        <v>0</v>
      </c>
      <c r="S313" s="141">
        <f t="shared" si="96"/>
        <v>0</v>
      </c>
      <c r="T313" s="141">
        <f t="shared" si="96"/>
        <v>0</v>
      </c>
      <c r="U313" s="141">
        <f t="shared" si="96"/>
        <v>0</v>
      </c>
      <c r="V313" s="141">
        <f t="shared" si="96"/>
        <v>0</v>
      </c>
      <c r="W313" s="141">
        <f t="shared" si="96"/>
        <v>0</v>
      </c>
      <c r="X313" s="141">
        <f t="shared" si="96"/>
        <v>0</v>
      </c>
      <c r="Y313" s="141">
        <f t="shared" si="96"/>
        <v>0</v>
      </c>
      <c r="Z313" s="141">
        <f t="shared" si="96"/>
        <v>0</v>
      </c>
      <c r="AA313" s="141">
        <f t="shared" si="96"/>
        <v>0</v>
      </c>
      <c r="AB313" s="141">
        <f t="shared" si="96"/>
        <v>0</v>
      </c>
      <c r="AC313" s="141">
        <f t="shared" si="96"/>
        <v>0</v>
      </c>
      <c r="AD313" s="141">
        <f t="shared" si="96"/>
        <v>0</v>
      </c>
      <c r="AE313" s="141">
        <f t="shared" si="96"/>
        <v>0</v>
      </c>
      <c r="AF313" s="142"/>
      <c r="AG313" s="142"/>
      <c r="AH313" s="142"/>
      <c r="AI313" s="142"/>
    </row>
    <row r="314" spans="1:35" customFormat="1" ht="14.25" x14ac:dyDescent="0.45">
      <c r="B314" s="14" t="s">
        <v>2604</v>
      </c>
      <c r="C314" s="14" t="s">
        <v>117</v>
      </c>
      <c r="D314" s="15" t="s">
        <v>2689</v>
      </c>
      <c r="E314" s="16" t="s">
        <v>2094</v>
      </c>
      <c r="F314" s="14" t="s">
        <v>2681</v>
      </c>
      <c r="G314" s="17"/>
      <c r="H314" s="129" t="str">
        <f>Settings!$B$3&amp;".mit.wp.frt.nit.np.2"</f>
        <v>egy.mit.wp.frt.nit.np.2</v>
      </c>
      <c r="K314" s="140"/>
      <c r="L314" s="141">
        <f t="shared" ref="L314:AE314" si="97">L$296*EXP(-L$278*L$240)</f>
        <v>0</v>
      </c>
      <c r="M314" s="141">
        <f t="shared" si="97"/>
        <v>0</v>
      </c>
      <c r="N314" s="141">
        <f t="shared" si="97"/>
        <v>0</v>
      </c>
      <c r="O314" s="141">
        <f t="shared" si="97"/>
        <v>0</v>
      </c>
      <c r="P314" s="141">
        <f t="shared" si="97"/>
        <v>0</v>
      </c>
      <c r="Q314" s="141">
        <f t="shared" si="97"/>
        <v>0</v>
      </c>
      <c r="R314" s="141">
        <f t="shared" si="97"/>
        <v>0</v>
      </c>
      <c r="S314" s="141">
        <f t="shared" si="97"/>
        <v>0</v>
      </c>
      <c r="T314" s="141">
        <f t="shared" si="97"/>
        <v>0</v>
      </c>
      <c r="U314" s="141">
        <f t="shared" si="97"/>
        <v>0</v>
      </c>
      <c r="V314" s="141">
        <f t="shared" si="97"/>
        <v>0</v>
      </c>
      <c r="W314" s="141">
        <f t="shared" si="97"/>
        <v>0</v>
      </c>
      <c r="X314" s="141">
        <f t="shared" si="97"/>
        <v>0</v>
      </c>
      <c r="Y314" s="141">
        <f t="shared" si="97"/>
        <v>0</v>
      </c>
      <c r="Z314" s="141">
        <f t="shared" si="97"/>
        <v>0</v>
      </c>
      <c r="AA314" s="141">
        <f t="shared" si="97"/>
        <v>0</v>
      </c>
      <c r="AB314" s="141">
        <f t="shared" si="97"/>
        <v>0</v>
      </c>
      <c r="AC314" s="141">
        <f t="shared" si="97"/>
        <v>0</v>
      </c>
      <c r="AD314" s="141">
        <f t="shared" si="97"/>
        <v>0</v>
      </c>
      <c r="AE314" s="141">
        <f t="shared" si="97"/>
        <v>0</v>
      </c>
      <c r="AF314" s="142"/>
      <c r="AG314" s="142"/>
      <c r="AH314" s="142"/>
      <c r="AI314" s="142"/>
    </row>
    <row r="315" spans="1:35" customFormat="1" ht="14.25" x14ac:dyDescent="0.45">
      <c r="B315" s="14" t="s">
        <v>2606</v>
      </c>
      <c r="C315" s="14" t="s">
        <v>115</v>
      </c>
      <c r="D315" s="15" t="s">
        <v>2690</v>
      </c>
      <c r="E315" s="16" t="s">
        <v>2094</v>
      </c>
      <c r="F315" s="14" t="s">
        <v>2681</v>
      </c>
      <c r="G315" s="17"/>
      <c r="H315" s="129" t="str">
        <f>Settings!$B$3&amp;".mit.wp.alu.prp.np.2"</f>
        <v>egy.mit.wp.alu.prp.np.2</v>
      </c>
      <c r="K315" s="140"/>
      <c r="L315" s="141">
        <f t="shared" ref="L315:AE315" si="98">L$297*EXP(-L$279*L$241)</f>
        <v>0.40430358707126968</v>
      </c>
      <c r="M315" s="141">
        <f t="shared" si="98"/>
        <v>0.42654028436018954</v>
      </c>
      <c r="N315" s="141">
        <f t="shared" si="98"/>
        <v>0.45</v>
      </c>
      <c r="O315" s="141">
        <f t="shared" si="98"/>
        <v>0.47475000000000001</v>
      </c>
      <c r="P315" s="141">
        <f t="shared" si="98"/>
        <v>0.50086124999999992</v>
      </c>
      <c r="Q315" s="141">
        <f t="shared" si="98"/>
        <v>0.52840861874999989</v>
      </c>
      <c r="R315" s="141">
        <f t="shared" si="98"/>
        <v>0.55747109278124996</v>
      </c>
      <c r="S315" s="141">
        <f t="shared" si="98"/>
        <v>0.58813200288421852</v>
      </c>
      <c r="T315" s="141">
        <f t="shared" si="98"/>
        <v>0.62047926304285062</v>
      </c>
      <c r="U315" s="141">
        <f t="shared" si="98"/>
        <v>0.65460562251020737</v>
      </c>
      <c r="V315" s="141">
        <f t="shared" si="98"/>
        <v>0.69060893174826876</v>
      </c>
      <c r="W315" s="141">
        <f t="shared" si="98"/>
        <v>0.72859242299442351</v>
      </c>
      <c r="X315" s="141">
        <f t="shared" si="98"/>
        <v>0.76866500625911682</v>
      </c>
      <c r="Y315" s="141">
        <f t="shared" si="98"/>
        <v>0.81094158160336816</v>
      </c>
      <c r="Z315" s="141">
        <f t="shared" si="98"/>
        <v>0.85554336859155344</v>
      </c>
      <c r="AA315" s="141">
        <f t="shared" si="98"/>
        <v>0.90259825386408876</v>
      </c>
      <c r="AB315" s="141">
        <f t="shared" si="98"/>
        <v>0.95224115782661378</v>
      </c>
      <c r="AC315" s="141">
        <f t="shared" si="98"/>
        <v>1.0046144215070774</v>
      </c>
      <c r="AD315" s="141">
        <f t="shared" si="98"/>
        <v>1.0598682146899667</v>
      </c>
      <c r="AE315" s="141">
        <f t="shared" si="98"/>
        <v>1.1181609664979146</v>
      </c>
      <c r="AF315" s="142"/>
      <c r="AG315" s="142"/>
      <c r="AH315" s="142"/>
      <c r="AI315" s="142"/>
    </row>
    <row r="316" spans="1:35" customFormat="1" ht="14.25" x14ac:dyDescent="0.45">
      <c r="B316" s="14" t="s">
        <v>2608</v>
      </c>
      <c r="C316" s="14" t="s">
        <v>43</v>
      </c>
      <c r="D316" s="15" t="s">
        <v>2691</v>
      </c>
      <c r="E316" s="16" t="s">
        <v>2094</v>
      </c>
      <c r="F316" s="14" t="s">
        <v>2681</v>
      </c>
      <c r="G316" s="17"/>
      <c r="H316" s="129" t="str">
        <f>Settings!$B$3&amp;".mit.wp.stl.drg.no.2"</f>
        <v>egy.mit.wp.stl.drg.no.2</v>
      </c>
      <c r="K316" s="140"/>
      <c r="L316" s="141">
        <f t="shared" ref="L316:AE316" si="99">L$298*EXP(-L$280*L$242)</f>
        <v>0</v>
      </c>
      <c r="M316" s="141">
        <f t="shared" si="99"/>
        <v>0</v>
      </c>
      <c r="N316" s="141">
        <f t="shared" si="99"/>
        <v>0</v>
      </c>
      <c r="O316" s="141">
        <f t="shared" si="99"/>
        <v>0</v>
      </c>
      <c r="P316" s="141">
        <f t="shared" si="99"/>
        <v>0</v>
      </c>
      <c r="Q316" s="141">
        <f t="shared" si="99"/>
        <v>0</v>
      </c>
      <c r="R316" s="141">
        <f t="shared" si="99"/>
        <v>0</v>
      </c>
      <c r="S316" s="141">
        <f t="shared" si="99"/>
        <v>0</v>
      </c>
      <c r="T316" s="141">
        <f t="shared" si="99"/>
        <v>0</v>
      </c>
      <c r="U316" s="141">
        <f t="shared" si="99"/>
        <v>0</v>
      </c>
      <c r="V316" s="141">
        <f t="shared" si="99"/>
        <v>0</v>
      </c>
      <c r="W316" s="141">
        <f t="shared" si="99"/>
        <v>0</v>
      </c>
      <c r="X316" s="141">
        <f t="shared" si="99"/>
        <v>0</v>
      </c>
      <c r="Y316" s="141">
        <f t="shared" si="99"/>
        <v>0</v>
      </c>
      <c r="Z316" s="141">
        <f t="shared" si="99"/>
        <v>0</v>
      </c>
      <c r="AA316" s="141">
        <f t="shared" si="99"/>
        <v>0</v>
      </c>
      <c r="AB316" s="141">
        <f t="shared" si="99"/>
        <v>0</v>
      </c>
      <c r="AC316" s="141">
        <f t="shared" si="99"/>
        <v>0</v>
      </c>
      <c r="AD316" s="141">
        <f t="shared" si="99"/>
        <v>0</v>
      </c>
      <c r="AE316" s="141">
        <f t="shared" si="99"/>
        <v>0</v>
      </c>
      <c r="AF316" s="142"/>
      <c r="AG316" s="142"/>
      <c r="AH316" s="142"/>
      <c r="AI316" s="142"/>
    </row>
    <row r="317" spans="1:35" customFormat="1" ht="14.25" x14ac:dyDescent="0.45">
      <c r="B317" s="14" t="s">
        <v>2610</v>
      </c>
      <c r="C317" s="14" t="s">
        <v>43</v>
      </c>
      <c r="D317" s="15" t="s">
        <v>2692</v>
      </c>
      <c r="E317" s="16" t="s">
        <v>2094</v>
      </c>
      <c r="F317" s="14" t="s">
        <v>2681</v>
      </c>
      <c r="G317" s="17"/>
      <c r="H317" s="129" t="str">
        <f>Settings!$B$3&amp;".mit.wp.stl.scr.no.2"</f>
        <v>egy.mit.wp.stl.scr.no.2</v>
      </c>
      <c r="K317" s="140"/>
      <c r="L317" s="141">
        <f t="shared" ref="L317:AE317" si="100">L$299*EXP(-L$281*L$243)</f>
        <v>0</v>
      </c>
      <c r="M317" s="141">
        <f t="shared" si="100"/>
        <v>0</v>
      </c>
      <c r="N317" s="141">
        <f t="shared" si="100"/>
        <v>0</v>
      </c>
      <c r="O317" s="141">
        <f t="shared" si="100"/>
        <v>0</v>
      </c>
      <c r="P317" s="141">
        <f t="shared" si="100"/>
        <v>0</v>
      </c>
      <c r="Q317" s="141">
        <f t="shared" si="100"/>
        <v>0</v>
      </c>
      <c r="R317" s="141">
        <f t="shared" si="100"/>
        <v>0</v>
      </c>
      <c r="S317" s="141">
        <f t="shared" si="100"/>
        <v>0</v>
      </c>
      <c r="T317" s="141">
        <f t="shared" si="100"/>
        <v>0</v>
      </c>
      <c r="U317" s="141">
        <f t="shared" si="100"/>
        <v>0</v>
      </c>
      <c r="V317" s="141">
        <f t="shared" si="100"/>
        <v>0</v>
      </c>
      <c r="W317" s="141">
        <f t="shared" si="100"/>
        <v>0</v>
      </c>
      <c r="X317" s="141">
        <f t="shared" si="100"/>
        <v>0</v>
      </c>
      <c r="Y317" s="141">
        <f t="shared" si="100"/>
        <v>0</v>
      </c>
      <c r="Z317" s="141">
        <f t="shared" si="100"/>
        <v>0</v>
      </c>
      <c r="AA317" s="141">
        <f t="shared" si="100"/>
        <v>0</v>
      </c>
      <c r="AB317" s="141">
        <f t="shared" si="100"/>
        <v>0</v>
      </c>
      <c r="AC317" s="141">
        <f t="shared" si="100"/>
        <v>0</v>
      </c>
      <c r="AD317" s="141">
        <f t="shared" si="100"/>
        <v>0</v>
      </c>
      <c r="AE317" s="141">
        <f t="shared" si="100"/>
        <v>0</v>
      </c>
      <c r="AF317" s="142"/>
      <c r="AG317" s="142"/>
      <c r="AH317" s="142"/>
      <c r="AI317" s="142"/>
    </row>
    <row r="318" spans="1:35" customFormat="1" ht="14.25" x14ac:dyDescent="0.45">
      <c r="B318" s="14" t="s">
        <v>2612</v>
      </c>
      <c r="C318" s="14" t="s">
        <v>43</v>
      </c>
      <c r="D318" s="15" t="s">
        <v>2693</v>
      </c>
      <c r="E318" s="16" t="s">
        <v>2094</v>
      </c>
      <c r="F318" s="14" t="s">
        <v>2681</v>
      </c>
      <c r="G318" s="17"/>
      <c r="H318" s="129" t="str">
        <f>Settings!$B$3&amp;".mit.wp.stl.bof.no.2"</f>
        <v>egy.mit.wp.stl.bof.no.2</v>
      </c>
      <c r="K318" s="140"/>
      <c r="L318" s="141">
        <f t="shared" ref="L318:AE318" si="101">L$300*EXP(-L$282*L$244)</f>
        <v>0</v>
      </c>
      <c r="M318" s="141">
        <f t="shared" si="101"/>
        <v>0</v>
      </c>
      <c r="N318" s="141">
        <f t="shared" si="101"/>
        <v>0</v>
      </c>
      <c r="O318" s="141">
        <f t="shared" si="101"/>
        <v>0</v>
      </c>
      <c r="P318" s="141">
        <f t="shared" si="101"/>
        <v>0</v>
      </c>
      <c r="Q318" s="141">
        <f t="shared" si="101"/>
        <v>0</v>
      </c>
      <c r="R318" s="141">
        <f t="shared" si="101"/>
        <v>0</v>
      </c>
      <c r="S318" s="141">
        <f t="shared" si="101"/>
        <v>0</v>
      </c>
      <c r="T318" s="141">
        <f t="shared" si="101"/>
        <v>0</v>
      </c>
      <c r="U318" s="141">
        <f t="shared" si="101"/>
        <v>0</v>
      </c>
      <c r="V318" s="141">
        <f t="shared" si="101"/>
        <v>0</v>
      </c>
      <c r="W318" s="141">
        <f t="shared" si="101"/>
        <v>0</v>
      </c>
      <c r="X318" s="141">
        <f t="shared" si="101"/>
        <v>0</v>
      </c>
      <c r="Y318" s="141">
        <f t="shared" si="101"/>
        <v>0</v>
      </c>
      <c r="Z318" s="141">
        <f t="shared" si="101"/>
        <v>0</v>
      </c>
      <c r="AA318" s="141">
        <f t="shared" si="101"/>
        <v>0</v>
      </c>
      <c r="AB318" s="141">
        <f t="shared" si="101"/>
        <v>0</v>
      </c>
      <c r="AC318" s="141">
        <f t="shared" si="101"/>
        <v>0</v>
      </c>
      <c r="AD318" s="141">
        <f t="shared" si="101"/>
        <v>0</v>
      </c>
      <c r="AE318" s="141">
        <f t="shared" si="101"/>
        <v>0</v>
      </c>
      <c r="AF318" s="142"/>
      <c r="AG318" s="142"/>
      <c r="AH318" s="142"/>
      <c r="AI318" s="142"/>
    </row>
    <row r="319" spans="1:35" customFormat="1" ht="14.25" x14ac:dyDescent="0.45">
      <c r="B319" s="14" t="s">
        <v>2614</v>
      </c>
      <c r="C319" s="14" t="s">
        <v>113</v>
      </c>
      <c r="D319" s="15" t="s">
        <v>2694</v>
      </c>
      <c r="E319" s="16" t="s">
        <v>2094</v>
      </c>
      <c r="F319" s="14" t="s">
        <v>2681</v>
      </c>
      <c r="G319" s="17"/>
      <c r="H319" s="129" t="str">
        <f>Settings!$B$3&amp;".mit.wp.cmt.dry.no.2"</f>
        <v>egy.mit.wp.cmt.dry.no.2</v>
      </c>
      <c r="K319" s="140"/>
      <c r="L319" s="141">
        <f t="shared" ref="L319:AE319" si="102">L$301*EXP(-L$283*L$245)</f>
        <v>0</v>
      </c>
      <c r="M319" s="141">
        <f t="shared" si="102"/>
        <v>0</v>
      </c>
      <c r="N319" s="141">
        <f t="shared" si="102"/>
        <v>0</v>
      </c>
      <c r="O319" s="141">
        <f t="shared" si="102"/>
        <v>0</v>
      </c>
      <c r="P319" s="141">
        <f t="shared" si="102"/>
        <v>0</v>
      </c>
      <c r="Q319" s="141">
        <f t="shared" si="102"/>
        <v>0</v>
      </c>
      <c r="R319" s="141">
        <f t="shared" si="102"/>
        <v>0</v>
      </c>
      <c r="S319" s="141">
        <f t="shared" si="102"/>
        <v>0</v>
      </c>
      <c r="T319" s="141">
        <f t="shared" si="102"/>
        <v>0</v>
      </c>
      <c r="U319" s="141">
        <f t="shared" si="102"/>
        <v>0</v>
      </c>
      <c r="V319" s="141">
        <f t="shared" si="102"/>
        <v>0</v>
      </c>
      <c r="W319" s="141">
        <f t="shared" si="102"/>
        <v>0</v>
      </c>
      <c r="X319" s="141">
        <f t="shared" si="102"/>
        <v>0</v>
      </c>
      <c r="Y319" s="141">
        <f t="shared" si="102"/>
        <v>0</v>
      </c>
      <c r="Z319" s="141">
        <f t="shared" si="102"/>
        <v>0</v>
      </c>
      <c r="AA319" s="141">
        <f t="shared" si="102"/>
        <v>0</v>
      </c>
      <c r="AB319" s="141">
        <f t="shared" si="102"/>
        <v>0</v>
      </c>
      <c r="AC319" s="141">
        <f t="shared" si="102"/>
        <v>0</v>
      </c>
      <c r="AD319" s="141">
        <f t="shared" si="102"/>
        <v>0</v>
      </c>
      <c r="AE319" s="141">
        <f t="shared" si="102"/>
        <v>0</v>
      </c>
      <c r="AF319" s="142"/>
      <c r="AG319" s="142"/>
      <c r="AH319" s="142"/>
      <c r="AI319" s="142"/>
    </row>
    <row r="320" spans="1:35" customFormat="1" ht="14.25" x14ac:dyDescent="0.45">
      <c r="B320" s="14" t="s">
        <v>2616</v>
      </c>
      <c r="C320" s="14" t="s">
        <v>117</v>
      </c>
      <c r="D320" s="15" t="s">
        <v>2695</v>
      </c>
      <c r="E320" s="16" t="s">
        <v>2094</v>
      </c>
      <c r="F320" s="14" t="s">
        <v>2681</v>
      </c>
      <c r="G320" s="17"/>
      <c r="H320" s="129" t="str">
        <f>Settings!$B$3&amp;".mit.wp.frt.amc.no.2"</f>
        <v>egy.mit.wp.frt.amc.no.2</v>
      </c>
      <c r="K320" s="140"/>
      <c r="L320" s="141">
        <f t="shared" ref="L320:AE320" si="103">L$302*EXP(-L$284*L$246)</f>
        <v>0</v>
      </c>
      <c r="M320" s="141">
        <f t="shared" si="103"/>
        <v>0</v>
      </c>
      <c r="N320" s="141">
        <f t="shared" si="103"/>
        <v>0</v>
      </c>
      <c r="O320" s="141">
        <f t="shared" si="103"/>
        <v>0</v>
      </c>
      <c r="P320" s="141">
        <f t="shared" si="103"/>
        <v>0</v>
      </c>
      <c r="Q320" s="141">
        <f t="shared" si="103"/>
        <v>0</v>
      </c>
      <c r="R320" s="141">
        <f t="shared" si="103"/>
        <v>0</v>
      </c>
      <c r="S320" s="141">
        <f t="shared" si="103"/>
        <v>0</v>
      </c>
      <c r="T320" s="141">
        <f t="shared" si="103"/>
        <v>0</v>
      </c>
      <c r="U320" s="141">
        <f t="shared" si="103"/>
        <v>0</v>
      </c>
      <c r="V320" s="141">
        <f t="shared" si="103"/>
        <v>0</v>
      </c>
      <c r="W320" s="141">
        <f t="shared" si="103"/>
        <v>0</v>
      </c>
      <c r="X320" s="141">
        <f t="shared" si="103"/>
        <v>0</v>
      </c>
      <c r="Y320" s="141">
        <f t="shared" si="103"/>
        <v>0</v>
      </c>
      <c r="Z320" s="141">
        <f t="shared" si="103"/>
        <v>0</v>
      </c>
      <c r="AA320" s="141">
        <f t="shared" si="103"/>
        <v>0</v>
      </c>
      <c r="AB320" s="141">
        <f t="shared" si="103"/>
        <v>0</v>
      </c>
      <c r="AC320" s="141">
        <f t="shared" si="103"/>
        <v>0</v>
      </c>
      <c r="AD320" s="141">
        <f t="shared" si="103"/>
        <v>0</v>
      </c>
      <c r="AE320" s="141">
        <f t="shared" si="103"/>
        <v>0</v>
      </c>
      <c r="AF320" s="142"/>
      <c r="AG320" s="142"/>
      <c r="AH320" s="142"/>
      <c r="AI320" s="142"/>
    </row>
    <row r="321" spans="1:35" customFormat="1" ht="14.25" x14ac:dyDescent="0.45">
      <c r="B321" s="14" t="s">
        <v>2618</v>
      </c>
      <c r="C321" s="14" t="s">
        <v>117</v>
      </c>
      <c r="D321" s="15" t="s">
        <v>2696</v>
      </c>
      <c r="E321" s="16" t="s">
        <v>2094</v>
      </c>
      <c r="F321" s="14" t="s">
        <v>2681</v>
      </c>
      <c r="G321" s="17"/>
      <c r="H321" s="129" t="str">
        <f>Settings!$B$3&amp;".mit.wp.frt.ure.no.2"</f>
        <v>egy.mit.wp.frt.ure.no.2</v>
      </c>
      <c r="K321" s="140"/>
      <c r="L321" s="141">
        <f t="shared" ref="L321:AE321" si="104">L$303*EXP(-L$285*L$247)</f>
        <v>0</v>
      </c>
      <c r="M321" s="141">
        <f t="shared" si="104"/>
        <v>0</v>
      </c>
      <c r="N321" s="141">
        <f t="shared" si="104"/>
        <v>0</v>
      </c>
      <c r="O321" s="141">
        <f t="shared" si="104"/>
        <v>0</v>
      </c>
      <c r="P321" s="141">
        <f t="shared" si="104"/>
        <v>0</v>
      </c>
      <c r="Q321" s="141">
        <f t="shared" si="104"/>
        <v>0</v>
      </c>
      <c r="R321" s="141">
        <f t="shared" si="104"/>
        <v>0</v>
      </c>
      <c r="S321" s="141">
        <f t="shared" si="104"/>
        <v>0</v>
      </c>
      <c r="T321" s="141">
        <f t="shared" si="104"/>
        <v>0</v>
      </c>
      <c r="U321" s="141">
        <f t="shared" si="104"/>
        <v>0</v>
      </c>
      <c r="V321" s="141">
        <f t="shared" si="104"/>
        <v>0</v>
      </c>
      <c r="W321" s="141">
        <f t="shared" si="104"/>
        <v>0</v>
      </c>
      <c r="X321" s="141">
        <f t="shared" si="104"/>
        <v>0</v>
      </c>
      <c r="Y321" s="141">
        <f t="shared" si="104"/>
        <v>0</v>
      </c>
      <c r="Z321" s="141">
        <f t="shared" si="104"/>
        <v>0</v>
      </c>
      <c r="AA321" s="141">
        <f t="shared" si="104"/>
        <v>0</v>
      </c>
      <c r="AB321" s="141">
        <f t="shared" si="104"/>
        <v>0</v>
      </c>
      <c r="AC321" s="141">
        <f t="shared" si="104"/>
        <v>0</v>
      </c>
      <c r="AD321" s="141">
        <f t="shared" si="104"/>
        <v>0</v>
      </c>
      <c r="AE321" s="141">
        <f t="shared" si="104"/>
        <v>0</v>
      </c>
      <c r="AF321" s="142"/>
      <c r="AG321" s="142"/>
      <c r="AH321" s="142"/>
      <c r="AI321" s="142"/>
    </row>
    <row r="322" spans="1:35" customFormat="1" ht="14.25" x14ac:dyDescent="0.45">
      <c r="B322" s="14" t="s">
        <v>2620</v>
      </c>
      <c r="C322" s="14" t="s">
        <v>117</v>
      </c>
      <c r="D322" s="15" t="s">
        <v>2697</v>
      </c>
      <c r="E322" s="16" t="s">
        <v>2094</v>
      </c>
      <c r="F322" s="14" t="s">
        <v>2681</v>
      </c>
      <c r="G322" s="17"/>
      <c r="H322" s="129" t="str">
        <f>Settings!$B$3&amp;".mit.wp.frt.nit.no.2"</f>
        <v>egy.mit.wp.frt.nit.no.2</v>
      </c>
      <c r="K322" s="140"/>
      <c r="L322" s="141">
        <f t="shared" ref="L322:AE322" si="105">L$304*EXP(-L$286*L$248)</f>
        <v>0.55721293959505358</v>
      </c>
      <c r="M322" s="141">
        <f t="shared" si="105"/>
        <v>0.56947162426614473</v>
      </c>
      <c r="N322" s="141">
        <f t="shared" si="105"/>
        <v>0.58199999999999996</v>
      </c>
      <c r="O322" s="141">
        <f t="shared" si="105"/>
        <v>0.594804</v>
      </c>
      <c r="P322" s="141">
        <f t="shared" si="105"/>
        <v>0.60788968799999998</v>
      </c>
      <c r="Q322" s="141">
        <f t="shared" si="105"/>
        <v>0.62126326113599994</v>
      </c>
      <c r="R322" s="141">
        <f t="shared" si="105"/>
        <v>0.63493105288099194</v>
      </c>
      <c r="S322" s="141">
        <f t="shared" si="105"/>
        <v>0.64889953604437378</v>
      </c>
      <c r="T322" s="141">
        <f t="shared" si="105"/>
        <v>0.66317532583734995</v>
      </c>
      <c r="U322" s="141">
        <f t="shared" si="105"/>
        <v>0.67776518300577171</v>
      </c>
      <c r="V322" s="141">
        <f t="shared" si="105"/>
        <v>0.69267601703189885</v>
      </c>
      <c r="W322" s="141">
        <f t="shared" si="105"/>
        <v>0.70791488940660041</v>
      </c>
      <c r="X322" s="141">
        <f t="shared" si="105"/>
        <v>0.72348901697354573</v>
      </c>
      <c r="Y322" s="141">
        <f t="shared" si="105"/>
        <v>0.73940577534696372</v>
      </c>
      <c r="Z322" s="141">
        <f t="shared" si="105"/>
        <v>0.75567270240459705</v>
      </c>
      <c r="AA322" s="141">
        <f t="shared" si="105"/>
        <v>0.77229750185749824</v>
      </c>
      <c r="AB322" s="141">
        <f t="shared" si="105"/>
        <v>0.78928804689836307</v>
      </c>
      <c r="AC322" s="141">
        <f t="shared" si="105"/>
        <v>0.80665238393012706</v>
      </c>
      <c r="AD322" s="141">
        <f t="shared" si="105"/>
        <v>0.82439873637658989</v>
      </c>
      <c r="AE322" s="141">
        <f t="shared" si="105"/>
        <v>0.84253550857687487</v>
      </c>
      <c r="AF322" s="142"/>
      <c r="AG322" s="142"/>
      <c r="AH322" s="142"/>
      <c r="AI322" s="142"/>
    </row>
    <row r="323" spans="1:35" customFormat="1" ht="14.25" x14ac:dyDescent="0.45">
      <c r="B323" s="14" t="s">
        <v>2622</v>
      </c>
      <c r="C323" s="14" t="s">
        <v>115</v>
      </c>
      <c r="D323" s="15" t="s">
        <v>2698</v>
      </c>
      <c r="E323" s="16" t="s">
        <v>2094</v>
      </c>
      <c r="F323" s="14" t="s">
        <v>2681</v>
      </c>
      <c r="G323" s="17"/>
      <c r="H323" s="129" t="str">
        <f>Settings!$B$3&amp;".mit.wp.alu.prp.no.2"</f>
        <v>egy.mit.wp.alu.prp.no.2</v>
      </c>
      <c r="K323" s="140"/>
      <c r="L323" s="141">
        <f t="shared" ref="L323:AE323" si="106">L$305*EXP(-L$287*L$249)</f>
        <v>0.22910536600705286</v>
      </c>
      <c r="M323" s="141">
        <f t="shared" si="106"/>
        <v>0.24170616113744076</v>
      </c>
      <c r="N323" s="141">
        <f t="shared" si="106"/>
        <v>0.255</v>
      </c>
      <c r="O323" s="141">
        <f t="shared" si="106"/>
        <v>0.26902499999999996</v>
      </c>
      <c r="P323" s="141">
        <f t="shared" si="106"/>
        <v>0.28382137499999999</v>
      </c>
      <c r="Q323" s="141">
        <f t="shared" si="106"/>
        <v>0.29943155062499993</v>
      </c>
      <c r="R323" s="141">
        <f t="shared" si="106"/>
        <v>0.31590028590937497</v>
      </c>
      <c r="S323" s="141">
        <f t="shared" si="106"/>
        <v>0.33327480163439055</v>
      </c>
      <c r="T323" s="141">
        <f t="shared" si="106"/>
        <v>0.35160491572428204</v>
      </c>
      <c r="U323" s="141">
        <f t="shared" si="106"/>
        <v>0.37094318608911747</v>
      </c>
      <c r="V323" s="141">
        <f t="shared" si="106"/>
        <v>0.39134506132401897</v>
      </c>
      <c r="W323" s="141">
        <f t="shared" si="106"/>
        <v>0.41286903969683997</v>
      </c>
      <c r="X323" s="141">
        <f t="shared" si="106"/>
        <v>0.43557683688016618</v>
      </c>
      <c r="Y323" s="141">
        <f t="shared" si="106"/>
        <v>0.45953356290857528</v>
      </c>
      <c r="Z323" s="141">
        <f t="shared" si="106"/>
        <v>0.48480790886854697</v>
      </c>
      <c r="AA323" s="141">
        <f t="shared" si="106"/>
        <v>0.51147234385631701</v>
      </c>
      <c r="AB323" s="141">
        <f t="shared" si="106"/>
        <v>0.53960332276841438</v>
      </c>
      <c r="AC323" s="141">
        <f t="shared" si="106"/>
        <v>0.56928150552067713</v>
      </c>
      <c r="AD323" s="141">
        <f t="shared" si="106"/>
        <v>0.60059198832431437</v>
      </c>
      <c r="AE323" s="141">
        <f t="shared" si="106"/>
        <v>0.6336245476821516</v>
      </c>
      <c r="AF323" s="142"/>
      <c r="AG323" s="142"/>
      <c r="AH323" s="142"/>
      <c r="AI323" s="142"/>
    </row>
    <row r="324" spans="1:35" x14ac:dyDescent="0.35"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</row>
    <row r="325" spans="1:35" customFormat="1" ht="14.25" x14ac:dyDescent="0.45">
      <c r="A325" s="11"/>
      <c r="B325" s="6"/>
      <c r="C325" s="7" t="s">
        <v>2699</v>
      </c>
      <c r="D325" s="6" t="s">
        <v>1504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8">
        <v>2021</v>
      </c>
      <c r="L325" s="139">
        <v>2022</v>
      </c>
      <c r="M325" s="138">
        <v>2023</v>
      </c>
      <c r="N325" s="138">
        <v>2024</v>
      </c>
      <c r="O325" s="138">
        <v>2025</v>
      </c>
      <c r="P325" s="138">
        <v>2026</v>
      </c>
      <c r="Q325" s="138">
        <v>2027</v>
      </c>
      <c r="R325" s="138">
        <v>2028</v>
      </c>
      <c r="S325" s="138">
        <v>2029</v>
      </c>
      <c r="T325" s="138">
        <v>2030</v>
      </c>
      <c r="U325" s="138">
        <v>2031</v>
      </c>
      <c r="V325" s="138">
        <v>2032</v>
      </c>
      <c r="W325" s="138">
        <v>2033</v>
      </c>
      <c r="X325" s="138">
        <v>2034</v>
      </c>
      <c r="Y325" s="138">
        <v>2035</v>
      </c>
      <c r="Z325" s="138">
        <v>2036</v>
      </c>
      <c r="AA325" s="138">
        <v>2037</v>
      </c>
      <c r="AB325" s="138">
        <v>2038</v>
      </c>
      <c r="AC325" s="138">
        <v>2039</v>
      </c>
      <c r="AD325" s="138">
        <v>2040</v>
      </c>
      <c r="AE325" s="138">
        <v>2041</v>
      </c>
      <c r="AF325" s="138">
        <v>2042</v>
      </c>
      <c r="AG325" s="138">
        <v>2043</v>
      </c>
      <c r="AH325" s="138">
        <v>2044</v>
      </c>
      <c r="AI325" s="138">
        <v>2045</v>
      </c>
    </row>
    <row r="326" spans="1:35" customFormat="1" ht="14.25" x14ac:dyDescent="0.45">
      <c r="B326" s="14" t="s">
        <v>2700</v>
      </c>
      <c r="C326" s="14" t="s">
        <v>2701</v>
      </c>
      <c r="D326" s="15" t="s">
        <v>2702</v>
      </c>
      <c r="E326" s="16" t="s">
        <v>1870</v>
      </c>
      <c r="F326" s="14" t="s">
        <v>2700</v>
      </c>
      <c r="G326" s="17"/>
      <c r="H326" s="129" t="str">
        <f>Settings!$B$3&amp;".mit.revf0.cbam.tot.2"</f>
        <v>egy.mit.revf0.cbam.tot.2</v>
      </c>
      <c r="I326" t="s">
        <v>2703</v>
      </c>
      <c r="K326" s="140"/>
      <c r="L326" s="144">
        <f>SUMPRODUCT(L$252:L$259*Mitigation_Industry!$I$729:$I$736*L$224:L$231)</f>
        <v>0</v>
      </c>
      <c r="M326" s="144">
        <f>SUMPRODUCT(M$252:M$259*Mitigation_Industry!$I$729:$I$736*M$224:M$231)</f>
        <v>0</v>
      </c>
      <c r="N326" s="144">
        <f>SUMPRODUCT(N$252:N$259*Mitigation_Industry!$I$729:$I$736*N$224:N$231)</f>
        <v>0</v>
      </c>
      <c r="O326" s="144">
        <f>SUMPRODUCT(O$252:O$259*Mitigation_Industry!$I$729:$I$736*O$224:O$231)</f>
        <v>0</v>
      </c>
      <c r="P326" s="144">
        <f>SUMPRODUCT(P$252:P$259*Mitigation_Industry!$I$729:$I$736*P$224:P$231)</f>
        <v>0</v>
      </c>
      <c r="Q326" s="144">
        <f>SUMPRODUCT(Q$252:Q$259*Mitigation_Industry!$I$729:$I$736*Q$224:Q$231)</f>
        <v>308.12278080273347</v>
      </c>
      <c r="R326" s="144">
        <f>SUMPRODUCT(R$252:R$259*Mitigation_Industry!$I$729:$I$736*R$224:R$231)</f>
        <v>636.8417154974029</v>
      </c>
      <c r="S326" s="144">
        <f>SUMPRODUCT(S$252:S$259*Mitigation_Industry!$I$729:$I$736*S$224:S$231)</f>
        <v>987.22968333254357</v>
      </c>
      <c r="T326" s="144">
        <f>SUMPRODUCT(T$252:T$259*Mitigation_Industry!$I$729:$I$736*T$224:T$231)</f>
        <v>1360.4109852569791</v>
      </c>
      <c r="U326" s="144">
        <f>SUMPRODUCT(U$252:U$259*Mitigation_Industry!$I$729:$I$736*U$224:U$231)</f>
        <v>1757.5637282091595</v>
      </c>
      <c r="V326" s="144">
        <f>SUMPRODUCT(V$252:V$259*Mitigation_Industry!$I$729:$I$736*V$224:V$231)</f>
        <v>2179.9223186447475</v>
      </c>
      <c r="W326" s="144">
        <f>SUMPRODUCT(W$252:W$259*Mitigation_Industry!$I$729:$I$736*W$224:W$231)</f>
        <v>2628.7800702990671</v>
      </c>
      <c r="X326" s="144">
        <f>SUMPRODUCT(X$252:X$259*Mitigation_Industry!$I$729:$I$736*X$224:X$231)</f>
        <v>3105.4919314104172</v>
      </c>
      <c r="Y326" s="144">
        <f>SUMPRODUCT(Y$252:Y$259*Mitigation_Industry!$I$729:$I$736*Y$224:Y$231)</f>
        <v>3611.4773368702108</v>
      </c>
      <c r="Z326" s="144">
        <f>SUMPRODUCT(Z$252:Z$259*Mitigation_Industry!$I$729:$I$736*Z$224:Z$231)</f>
        <v>4148.2231910169703</v>
      </c>
      <c r="AA326" s="144">
        <f>SUMPRODUCT(AA$252:AA$259*Mitigation_Industry!$I$729:$I$736*AA$224:AA$231)</f>
        <v>4717.2869870538898</v>
      </c>
      <c r="AB326" s="144">
        <f>SUMPRODUCT(AB$252:AB$259*Mitigation_Industry!$I$729:$I$736*AB$224:AB$231)</f>
        <v>5320.3000693444365</v>
      </c>
      <c r="AC326" s="144">
        <f>SUMPRODUCT(AC$252:AC$259*Mitigation_Industry!$I$729:$I$736*AC$224:AC$231)</f>
        <v>5958.9710451280462</v>
      </c>
      <c r="AD326" s="144">
        <f>SUMPRODUCT(AD$252:AD$259*Mitigation_Industry!$I$729:$I$736*AD$224:AD$231)</f>
        <v>6635.0893524987559</v>
      </c>
      <c r="AE326" s="144">
        <f>SUMPRODUCT(AE$252:AE$259*Mitigation_Industry!$I$729:$I$736*AE$224:AE$231)</f>
        <v>7350.5289918043582</v>
      </c>
      <c r="AF326" s="142"/>
      <c r="AG326" s="142"/>
      <c r="AH326" s="142"/>
      <c r="AI326" s="142"/>
    </row>
    <row r="327" spans="1:35" customFormat="1" ht="14.25" x14ac:dyDescent="0.45">
      <c r="B327" s="14" t="s">
        <v>2704</v>
      </c>
      <c r="C327" s="14" t="s">
        <v>2701</v>
      </c>
      <c r="D327" s="15" t="s">
        <v>2705</v>
      </c>
      <c r="E327" s="16" t="s">
        <v>1870</v>
      </c>
      <c r="F327" s="14" t="s">
        <v>2704</v>
      </c>
      <c r="G327" s="17"/>
      <c r="H327" s="129" t="str">
        <f>Settings!$B$3&amp;".mit.revp0.cbam.tot.2"</f>
        <v>egy.mit.revp0.cbam.tot.2</v>
      </c>
      <c r="I327" t="s">
        <v>2706</v>
      </c>
      <c r="K327" s="140"/>
      <c r="L327" s="144">
        <f>SUMPRODUCT(Mitigation_Industry!L$740:L$747*Mitigation_Industry!$J$729:$J$736*L$234:L$241)-SUMPRODUCT((L$290:L$305-L$308:L$323)*L$234:L$249)</f>
        <v>0</v>
      </c>
      <c r="M327" s="144">
        <f>SUMPRODUCT(Mitigation_Industry!M$740:M$747*Mitigation_Industry!$J$729:$J$736*M$234:M$241)-SUMPRODUCT((M$290:M$305-M$308:M$323)*M$234:M$249)</f>
        <v>0</v>
      </c>
      <c r="N327" s="144">
        <f>SUMPRODUCT(Mitigation_Industry!N$740:N$747*Mitigation_Industry!$J$729:$J$736*N$234:N$241)-SUMPRODUCT((N$290:N$305-N$308:N$323)*N$234:N$249)</f>
        <v>0</v>
      </c>
      <c r="O327" s="144">
        <f>SUMPRODUCT(Mitigation_Industry!O$740:O$747*Mitigation_Industry!$J$729:$J$736*O$234:O$241)-SUMPRODUCT((O$290:O$305-O$308:O$323)*O$234:O$249)</f>
        <v>0</v>
      </c>
      <c r="P327" s="144">
        <f>SUMPRODUCT(Mitigation_Industry!P$740:P$747*Mitigation_Industry!$J$729:$J$736*P$234:P$241)-SUMPRODUCT((P$290:P$305-P$308:P$323)*P$234:P$249)</f>
        <v>0</v>
      </c>
      <c r="Q327" s="144">
        <f>SUMPRODUCT(Mitigation_Industry!Q$740:Q$747*Mitigation_Industry!$J$729:$J$736*Q$234:Q$241)-SUMPRODUCT((Q$290:Q$305-Q$308:Q$323)*Q$234:Q$249)</f>
        <v>0</v>
      </c>
      <c r="R327" s="144">
        <f>SUMPRODUCT(Mitigation_Industry!R$740:R$747*Mitigation_Industry!$J$729:$J$736*R$234:R$241)-SUMPRODUCT((R$290:R$305-R$308:R$323)*R$234:R$249)</f>
        <v>0</v>
      </c>
      <c r="S327" s="144">
        <f>SUMPRODUCT(Mitigation_Industry!S$740:S$747*Mitigation_Industry!$J$729:$J$736*S$234:S$241)-SUMPRODUCT((S$290:S$305-S$308:S$323)*S$234:S$249)</f>
        <v>0</v>
      </c>
      <c r="T327" s="144">
        <f>SUMPRODUCT(Mitigation_Industry!T$740:T$747*Mitigation_Industry!$J$729:$J$736*T$234:T$241)-SUMPRODUCT((T$290:T$305-T$308:T$323)*T$234:T$249)</f>
        <v>0</v>
      </c>
      <c r="U327" s="144">
        <f>SUMPRODUCT(Mitigation_Industry!U$740:U$747*Mitigation_Industry!$J$729:$J$736*U$234:U$241)-SUMPRODUCT((U$290:U$305-U$308:U$323)*U$234:U$249)</f>
        <v>0</v>
      </c>
      <c r="V327" s="144">
        <f>SUMPRODUCT(Mitigation_Industry!V$740:V$747*Mitigation_Industry!$J$729:$J$736*V$234:V$241)-SUMPRODUCT((V$290:V$305-V$308:V$323)*V$234:V$249)</f>
        <v>0</v>
      </c>
      <c r="W327" s="144">
        <f>SUMPRODUCT(Mitigation_Industry!W$740:W$747*Mitigation_Industry!$J$729:$J$736*W$234:W$241)-SUMPRODUCT((W$290:W$305-W$308:W$323)*W$234:W$249)</f>
        <v>0</v>
      </c>
      <c r="X327" s="144">
        <f>SUMPRODUCT(Mitigation_Industry!X$740:X$747*Mitigation_Industry!$J$729:$J$736*X$234:X$241)-SUMPRODUCT((X$290:X$305-X$308:X$323)*X$234:X$249)</f>
        <v>0</v>
      </c>
      <c r="Y327" s="144">
        <f>SUMPRODUCT(Mitigation_Industry!Y$740:Y$747*Mitigation_Industry!$J$729:$J$736*Y$234:Y$241)-SUMPRODUCT((Y$290:Y$305-Y$308:Y$323)*Y$234:Y$249)</f>
        <v>0</v>
      </c>
      <c r="Z327" s="144">
        <f>SUMPRODUCT(Mitigation_Industry!Z$740:Z$747*Mitigation_Industry!$J$729:$J$736*Z$234:Z$241)-SUMPRODUCT((Z$290:Z$305-Z$308:Z$323)*Z$234:Z$249)</f>
        <v>0</v>
      </c>
      <c r="AA327" s="144">
        <f>SUMPRODUCT(Mitigation_Industry!AA$740:AA$747*Mitigation_Industry!$J$729:$J$736*AA$234:AA$241)-SUMPRODUCT((AA$290:AA$305-AA$308:AA$323)*AA$234:AA$249)</f>
        <v>0</v>
      </c>
      <c r="AB327" s="144">
        <f>SUMPRODUCT(Mitigation_Industry!AB$740:AB$747*Mitigation_Industry!$J$729:$J$736*AB$234:AB$241)-SUMPRODUCT((AB$290:AB$305-AB$308:AB$323)*AB$234:AB$249)</f>
        <v>0</v>
      </c>
      <c r="AC327" s="144">
        <f>SUMPRODUCT(Mitigation_Industry!AC$740:AC$747*Mitigation_Industry!$J$729:$J$736*AC$234:AC$241)-SUMPRODUCT((AC$290:AC$305-AC$308:AC$323)*AC$234:AC$249)</f>
        <v>0</v>
      </c>
      <c r="AD327" s="144">
        <f>SUMPRODUCT(Mitigation_Industry!AD$740:AD$747*Mitigation_Industry!$J$729:$J$736*AD$234:AD$241)-SUMPRODUCT((AD$290:AD$305-AD$308:AD$323)*AD$234:AD$249)</f>
        <v>0</v>
      </c>
      <c r="AE327" s="144">
        <f>SUMPRODUCT(Mitigation_Industry!AE$740:AE$747*Mitigation_Industry!$J$729:$J$736*AE$234:AE$241)-SUMPRODUCT((AE$290:AE$305-AE$308:AE$323)*AE$234:AE$249)</f>
        <v>0</v>
      </c>
      <c r="AF327" s="142"/>
      <c r="AG327" s="142"/>
      <c r="AH327" s="142"/>
      <c r="AI327" s="142"/>
    </row>
    <row r="328" spans="1:35" customFormat="1" ht="14.25" x14ac:dyDescent="0.45">
      <c r="B328" s="14" t="s">
        <v>2707</v>
      </c>
      <c r="C328" s="14" t="s">
        <v>2701</v>
      </c>
      <c r="D328" s="15" t="s">
        <v>2708</v>
      </c>
      <c r="E328" s="16" t="s">
        <v>1870</v>
      </c>
      <c r="F328" s="14" t="s">
        <v>2707</v>
      </c>
      <c r="G328" s="17"/>
      <c r="H328" s="129" t="str">
        <f>Settings!$B$3&amp;".mit.rev0.cbam.tot.2"</f>
        <v>egy.mit.rev0.cbam.tot.2</v>
      </c>
      <c r="I328" t="s">
        <v>2709</v>
      </c>
      <c r="K328" s="140"/>
      <c r="L328" s="144">
        <f t="shared" ref="L328:AE328" si="107">L326+L327</f>
        <v>0</v>
      </c>
      <c r="M328" s="144">
        <f t="shared" si="107"/>
        <v>0</v>
      </c>
      <c r="N328" s="144">
        <f t="shared" si="107"/>
        <v>0</v>
      </c>
      <c r="O328" s="144">
        <f t="shared" si="107"/>
        <v>0</v>
      </c>
      <c r="P328" s="144">
        <f t="shared" si="107"/>
        <v>0</v>
      </c>
      <c r="Q328" s="144">
        <f t="shared" si="107"/>
        <v>308.12278080273347</v>
      </c>
      <c r="R328" s="144">
        <f t="shared" si="107"/>
        <v>636.8417154974029</v>
      </c>
      <c r="S328" s="144">
        <f t="shared" si="107"/>
        <v>987.22968333254357</v>
      </c>
      <c r="T328" s="144">
        <f t="shared" si="107"/>
        <v>1360.4109852569791</v>
      </c>
      <c r="U328" s="144">
        <f t="shared" si="107"/>
        <v>1757.5637282091595</v>
      </c>
      <c r="V328" s="144">
        <f t="shared" si="107"/>
        <v>2179.9223186447475</v>
      </c>
      <c r="W328" s="144">
        <f t="shared" si="107"/>
        <v>2628.7800702990671</v>
      </c>
      <c r="X328" s="144">
        <f t="shared" si="107"/>
        <v>3105.4919314104172</v>
      </c>
      <c r="Y328" s="144">
        <f t="shared" si="107"/>
        <v>3611.4773368702108</v>
      </c>
      <c r="Z328" s="144">
        <f t="shared" si="107"/>
        <v>4148.2231910169703</v>
      </c>
      <c r="AA328" s="144">
        <f t="shared" si="107"/>
        <v>4717.2869870538898</v>
      </c>
      <c r="AB328" s="144">
        <f t="shared" si="107"/>
        <v>5320.3000693444365</v>
      </c>
      <c r="AC328" s="144">
        <f t="shared" si="107"/>
        <v>5958.9710451280462</v>
      </c>
      <c r="AD328" s="144">
        <f t="shared" si="107"/>
        <v>6635.0893524987559</v>
      </c>
      <c r="AE328" s="144">
        <f t="shared" si="107"/>
        <v>7350.5289918043582</v>
      </c>
      <c r="AF328" s="142"/>
      <c r="AG328" s="142"/>
      <c r="AH328" s="142"/>
      <c r="AI328" s="142"/>
    </row>
    <row r="329" spans="1:35" customFormat="1" ht="14.25" x14ac:dyDescent="0.45">
      <c r="B329" s="14" t="s">
        <v>2699</v>
      </c>
      <c r="C329" s="14" t="s">
        <v>2701</v>
      </c>
      <c r="D329" s="15" t="s">
        <v>2710</v>
      </c>
      <c r="E329" s="16" t="s">
        <v>1870</v>
      </c>
      <c r="F329" s="14" t="s">
        <v>2699</v>
      </c>
      <c r="G329" s="17"/>
      <c r="H329" s="129" t="str">
        <f>Settings!$B$3&amp;".mit.fund.cbam.tot.2"</f>
        <v>egy.mit.fund.cbam.tot.2</v>
      </c>
      <c r="I329" t="s">
        <v>2892</v>
      </c>
      <c r="K329" s="140"/>
      <c r="L329" s="144">
        <f t="shared" ref="L329:AE329" si="108">L$218*L328</f>
        <v>0</v>
      </c>
      <c r="M329" s="144">
        <f t="shared" si="108"/>
        <v>0</v>
      </c>
      <c r="N329" s="144">
        <f t="shared" si="108"/>
        <v>0</v>
      </c>
      <c r="O329" s="144">
        <f t="shared" si="108"/>
        <v>0</v>
      </c>
      <c r="P329" s="144">
        <f t="shared" si="108"/>
        <v>0</v>
      </c>
      <c r="Q329" s="144">
        <f t="shared" si="108"/>
        <v>0</v>
      </c>
      <c r="R329" s="144">
        <f t="shared" si="108"/>
        <v>0</v>
      </c>
      <c r="S329" s="144">
        <f t="shared" si="108"/>
        <v>0</v>
      </c>
      <c r="T329" s="144">
        <f t="shared" si="108"/>
        <v>0</v>
      </c>
      <c r="U329" s="144">
        <f t="shared" si="108"/>
        <v>0</v>
      </c>
      <c r="V329" s="144">
        <f t="shared" si="108"/>
        <v>0</v>
      </c>
      <c r="W329" s="144">
        <f t="shared" si="108"/>
        <v>0</v>
      </c>
      <c r="X329" s="144">
        <f t="shared" si="108"/>
        <v>0</v>
      </c>
      <c r="Y329" s="144">
        <f t="shared" si="108"/>
        <v>0</v>
      </c>
      <c r="Z329" s="144">
        <f t="shared" si="108"/>
        <v>0</v>
      </c>
      <c r="AA329" s="144">
        <f t="shared" si="108"/>
        <v>0</v>
      </c>
      <c r="AB329" s="144">
        <f t="shared" si="108"/>
        <v>0</v>
      </c>
      <c r="AC329" s="144">
        <f t="shared" si="108"/>
        <v>0</v>
      </c>
      <c r="AD329" s="144">
        <f t="shared" si="108"/>
        <v>0</v>
      </c>
      <c r="AE329" s="144">
        <f t="shared" si="108"/>
        <v>0</v>
      </c>
      <c r="AF329" s="142"/>
      <c r="AG329" s="142"/>
      <c r="AH329" s="142"/>
      <c r="AI329" s="142"/>
    </row>
    <row r="330" spans="1:35" customFormat="1" ht="14.25" x14ac:dyDescent="0.45">
      <c r="B330" s="14" t="s">
        <v>2712</v>
      </c>
      <c r="C330" s="14" t="s">
        <v>2701</v>
      </c>
      <c r="D330" s="15" t="s">
        <v>2713</v>
      </c>
      <c r="E330" s="16" t="s">
        <v>2094</v>
      </c>
      <c r="F330" s="14" t="s">
        <v>2712</v>
      </c>
      <c r="G330" s="17"/>
      <c r="H330" s="129" t="str">
        <f>Settings!$B$3&amp;".mit.emrp0.cbam.tot.2"</f>
        <v>egy.mit.emrp0.cbam.tot.2</v>
      </c>
      <c r="I330" t="s">
        <v>2714</v>
      </c>
      <c r="K330" s="140"/>
      <c r="L330" s="141">
        <f t="shared" ref="L330:AE330" si="109">SUM(L$308:L$323)-SUM(L$290:L$305)</f>
        <v>0</v>
      </c>
      <c r="M330" s="141">
        <f t="shared" si="109"/>
        <v>0</v>
      </c>
      <c r="N330" s="141">
        <f t="shared" si="109"/>
        <v>0</v>
      </c>
      <c r="O330" s="141">
        <f t="shared" si="109"/>
        <v>0</v>
      </c>
      <c r="P330" s="141">
        <f t="shared" si="109"/>
        <v>0</v>
      </c>
      <c r="Q330" s="141">
        <f t="shared" si="109"/>
        <v>0</v>
      </c>
      <c r="R330" s="141">
        <f t="shared" si="109"/>
        <v>0</v>
      </c>
      <c r="S330" s="141">
        <f t="shared" si="109"/>
        <v>0</v>
      </c>
      <c r="T330" s="141">
        <f t="shared" si="109"/>
        <v>0</v>
      </c>
      <c r="U330" s="141">
        <f t="shared" si="109"/>
        <v>0</v>
      </c>
      <c r="V330" s="141">
        <f t="shared" si="109"/>
        <v>0</v>
      </c>
      <c r="W330" s="141">
        <f t="shared" si="109"/>
        <v>0</v>
      </c>
      <c r="X330" s="141">
        <f t="shared" si="109"/>
        <v>0</v>
      </c>
      <c r="Y330" s="141">
        <f t="shared" si="109"/>
        <v>0</v>
      </c>
      <c r="Z330" s="141">
        <f t="shared" si="109"/>
        <v>0</v>
      </c>
      <c r="AA330" s="141">
        <f t="shared" si="109"/>
        <v>0</v>
      </c>
      <c r="AB330" s="141">
        <f t="shared" si="109"/>
        <v>0</v>
      </c>
      <c r="AC330" s="141">
        <f t="shared" si="109"/>
        <v>0</v>
      </c>
      <c r="AD330" s="141">
        <f t="shared" si="109"/>
        <v>0</v>
      </c>
      <c r="AE330" s="141">
        <f t="shared" si="109"/>
        <v>0</v>
      </c>
      <c r="AF330" s="142"/>
      <c r="AG330" s="142"/>
      <c r="AH330" s="142"/>
      <c r="AI330" s="142"/>
    </row>
    <row r="331" spans="1:35" customFormat="1" ht="14.25" x14ac:dyDescent="0.45">
      <c r="B331" s="14" t="s">
        <v>2715</v>
      </c>
      <c r="C331" s="14" t="s">
        <v>2701</v>
      </c>
      <c r="D331" s="15" t="s">
        <v>2716</v>
      </c>
      <c r="E331" s="16" t="s">
        <v>2717</v>
      </c>
      <c r="F331" s="14" t="s">
        <v>2715</v>
      </c>
      <c r="G331" s="17"/>
      <c r="H331" s="17"/>
      <c r="I331" t="s">
        <v>2718</v>
      </c>
      <c r="K331" s="140"/>
      <c r="L331" s="143">
        <f t="shared" ref="L331:AE331" si="110">SUMPRODUCT(L$252:L$259*L$262:L$269)+SUMPRODUCT(L$308:L$323*L$272:L$287)</f>
        <v>4.8919844650860363E-2</v>
      </c>
      <c r="M331" s="143">
        <f t="shared" si="110"/>
        <v>5.0446843608728087E-2</v>
      </c>
      <c r="N331" s="143">
        <f t="shared" si="110"/>
        <v>5.2023624986834216E-2</v>
      </c>
      <c r="O331" s="143">
        <f t="shared" si="110"/>
        <v>5.3651880499345689E-2</v>
      </c>
      <c r="P331" s="143">
        <f t="shared" si="110"/>
        <v>5.5333361750469823E-2</v>
      </c>
      <c r="Q331" s="143">
        <f t="shared" si="110"/>
        <v>5.7069882445290862E-2</v>
      </c>
      <c r="R331" s="143">
        <f t="shared" si="110"/>
        <v>5.8863320685853884E-2</v>
      </c>
      <c r="S331" s="143">
        <f t="shared" si="110"/>
        <v>6.0715621355934127E-2</v>
      </c>
      <c r="T331" s="143">
        <f t="shared" si="110"/>
        <v>6.2628798598075769E-2</v>
      </c>
      <c r="U331" s="143">
        <f t="shared" si="110"/>
        <v>6.4604938386634822E-2</v>
      </c>
      <c r="V331" s="143">
        <f t="shared" si="110"/>
        <v>6.6646201200719735E-2</v>
      </c>
      <c r="W331" s="143">
        <f t="shared" si="110"/>
        <v>6.8754824801087966E-2</v>
      </c>
      <c r="X331" s="143">
        <f t="shared" si="110"/>
        <v>7.093312711522945E-2</v>
      </c>
      <c r="Y331" s="143">
        <f t="shared" si="110"/>
        <v>7.3183509235048405E-2</v>
      </c>
      <c r="Z331" s="143">
        <f t="shared" si="110"/>
        <v>7.5508458531742262E-2</v>
      </c>
      <c r="AA331" s="143">
        <f t="shared" si="110"/>
        <v>7.7910551892674013E-2</v>
      </c>
      <c r="AB331" s="143">
        <f t="shared" si="110"/>
        <v>8.039245908523901E-2</v>
      </c>
      <c r="AC331" s="143">
        <f t="shared" si="110"/>
        <v>8.2956946252941699E-2</v>
      </c>
      <c r="AD331" s="143">
        <f t="shared" si="110"/>
        <v>8.5606879549122245E-2</v>
      </c>
      <c r="AE331" s="143">
        <f t="shared" si="110"/>
        <v>8.8345228914006813E-2</v>
      </c>
      <c r="AF331" s="142"/>
      <c r="AG331" s="142"/>
      <c r="AH331" s="142"/>
      <c r="AI331" s="142"/>
    </row>
    <row r="332" spans="1:35" customFormat="1" ht="14.25" x14ac:dyDescent="0.45">
      <c r="B332" s="14" t="s">
        <v>2719</v>
      </c>
      <c r="C332" s="14" t="s">
        <v>2701</v>
      </c>
      <c r="D332" s="15" t="s">
        <v>2720</v>
      </c>
      <c r="E332" s="16" t="s">
        <v>1414</v>
      </c>
      <c r="F332" s="14" t="s">
        <v>2719</v>
      </c>
      <c r="G332" s="17"/>
      <c r="H332" s="17"/>
      <c r="K332" s="140"/>
      <c r="L332" s="141">
        <f t="shared" ref="L332:AE332" si="111">IF(OR(L$329&lt;=0,L$331&lt;=0),0,MIN($F$5,SQRT(L$329/L$331*IF($F$4="COST",2,1))))</f>
        <v>0</v>
      </c>
      <c r="M332" s="141">
        <f t="shared" si="111"/>
        <v>0</v>
      </c>
      <c r="N332" s="141">
        <f t="shared" si="111"/>
        <v>0</v>
      </c>
      <c r="O332" s="141">
        <f t="shared" si="111"/>
        <v>0</v>
      </c>
      <c r="P332" s="141">
        <f t="shared" si="111"/>
        <v>0</v>
      </c>
      <c r="Q332" s="141">
        <f t="shared" si="111"/>
        <v>0</v>
      </c>
      <c r="R332" s="141">
        <f t="shared" si="111"/>
        <v>0</v>
      </c>
      <c r="S332" s="141">
        <f t="shared" si="111"/>
        <v>0</v>
      </c>
      <c r="T332" s="141">
        <f t="shared" si="111"/>
        <v>0</v>
      </c>
      <c r="U332" s="141">
        <f t="shared" si="111"/>
        <v>0</v>
      </c>
      <c r="V332" s="141">
        <f t="shared" si="111"/>
        <v>0</v>
      </c>
      <c r="W332" s="141">
        <f t="shared" si="111"/>
        <v>0</v>
      </c>
      <c r="X332" s="141">
        <f t="shared" si="111"/>
        <v>0</v>
      </c>
      <c r="Y332" s="141">
        <f t="shared" si="111"/>
        <v>0</v>
      </c>
      <c r="Z332" s="141">
        <f t="shared" si="111"/>
        <v>0</v>
      </c>
      <c r="AA332" s="141">
        <f t="shared" si="111"/>
        <v>0</v>
      </c>
      <c r="AB332" s="141">
        <f t="shared" si="111"/>
        <v>0</v>
      </c>
      <c r="AC332" s="141">
        <f t="shared" si="111"/>
        <v>0</v>
      </c>
      <c r="AD332" s="141">
        <f t="shared" si="111"/>
        <v>0</v>
      </c>
      <c r="AE332" s="141">
        <f t="shared" si="111"/>
        <v>0</v>
      </c>
      <c r="AF332" s="142"/>
      <c r="AG332" s="142"/>
      <c r="AH332" s="142"/>
      <c r="AI332" s="142"/>
    </row>
    <row r="333" spans="1:35" x14ac:dyDescent="0.35"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</row>
    <row r="334" spans="1:35" customFormat="1" ht="14.25" x14ac:dyDescent="0.45">
      <c r="A334" s="11"/>
      <c r="B334" s="6"/>
      <c r="C334" s="7" t="s">
        <v>2721</v>
      </c>
      <c r="D334" s="6" t="s">
        <v>1504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2722</v>
      </c>
      <c r="J334" s="48">
        <v>2</v>
      </c>
      <c r="K334" s="138">
        <v>2021</v>
      </c>
      <c r="L334" s="139">
        <v>2022</v>
      </c>
      <c r="M334" s="138">
        <v>2023</v>
      </c>
      <c r="N334" s="138">
        <v>2024</v>
      </c>
      <c r="O334" s="138">
        <v>2025</v>
      </c>
      <c r="P334" s="138">
        <v>2026</v>
      </c>
      <c r="Q334" s="138">
        <v>2027</v>
      </c>
      <c r="R334" s="138">
        <v>2028</v>
      </c>
      <c r="S334" s="138">
        <v>2029</v>
      </c>
      <c r="T334" s="138">
        <v>2030</v>
      </c>
      <c r="U334" s="138">
        <v>2031</v>
      </c>
      <c r="V334" s="138">
        <v>2032</v>
      </c>
      <c r="W334" s="138">
        <v>2033</v>
      </c>
      <c r="X334" s="138">
        <v>2034</v>
      </c>
      <c r="Y334" s="138">
        <v>2035</v>
      </c>
      <c r="Z334" s="138">
        <v>2036</v>
      </c>
      <c r="AA334" s="138">
        <v>2037</v>
      </c>
      <c r="AB334" s="138">
        <v>2038</v>
      </c>
      <c r="AC334" s="138">
        <v>2039</v>
      </c>
      <c r="AD334" s="138">
        <v>2040</v>
      </c>
      <c r="AE334" s="138">
        <v>2041</v>
      </c>
      <c r="AF334" s="138">
        <v>2042</v>
      </c>
      <c r="AG334" s="138">
        <v>2043</v>
      </c>
      <c r="AH334" s="138">
        <v>2044</v>
      </c>
      <c r="AI334" s="138">
        <v>2045</v>
      </c>
    </row>
    <row r="335" spans="1:35" customFormat="1" ht="14.25" x14ac:dyDescent="0.45">
      <c r="B335" s="14" t="s">
        <v>2723</v>
      </c>
      <c r="C335" s="14" t="s">
        <v>2701</v>
      </c>
      <c r="D335" s="15" t="s">
        <v>2724</v>
      </c>
      <c r="E335" s="16" t="s">
        <v>2094</v>
      </c>
      <c r="F335" s="14" t="s">
        <v>2725</v>
      </c>
      <c r="G335" s="17"/>
      <c r="H335" s="17"/>
      <c r="K335" s="140"/>
      <c r="L335" s="143">
        <f t="shared" ref="L335:AE335" si="112">SUMPRODUCT(L$252:L$259*(1-EXP(-L$262:L$269*L$332)))+SUMPRODUCT(L$308:L$323*(1-EXP(-L$272:L$287*L$332)))</f>
        <v>0</v>
      </c>
      <c r="M335" s="143">
        <f t="shared" si="112"/>
        <v>0</v>
      </c>
      <c r="N335" s="143">
        <f t="shared" si="112"/>
        <v>0</v>
      </c>
      <c r="O335" s="143">
        <f t="shared" si="112"/>
        <v>0</v>
      </c>
      <c r="P335" s="143">
        <f t="shared" si="112"/>
        <v>0</v>
      </c>
      <c r="Q335" s="143">
        <f t="shared" si="112"/>
        <v>0</v>
      </c>
      <c r="R335" s="143">
        <f t="shared" si="112"/>
        <v>0</v>
      </c>
      <c r="S335" s="143">
        <f t="shared" si="112"/>
        <v>0</v>
      </c>
      <c r="T335" s="143">
        <f t="shared" si="112"/>
        <v>0</v>
      </c>
      <c r="U335" s="143">
        <f t="shared" si="112"/>
        <v>0</v>
      </c>
      <c r="V335" s="143">
        <f t="shared" si="112"/>
        <v>0</v>
      </c>
      <c r="W335" s="143">
        <f t="shared" si="112"/>
        <v>0</v>
      </c>
      <c r="X335" s="143">
        <f t="shared" si="112"/>
        <v>0</v>
      </c>
      <c r="Y335" s="143">
        <f t="shared" si="112"/>
        <v>0</v>
      </c>
      <c r="Z335" s="143">
        <f t="shared" si="112"/>
        <v>0</v>
      </c>
      <c r="AA335" s="143">
        <f t="shared" si="112"/>
        <v>0</v>
      </c>
      <c r="AB335" s="143">
        <f t="shared" si="112"/>
        <v>0</v>
      </c>
      <c r="AC335" s="143">
        <f t="shared" si="112"/>
        <v>0</v>
      </c>
      <c r="AD335" s="143">
        <f t="shared" si="112"/>
        <v>0</v>
      </c>
      <c r="AE335" s="143">
        <f t="shared" si="112"/>
        <v>0</v>
      </c>
      <c r="AF335" s="142"/>
      <c r="AG335" s="142"/>
      <c r="AH335" s="142"/>
      <c r="AI335" s="142"/>
    </row>
    <row r="336" spans="1:35" customFormat="1" ht="14.25" x14ac:dyDescent="0.45">
      <c r="B336" s="14" t="s">
        <v>2726</v>
      </c>
      <c r="C336" s="14" t="s">
        <v>2701</v>
      </c>
      <c r="D336" s="15" t="s">
        <v>2727</v>
      </c>
      <c r="E336" s="16" t="s">
        <v>1870</v>
      </c>
      <c r="F336" s="14" t="s">
        <v>2728</v>
      </c>
      <c r="G336" s="17"/>
      <c r="H336" s="17"/>
      <c r="K336" s="140"/>
      <c r="L336" s="141">
        <f t="shared" ref="L336:AE336" si="113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41">
        <f t="shared" si="113"/>
        <v>0</v>
      </c>
      <c r="N336" s="141">
        <f t="shared" si="113"/>
        <v>0</v>
      </c>
      <c r="O336" s="141">
        <f t="shared" si="113"/>
        <v>0</v>
      </c>
      <c r="P336" s="141">
        <f t="shared" si="113"/>
        <v>0</v>
      </c>
      <c r="Q336" s="141">
        <f t="shared" si="113"/>
        <v>0</v>
      </c>
      <c r="R336" s="141">
        <f t="shared" si="113"/>
        <v>0</v>
      </c>
      <c r="S336" s="141">
        <f t="shared" si="113"/>
        <v>0</v>
      </c>
      <c r="T336" s="141">
        <f t="shared" si="113"/>
        <v>0</v>
      </c>
      <c r="U336" s="141">
        <f t="shared" si="113"/>
        <v>0</v>
      </c>
      <c r="V336" s="141">
        <f t="shared" si="113"/>
        <v>0</v>
      </c>
      <c r="W336" s="141">
        <f t="shared" si="113"/>
        <v>0</v>
      </c>
      <c r="X336" s="141">
        <f t="shared" si="113"/>
        <v>0</v>
      </c>
      <c r="Y336" s="141">
        <f t="shared" si="113"/>
        <v>0</v>
      </c>
      <c r="Z336" s="141">
        <f t="shared" si="113"/>
        <v>0</v>
      </c>
      <c r="AA336" s="141">
        <f t="shared" si="113"/>
        <v>0</v>
      </c>
      <c r="AB336" s="141">
        <f t="shared" si="113"/>
        <v>0</v>
      </c>
      <c r="AC336" s="141">
        <f t="shared" si="113"/>
        <v>0</v>
      </c>
      <c r="AD336" s="141">
        <f t="shared" si="113"/>
        <v>0</v>
      </c>
      <c r="AE336" s="141">
        <f t="shared" si="113"/>
        <v>0</v>
      </c>
      <c r="AF336" s="142"/>
      <c r="AG336" s="142"/>
      <c r="AH336" s="142"/>
      <c r="AI336" s="142"/>
    </row>
    <row r="337" spans="2:35" customFormat="1" ht="14.25" x14ac:dyDescent="0.45">
      <c r="B337" s="14" t="s">
        <v>2729</v>
      </c>
      <c r="C337" s="14" t="s">
        <v>2701</v>
      </c>
      <c r="D337" s="15" t="s">
        <v>2730</v>
      </c>
      <c r="E337" s="16" t="s">
        <v>2731</v>
      </c>
      <c r="F337" s="14" t="s">
        <v>2732</v>
      </c>
      <c r="G337" s="17"/>
      <c r="H337" s="17"/>
      <c r="K337" s="140"/>
      <c r="L337" s="143">
        <f t="shared" ref="L337:AE337" si="114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43">
        <f t="shared" si="114"/>
        <v>0</v>
      </c>
      <c r="N337" s="143">
        <f t="shared" si="114"/>
        <v>0</v>
      </c>
      <c r="O337" s="143">
        <f t="shared" si="114"/>
        <v>0</v>
      </c>
      <c r="P337" s="143">
        <f t="shared" si="114"/>
        <v>0</v>
      </c>
      <c r="Q337" s="143">
        <f t="shared" si="114"/>
        <v>0</v>
      </c>
      <c r="R337" s="143">
        <f t="shared" si="114"/>
        <v>0</v>
      </c>
      <c r="S337" s="143">
        <f t="shared" si="114"/>
        <v>0</v>
      </c>
      <c r="T337" s="143">
        <f t="shared" si="114"/>
        <v>0</v>
      </c>
      <c r="U337" s="143">
        <f t="shared" si="114"/>
        <v>0</v>
      </c>
      <c r="V337" s="143">
        <f t="shared" si="114"/>
        <v>0</v>
      </c>
      <c r="W337" s="143">
        <f t="shared" si="114"/>
        <v>0</v>
      </c>
      <c r="X337" s="143">
        <f t="shared" si="114"/>
        <v>0</v>
      </c>
      <c r="Y337" s="143">
        <f t="shared" si="114"/>
        <v>0</v>
      </c>
      <c r="Z337" s="143">
        <f t="shared" si="114"/>
        <v>0</v>
      </c>
      <c r="AA337" s="143">
        <f t="shared" si="114"/>
        <v>0</v>
      </c>
      <c r="AB337" s="143">
        <f t="shared" si="114"/>
        <v>0</v>
      </c>
      <c r="AC337" s="143">
        <f t="shared" si="114"/>
        <v>0</v>
      </c>
      <c r="AD337" s="143">
        <f t="shared" si="114"/>
        <v>0</v>
      </c>
      <c r="AE337" s="143">
        <f t="shared" si="114"/>
        <v>0</v>
      </c>
      <c r="AF337" s="142"/>
      <c r="AG337" s="142"/>
      <c r="AH337" s="142"/>
      <c r="AI337" s="142"/>
    </row>
    <row r="338" spans="2:35" customFormat="1" ht="14.25" x14ac:dyDescent="0.45">
      <c r="B338" s="14" t="s">
        <v>2733</v>
      </c>
      <c r="C338" s="14" t="s">
        <v>2701</v>
      </c>
      <c r="D338" s="15" t="s">
        <v>2734</v>
      </c>
      <c r="E338" s="16" t="s">
        <v>1414</v>
      </c>
      <c r="F338" s="14" t="s">
        <v>2735</v>
      </c>
      <c r="G338" s="17"/>
      <c r="H338" s="17"/>
      <c r="K338" s="140"/>
      <c r="L338" s="141">
        <f t="shared" ref="L338:AE338" si="115">IF(L$329&lt;=0,0,IF(L$337&lt;=0,L$332,MIN($F$5,IF(L$332-(L$336-L$329)/L$337&lt;=0,L$332/2,L$332-(L$336-L$329)/L$337))))</f>
        <v>0</v>
      </c>
      <c r="M338" s="141">
        <f t="shared" si="115"/>
        <v>0</v>
      </c>
      <c r="N338" s="141">
        <f t="shared" si="115"/>
        <v>0</v>
      </c>
      <c r="O338" s="141">
        <f t="shared" si="115"/>
        <v>0</v>
      </c>
      <c r="P338" s="141">
        <f t="shared" si="115"/>
        <v>0</v>
      </c>
      <c r="Q338" s="141">
        <f t="shared" si="115"/>
        <v>0</v>
      </c>
      <c r="R338" s="141">
        <f t="shared" si="115"/>
        <v>0</v>
      </c>
      <c r="S338" s="141">
        <f t="shared" si="115"/>
        <v>0</v>
      </c>
      <c r="T338" s="141">
        <f t="shared" si="115"/>
        <v>0</v>
      </c>
      <c r="U338" s="141">
        <f t="shared" si="115"/>
        <v>0</v>
      </c>
      <c r="V338" s="141">
        <f t="shared" si="115"/>
        <v>0</v>
      </c>
      <c r="W338" s="141">
        <f t="shared" si="115"/>
        <v>0</v>
      </c>
      <c r="X338" s="141">
        <f t="shared" si="115"/>
        <v>0</v>
      </c>
      <c r="Y338" s="141">
        <f t="shared" si="115"/>
        <v>0</v>
      </c>
      <c r="Z338" s="141">
        <f t="shared" si="115"/>
        <v>0</v>
      </c>
      <c r="AA338" s="141">
        <f t="shared" si="115"/>
        <v>0</v>
      </c>
      <c r="AB338" s="141">
        <f t="shared" si="115"/>
        <v>0</v>
      </c>
      <c r="AC338" s="141">
        <f t="shared" si="115"/>
        <v>0</v>
      </c>
      <c r="AD338" s="141">
        <f t="shared" si="115"/>
        <v>0</v>
      </c>
      <c r="AE338" s="141">
        <f t="shared" si="115"/>
        <v>0</v>
      </c>
      <c r="AF338" s="142"/>
      <c r="AG338" s="142"/>
      <c r="AH338" s="142"/>
      <c r="AI338" s="142"/>
    </row>
    <row r="339" spans="2:35" customFormat="1" ht="14.25" x14ac:dyDescent="0.45">
      <c r="B339" s="14" t="s">
        <v>2736</v>
      </c>
      <c r="C339" s="14" t="s">
        <v>2701</v>
      </c>
      <c r="D339" s="15" t="s">
        <v>2737</v>
      </c>
      <c r="E339" s="16" t="s">
        <v>2094</v>
      </c>
      <c r="F339" s="14" t="s">
        <v>2725</v>
      </c>
      <c r="G339" s="17"/>
      <c r="H339" s="17"/>
      <c r="K339" s="140"/>
      <c r="L339" s="143">
        <f t="shared" ref="L339:AE339" si="116">SUMPRODUCT(L$252:L$259*(1-EXP(-L$262:L$269*L$338)))+SUMPRODUCT(L$308:L$323*(1-EXP(-L$272:L$287*L$338)))</f>
        <v>0</v>
      </c>
      <c r="M339" s="143">
        <f t="shared" si="116"/>
        <v>0</v>
      </c>
      <c r="N339" s="143">
        <f t="shared" si="116"/>
        <v>0</v>
      </c>
      <c r="O339" s="143">
        <f t="shared" si="116"/>
        <v>0</v>
      </c>
      <c r="P339" s="143">
        <f t="shared" si="116"/>
        <v>0</v>
      </c>
      <c r="Q339" s="143">
        <f t="shared" si="116"/>
        <v>0</v>
      </c>
      <c r="R339" s="143">
        <f t="shared" si="116"/>
        <v>0</v>
      </c>
      <c r="S339" s="143">
        <f t="shared" si="116"/>
        <v>0</v>
      </c>
      <c r="T339" s="143">
        <f t="shared" si="116"/>
        <v>0</v>
      </c>
      <c r="U339" s="143">
        <f t="shared" si="116"/>
        <v>0</v>
      </c>
      <c r="V339" s="143">
        <f t="shared" si="116"/>
        <v>0</v>
      </c>
      <c r="W339" s="143">
        <f t="shared" si="116"/>
        <v>0</v>
      </c>
      <c r="X339" s="143">
        <f t="shared" si="116"/>
        <v>0</v>
      </c>
      <c r="Y339" s="143">
        <f t="shared" si="116"/>
        <v>0</v>
      </c>
      <c r="Z339" s="143">
        <f t="shared" si="116"/>
        <v>0</v>
      </c>
      <c r="AA339" s="143">
        <f t="shared" si="116"/>
        <v>0</v>
      </c>
      <c r="AB339" s="143">
        <f t="shared" si="116"/>
        <v>0</v>
      </c>
      <c r="AC339" s="143">
        <f t="shared" si="116"/>
        <v>0</v>
      </c>
      <c r="AD339" s="143">
        <f t="shared" si="116"/>
        <v>0</v>
      </c>
      <c r="AE339" s="143">
        <f t="shared" si="116"/>
        <v>0</v>
      </c>
      <c r="AF339" s="142"/>
      <c r="AG339" s="142"/>
      <c r="AH339" s="142"/>
      <c r="AI339" s="142"/>
    </row>
    <row r="340" spans="2:35" customFormat="1" ht="14.25" x14ac:dyDescent="0.45">
      <c r="B340" s="14" t="s">
        <v>2738</v>
      </c>
      <c r="C340" s="14" t="s">
        <v>2701</v>
      </c>
      <c r="D340" s="15" t="s">
        <v>2739</v>
      </c>
      <c r="E340" s="16" t="s">
        <v>1870</v>
      </c>
      <c r="F340" s="14" t="s">
        <v>2728</v>
      </c>
      <c r="G340" s="17"/>
      <c r="H340" s="17"/>
      <c r="K340" s="140"/>
      <c r="L340" s="141">
        <f t="shared" ref="L340:AE340" si="117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41">
        <f t="shared" si="117"/>
        <v>0</v>
      </c>
      <c r="N340" s="141">
        <f t="shared" si="117"/>
        <v>0</v>
      </c>
      <c r="O340" s="141">
        <f t="shared" si="117"/>
        <v>0</v>
      </c>
      <c r="P340" s="141">
        <f t="shared" si="117"/>
        <v>0</v>
      </c>
      <c r="Q340" s="141">
        <f t="shared" si="117"/>
        <v>0</v>
      </c>
      <c r="R340" s="141">
        <f t="shared" si="117"/>
        <v>0</v>
      </c>
      <c r="S340" s="141">
        <f t="shared" si="117"/>
        <v>0</v>
      </c>
      <c r="T340" s="141">
        <f t="shared" si="117"/>
        <v>0</v>
      </c>
      <c r="U340" s="141">
        <f t="shared" si="117"/>
        <v>0</v>
      </c>
      <c r="V340" s="141">
        <f t="shared" si="117"/>
        <v>0</v>
      </c>
      <c r="W340" s="141">
        <f t="shared" si="117"/>
        <v>0</v>
      </c>
      <c r="X340" s="141">
        <f t="shared" si="117"/>
        <v>0</v>
      </c>
      <c r="Y340" s="141">
        <f t="shared" si="117"/>
        <v>0</v>
      </c>
      <c r="Z340" s="141">
        <f t="shared" si="117"/>
        <v>0</v>
      </c>
      <c r="AA340" s="141">
        <f t="shared" si="117"/>
        <v>0</v>
      </c>
      <c r="AB340" s="141">
        <f t="shared" si="117"/>
        <v>0</v>
      </c>
      <c r="AC340" s="141">
        <f t="shared" si="117"/>
        <v>0</v>
      </c>
      <c r="AD340" s="141">
        <f t="shared" si="117"/>
        <v>0</v>
      </c>
      <c r="AE340" s="141">
        <f t="shared" si="117"/>
        <v>0</v>
      </c>
      <c r="AF340" s="142"/>
      <c r="AG340" s="142"/>
      <c r="AH340" s="142"/>
      <c r="AI340" s="142"/>
    </row>
    <row r="341" spans="2:35" customFormat="1" ht="14.25" x14ac:dyDescent="0.45">
      <c r="B341" s="14" t="s">
        <v>2740</v>
      </c>
      <c r="C341" s="14" t="s">
        <v>2701</v>
      </c>
      <c r="D341" s="15" t="s">
        <v>2741</v>
      </c>
      <c r="E341" s="16" t="s">
        <v>2731</v>
      </c>
      <c r="F341" s="14" t="s">
        <v>2732</v>
      </c>
      <c r="G341" s="17"/>
      <c r="H341" s="17"/>
      <c r="K341" s="140"/>
      <c r="L341" s="143">
        <f t="shared" ref="L341:AE341" si="118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43">
        <f t="shared" si="118"/>
        <v>0</v>
      </c>
      <c r="N341" s="143">
        <f t="shared" si="118"/>
        <v>0</v>
      </c>
      <c r="O341" s="143">
        <f t="shared" si="118"/>
        <v>0</v>
      </c>
      <c r="P341" s="143">
        <f t="shared" si="118"/>
        <v>0</v>
      </c>
      <c r="Q341" s="143">
        <f t="shared" si="118"/>
        <v>0</v>
      </c>
      <c r="R341" s="143">
        <f t="shared" si="118"/>
        <v>0</v>
      </c>
      <c r="S341" s="143">
        <f t="shared" si="118"/>
        <v>0</v>
      </c>
      <c r="T341" s="143">
        <f t="shared" si="118"/>
        <v>0</v>
      </c>
      <c r="U341" s="143">
        <f t="shared" si="118"/>
        <v>0</v>
      </c>
      <c r="V341" s="143">
        <f t="shared" si="118"/>
        <v>0</v>
      </c>
      <c r="W341" s="143">
        <f t="shared" si="118"/>
        <v>0</v>
      </c>
      <c r="X341" s="143">
        <f t="shared" si="118"/>
        <v>0</v>
      </c>
      <c r="Y341" s="143">
        <f t="shared" si="118"/>
        <v>0</v>
      </c>
      <c r="Z341" s="143">
        <f t="shared" si="118"/>
        <v>0</v>
      </c>
      <c r="AA341" s="143">
        <f t="shared" si="118"/>
        <v>0</v>
      </c>
      <c r="AB341" s="143">
        <f t="shared" si="118"/>
        <v>0</v>
      </c>
      <c r="AC341" s="143">
        <f t="shared" si="118"/>
        <v>0</v>
      </c>
      <c r="AD341" s="143">
        <f t="shared" si="118"/>
        <v>0</v>
      </c>
      <c r="AE341" s="143">
        <f t="shared" si="118"/>
        <v>0</v>
      </c>
      <c r="AF341" s="142"/>
      <c r="AG341" s="142"/>
      <c r="AH341" s="142"/>
      <c r="AI341" s="142"/>
    </row>
    <row r="342" spans="2:35" customFormat="1" ht="14.25" x14ac:dyDescent="0.45">
      <c r="B342" s="14" t="s">
        <v>2742</v>
      </c>
      <c r="C342" s="14" t="s">
        <v>2701</v>
      </c>
      <c r="D342" s="15" t="s">
        <v>2743</v>
      </c>
      <c r="E342" s="16" t="s">
        <v>1414</v>
      </c>
      <c r="F342" s="14" t="s">
        <v>2735</v>
      </c>
      <c r="G342" s="17"/>
      <c r="H342" s="17"/>
      <c r="K342" s="140"/>
      <c r="L342" s="141">
        <f t="shared" ref="L342:AE342" si="119">IF(L$329&lt;=0,0,IF(L$341&lt;=0,L$338,MIN($F$5,IF(L$338-(L$340-L$329)/L$341&lt;=0,L$338/2,L$338-(L$340-L$329)/L$341))))</f>
        <v>0</v>
      </c>
      <c r="M342" s="141">
        <f t="shared" si="119"/>
        <v>0</v>
      </c>
      <c r="N342" s="141">
        <f t="shared" si="119"/>
        <v>0</v>
      </c>
      <c r="O342" s="141">
        <f t="shared" si="119"/>
        <v>0</v>
      </c>
      <c r="P342" s="141">
        <f t="shared" si="119"/>
        <v>0</v>
      </c>
      <c r="Q342" s="141">
        <f t="shared" si="119"/>
        <v>0</v>
      </c>
      <c r="R342" s="141">
        <f t="shared" si="119"/>
        <v>0</v>
      </c>
      <c r="S342" s="141">
        <f t="shared" si="119"/>
        <v>0</v>
      </c>
      <c r="T342" s="141">
        <f t="shared" si="119"/>
        <v>0</v>
      </c>
      <c r="U342" s="141">
        <f t="shared" si="119"/>
        <v>0</v>
      </c>
      <c r="V342" s="141">
        <f t="shared" si="119"/>
        <v>0</v>
      </c>
      <c r="W342" s="141">
        <f t="shared" si="119"/>
        <v>0</v>
      </c>
      <c r="X342" s="141">
        <f t="shared" si="119"/>
        <v>0</v>
      </c>
      <c r="Y342" s="141">
        <f t="shared" si="119"/>
        <v>0</v>
      </c>
      <c r="Z342" s="141">
        <f t="shared" si="119"/>
        <v>0</v>
      </c>
      <c r="AA342" s="141">
        <f t="shared" si="119"/>
        <v>0</v>
      </c>
      <c r="AB342" s="141">
        <f t="shared" si="119"/>
        <v>0</v>
      </c>
      <c r="AC342" s="141">
        <f t="shared" si="119"/>
        <v>0</v>
      </c>
      <c r="AD342" s="141">
        <f t="shared" si="119"/>
        <v>0</v>
      </c>
      <c r="AE342" s="141">
        <f t="shared" si="119"/>
        <v>0</v>
      </c>
      <c r="AF342" s="142"/>
      <c r="AG342" s="142"/>
      <c r="AH342" s="142"/>
      <c r="AI342" s="142"/>
    </row>
    <row r="343" spans="2:35" customFormat="1" ht="14.25" x14ac:dyDescent="0.45">
      <c r="B343" s="14" t="s">
        <v>2744</v>
      </c>
      <c r="C343" s="14" t="s">
        <v>2701</v>
      </c>
      <c r="D343" s="15" t="s">
        <v>2745</v>
      </c>
      <c r="E343" s="16" t="s">
        <v>2094</v>
      </c>
      <c r="F343" s="14" t="s">
        <v>2725</v>
      </c>
      <c r="G343" s="17"/>
      <c r="H343" s="17"/>
      <c r="K343" s="140"/>
      <c r="L343" s="143">
        <f t="shared" ref="L343:AE343" si="120">SUMPRODUCT(L$252:L$259*(1-EXP(-L$262:L$269*L$342)))+SUMPRODUCT(L$308:L$323*(1-EXP(-L$272:L$287*L$342)))</f>
        <v>0</v>
      </c>
      <c r="M343" s="143">
        <f t="shared" si="120"/>
        <v>0</v>
      </c>
      <c r="N343" s="143">
        <f t="shared" si="120"/>
        <v>0</v>
      </c>
      <c r="O343" s="143">
        <f t="shared" si="120"/>
        <v>0</v>
      </c>
      <c r="P343" s="143">
        <f t="shared" si="120"/>
        <v>0</v>
      </c>
      <c r="Q343" s="143">
        <f t="shared" si="120"/>
        <v>0</v>
      </c>
      <c r="R343" s="143">
        <f t="shared" si="120"/>
        <v>0</v>
      </c>
      <c r="S343" s="143">
        <f t="shared" si="120"/>
        <v>0</v>
      </c>
      <c r="T343" s="143">
        <f t="shared" si="120"/>
        <v>0</v>
      </c>
      <c r="U343" s="143">
        <f t="shared" si="120"/>
        <v>0</v>
      </c>
      <c r="V343" s="143">
        <f t="shared" si="120"/>
        <v>0</v>
      </c>
      <c r="W343" s="143">
        <f t="shared" si="120"/>
        <v>0</v>
      </c>
      <c r="X343" s="143">
        <f t="shared" si="120"/>
        <v>0</v>
      </c>
      <c r="Y343" s="143">
        <f t="shared" si="120"/>
        <v>0</v>
      </c>
      <c r="Z343" s="143">
        <f t="shared" si="120"/>
        <v>0</v>
      </c>
      <c r="AA343" s="143">
        <f t="shared" si="120"/>
        <v>0</v>
      </c>
      <c r="AB343" s="143">
        <f t="shared" si="120"/>
        <v>0</v>
      </c>
      <c r="AC343" s="143">
        <f t="shared" si="120"/>
        <v>0</v>
      </c>
      <c r="AD343" s="143">
        <f t="shared" si="120"/>
        <v>0</v>
      </c>
      <c r="AE343" s="143">
        <f t="shared" si="120"/>
        <v>0</v>
      </c>
      <c r="AF343" s="142"/>
      <c r="AG343" s="142"/>
      <c r="AH343" s="142"/>
      <c r="AI343" s="142"/>
    </row>
    <row r="344" spans="2:35" customFormat="1" ht="14.25" x14ac:dyDescent="0.45">
      <c r="B344" s="14" t="s">
        <v>2746</v>
      </c>
      <c r="C344" s="14" t="s">
        <v>2701</v>
      </c>
      <c r="D344" s="15" t="s">
        <v>2747</v>
      </c>
      <c r="E344" s="16" t="s">
        <v>1870</v>
      </c>
      <c r="F344" s="14" t="s">
        <v>2728</v>
      </c>
      <c r="G344" s="17"/>
      <c r="H344" s="17"/>
      <c r="K344" s="140"/>
      <c r="L344" s="141">
        <f t="shared" ref="L344:AE344" si="121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41">
        <f t="shared" si="121"/>
        <v>0</v>
      </c>
      <c r="N344" s="141">
        <f t="shared" si="121"/>
        <v>0</v>
      </c>
      <c r="O344" s="141">
        <f t="shared" si="121"/>
        <v>0</v>
      </c>
      <c r="P344" s="141">
        <f t="shared" si="121"/>
        <v>0</v>
      </c>
      <c r="Q344" s="141">
        <f t="shared" si="121"/>
        <v>0</v>
      </c>
      <c r="R344" s="141">
        <f t="shared" si="121"/>
        <v>0</v>
      </c>
      <c r="S344" s="141">
        <f t="shared" si="121"/>
        <v>0</v>
      </c>
      <c r="T344" s="141">
        <f t="shared" si="121"/>
        <v>0</v>
      </c>
      <c r="U344" s="141">
        <f t="shared" si="121"/>
        <v>0</v>
      </c>
      <c r="V344" s="141">
        <f t="shared" si="121"/>
        <v>0</v>
      </c>
      <c r="W344" s="141">
        <f t="shared" si="121"/>
        <v>0</v>
      </c>
      <c r="X344" s="141">
        <f t="shared" si="121"/>
        <v>0</v>
      </c>
      <c r="Y344" s="141">
        <f t="shared" si="121"/>
        <v>0</v>
      </c>
      <c r="Z344" s="141">
        <f t="shared" si="121"/>
        <v>0</v>
      </c>
      <c r="AA344" s="141">
        <f t="shared" si="121"/>
        <v>0</v>
      </c>
      <c r="AB344" s="141">
        <f t="shared" si="121"/>
        <v>0</v>
      </c>
      <c r="AC344" s="141">
        <f t="shared" si="121"/>
        <v>0</v>
      </c>
      <c r="AD344" s="141">
        <f t="shared" si="121"/>
        <v>0</v>
      </c>
      <c r="AE344" s="141">
        <f t="shared" si="121"/>
        <v>0</v>
      </c>
      <c r="AF344" s="142"/>
      <c r="AG344" s="142"/>
      <c r="AH344" s="142"/>
      <c r="AI344" s="142"/>
    </row>
    <row r="345" spans="2:35" customFormat="1" ht="14.25" x14ac:dyDescent="0.45">
      <c r="B345" s="14" t="s">
        <v>2748</v>
      </c>
      <c r="C345" s="14" t="s">
        <v>2701</v>
      </c>
      <c r="D345" s="15" t="s">
        <v>2749</v>
      </c>
      <c r="E345" s="16" t="s">
        <v>2731</v>
      </c>
      <c r="F345" s="14" t="s">
        <v>2732</v>
      </c>
      <c r="G345" s="17"/>
      <c r="H345" s="17"/>
      <c r="K345" s="140"/>
      <c r="L345" s="143">
        <f t="shared" ref="L345:AE345" si="122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43">
        <f t="shared" si="122"/>
        <v>0</v>
      </c>
      <c r="N345" s="143">
        <f t="shared" si="122"/>
        <v>0</v>
      </c>
      <c r="O345" s="143">
        <f t="shared" si="122"/>
        <v>0</v>
      </c>
      <c r="P345" s="143">
        <f t="shared" si="122"/>
        <v>0</v>
      </c>
      <c r="Q345" s="143">
        <f t="shared" si="122"/>
        <v>0</v>
      </c>
      <c r="R345" s="143">
        <f t="shared" si="122"/>
        <v>0</v>
      </c>
      <c r="S345" s="143">
        <f t="shared" si="122"/>
        <v>0</v>
      </c>
      <c r="T345" s="143">
        <f t="shared" si="122"/>
        <v>0</v>
      </c>
      <c r="U345" s="143">
        <f t="shared" si="122"/>
        <v>0</v>
      </c>
      <c r="V345" s="143">
        <f t="shared" si="122"/>
        <v>0</v>
      </c>
      <c r="W345" s="143">
        <f t="shared" si="122"/>
        <v>0</v>
      </c>
      <c r="X345" s="143">
        <f t="shared" si="122"/>
        <v>0</v>
      </c>
      <c r="Y345" s="143">
        <f t="shared" si="122"/>
        <v>0</v>
      </c>
      <c r="Z345" s="143">
        <f t="shared" si="122"/>
        <v>0</v>
      </c>
      <c r="AA345" s="143">
        <f t="shared" si="122"/>
        <v>0</v>
      </c>
      <c r="AB345" s="143">
        <f t="shared" si="122"/>
        <v>0</v>
      </c>
      <c r="AC345" s="143">
        <f t="shared" si="122"/>
        <v>0</v>
      </c>
      <c r="AD345" s="143">
        <f t="shared" si="122"/>
        <v>0</v>
      </c>
      <c r="AE345" s="143">
        <f t="shared" si="122"/>
        <v>0</v>
      </c>
      <c r="AF345" s="142"/>
      <c r="AG345" s="142"/>
      <c r="AH345" s="142"/>
      <c r="AI345" s="142"/>
    </row>
    <row r="346" spans="2:35" customFormat="1" ht="14.25" x14ac:dyDescent="0.45">
      <c r="B346" s="14" t="s">
        <v>2750</v>
      </c>
      <c r="C346" s="14" t="s">
        <v>2701</v>
      </c>
      <c r="D346" s="15" t="s">
        <v>2751</v>
      </c>
      <c r="E346" s="16" t="s">
        <v>1414</v>
      </c>
      <c r="F346" s="14" t="s">
        <v>2735</v>
      </c>
      <c r="G346" s="17"/>
      <c r="H346" s="17"/>
      <c r="K346" s="140"/>
      <c r="L346" s="141">
        <f t="shared" ref="L346:AE346" si="123">IF(L$329&lt;=0,0,IF(L$345&lt;=0,L$342,MIN($F$5,IF(L$342-(L$344-L$329)/L$345&lt;=0,L$342/2,L$342-(L$344-L$329)/L$345))))</f>
        <v>0</v>
      </c>
      <c r="M346" s="141">
        <f t="shared" si="123"/>
        <v>0</v>
      </c>
      <c r="N346" s="141">
        <f t="shared" si="123"/>
        <v>0</v>
      </c>
      <c r="O346" s="141">
        <f t="shared" si="123"/>
        <v>0</v>
      </c>
      <c r="P346" s="141">
        <f t="shared" si="123"/>
        <v>0</v>
      </c>
      <c r="Q346" s="141">
        <f t="shared" si="123"/>
        <v>0</v>
      </c>
      <c r="R346" s="141">
        <f t="shared" si="123"/>
        <v>0</v>
      </c>
      <c r="S346" s="141">
        <f t="shared" si="123"/>
        <v>0</v>
      </c>
      <c r="T346" s="141">
        <f t="shared" si="123"/>
        <v>0</v>
      </c>
      <c r="U346" s="141">
        <f t="shared" si="123"/>
        <v>0</v>
      </c>
      <c r="V346" s="141">
        <f t="shared" si="123"/>
        <v>0</v>
      </c>
      <c r="W346" s="141">
        <f t="shared" si="123"/>
        <v>0</v>
      </c>
      <c r="X346" s="141">
        <f t="shared" si="123"/>
        <v>0</v>
      </c>
      <c r="Y346" s="141">
        <f t="shared" si="123"/>
        <v>0</v>
      </c>
      <c r="Z346" s="141">
        <f t="shared" si="123"/>
        <v>0</v>
      </c>
      <c r="AA346" s="141">
        <f t="shared" si="123"/>
        <v>0</v>
      </c>
      <c r="AB346" s="141">
        <f t="shared" si="123"/>
        <v>0</v>
      </c>
      <c r="AC346" s="141">
        <f t="shared" si="123"/>
        <v>0</v>
      </c>
      <c r="AD346" s="141">
        <f t="shared" si="123"/>
        <v>0</v>
      </c>
      <c r="AE346" s="141">
        <f t="shared" si="123"/>
        <v>0</v>
      </c>
      <c r="AF346" s="142"/>
      <c r="AG346" s="142"/>
      <c r="AH346" s="142"/>
      <c r="AI346" s="142"/>
    </row>
    <row r="347" spans="2:35" customFormat="1" ht="14.25" x14ac:dyDescent="0.45">
      <c r="B347" s="14" t="s">
        <v>2752</v>
      </c>
      <c r="C347" s="14" t="s">
        <v>2701</v>
      </c>
      <c r="D347" s="15" t="s">
        <v>2753</v>
      </c>
      <c r="E347" s="16" t="s">
        <v>2094</v>
      </c>
      <c r="F347" s="14" t="s">
        <v>2725</v>
      </c>
      <c r="G347" s="17"/>
      <c r="H347" s="17"/>
      <c r="K347" s="140"/>
      <c r="L347" s="143">
        <f t="shared" ref="L347:AE347" si="124">SUMPRODUCT(L$252:L$259*(1-EXP(-L$262:L$269*L$346)))+SUMPRODUCT(L$308:L$323*(1-EXP(-L$272:L$287*L$346)))</f>
        <v>0</v>
      </c>
      <c r="M347" s="143">
        <f t="shared" si="124"/>
        <v>0</v>
      </c>
      <c r="N347" s="143">
        <f t="shared" si="124"/>
        <v>0</v>
      </c>
      <c r="O347" s="143">
        <f t="shared" si="124"/>
        <v>0</v>
      </c>
      <c r="P347" s="143">
        <f t="shared" si="124"/>
        <v>0</v>
      </c>
      <c r="Q347" s="143">
        <f t="shared" si="124"/>
        <v>0</v>
      </c>
      <c r="R347" s="143">
        <f t="shared" si="124"/>
        <v>0</v>
      </c>
      <c r="S347" s="143">
        <f t="shared" si="124"/>
        <v>0</v>
      </c>
      <c r="T347" s="143">
        <f t="shared" si="124"/>
        <v>0</v>
      </c>
      <c r="U347" s="143">
        <f t="shared" si="124"/>
        <v>0</v>
      </c>
      <c r="V347" s="143">
        <f t="shared" si="124"/>
        <v>0</v>
      </c>
      <c r="W347" s="143">
        <f t="shared" si="124"/>
        <v>0</v>
      </c>
      <c r="X347" s="143">
        <f t="shared" si="124"/>
        <v>0</v>
      </c>
      <c r="Y347" s="143">
        <f t="shared" si="124"/>
        <v>0</v>
      </c>
      <c r="Z347" s="143">
        <f t="shared" si="124"/>
        <v>0</v>
      </c>
      <c r="AA347" s="143">
        <f t="shared" si="124"/>
        <v>0</v>
      </c>
      <c r="AB347" s="143">
        <f t="shared" si="124"/>
        <v>0</v>
      </c>
      <c r="AC347" s="143">
        <f t="shared" si="124"/>
        <v>0</v>
      </c>
      <c r="AD347" s="143">
        <f t="shared" si="124"/>
        <v>0</v>
      </c>
      <c r="AE347" s="143">
        <f t="shared" si="124"/>
        <v>0</v>
      </c>
      <c r="AF347" s="142"/>
      <c r="AG347" s="142"/>
      <c r="AH347" s="142"/>
      <c r="AI347" s="142"/>
    </row>
    <row r="348" spans="2:35" customFormat="1" ht="14.25" x14ac:dyDescent="0.45">
      <c r="B348" s="14" t="s">
        <v>2754</v>
      </c>
      <c r="C348" s="14" t="s">
        <v>2701</v>
      </c>
      <c r="D348" s="15" t="s">
        <v>2755</v>
      </c>
      <c r="E348" s="16" t="s">
        <v>1870</v>
      </c>
      <c r="F348" s="14" t="s">
        <v>2728</v>
      </c>
      <c r="G348" s="17"/>
      <c r="H348" s="17"/>
      <c r="K348" s="140"/>
      <c r="L348" s="141">
        <f t="shared" ref="L348:AE348" si="125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41">
        <f t="shared" si="125"/>
        <v>0</v>
      </c>
      <c r="N348" s="141">
        <f t="shared" si="125"/>
        <v>0</v>
      </c>
      <c r="O348" s="141">
        <f t="shared" si="125"/>
        <v>0</v>
      </c>
      <c r="P348" s="141">
        <f t="shared" si="125"/>
        <v>0</v>
      </c>
      <c r="Q348" s="141">
        <f t="shared" si="125"/>
        <v>0</v>
      </c>
      <c r="R348" s="141">
        <f t="shared" si="125"/>
        <v>0</v>
      </c>
      <c r="S348" s="141">
        <f t="shared" si="125"/>
        <v>0</v>
      </c>
      <c r="T348" s="141">
        <f t="shared" si="125"/>
        <v>0</v>
      </c>
      <c r="U348" s="141">
        <f t="shared" si="125"/>
        <v>0</v>
      </c>
      <c r="V348" s="141">
        <f t="shared" si="125"/>
        <v>0</v>
      </c>
      <c r="W348" s="141">
        <f t="shared" si="125"/>
        <v>0</v>
      </c>
      <c r="X348" s="141">
        <f t="shared" si="125"/>
        <v>0</v>
      </c>
      <c r="Y348" s="141">
        <f t="shared" si="125"/>
        <v>0</v>
      </c>
      <c r="Z348" s="141">
        <f t="shared" si="125"/>
        <v>0</v>
      </c>
      <c r="AA348" s="141">
        <f t="shared" si="125"/>
        <v>0</v>
      </c>
      <c r="AB348" s="141">
        <f t="shared" si="125"/>
        <v>0</v>
      </c>
      <c r="AC348" s="141">
        <f t="shared" si="125"/>
        <v>0</v>
      </c>
      <c r="AD348" s="141">
        <f t="shared" si="125"/>
        <v>0</v>
      </c>
      <c r="AE348" s="141">
        <f t="shared" si="125"/>
        <v>0</v>
      </c>
      <c r="AF348" s="142"/>
      <c r="AG348" s="142"/>
      <c r="AH348" s="142"/>
      <c r="AI348" s="142"/>
    </row>
    <row r="349" spans="2:35" customFormat="1" ht="14.25" x14ac:dyDescent="0.45">
      <c r="B349" s="14" t="s">
        <v>2756</v>
      </c>
      <c r="C349" s="14" t="s">
        <v>2701</v>
      </c>
      <c r="D349" s="15" t="s">
        <v>2757</v>
      </c>
      <c r="E349" s="16" t="s">
        <v>2731</v>
      </c>
      <c r="F349" s="14" t="s">
        <v>2732</v>
      </c>
      <c r="G349" s="17"/>
      <c r="H349" s="17"/>
      <c r="K349" s="140"/>
      <c r="L349" s="143">
        <f t="shared" ref="L349:AE349" si="126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43">
        <f t="shared" si="126"/>
        <v>0</v>
      </c>
      <c r="N349" s="143">
        <f t="shared" si="126"/>
        <v>0</v>
      </c>
      <c r="O349" s="143">
        <f t="shared" si="126"/>
        <v>0</v>
      </c>
      <c r="P349" s="143">
        <f t="shared" si="126"/>
        <v>0</v>
      </c>
      <c r="Q349" s="143">
        <f t="shared" si="126"/>
        <v>0</v>
      </c>
      <c r="R349" s="143">
        <f t="shared" si="126"/>
        <v>0</v>
      </c>
      <c r="S349" s="143">
        <f t="shared" si="126"/>
        <v>0</v>
      </c>
      <c r="T349" s="143">
        <f t="shared" si="126"/>
        <v>0</v>
      </c>
      <c r="U349" s="143">
        <f t="shared" si="126"/>
        <v>0</v>
      </c>
      <c r="V349" s="143">
        <f t="shared" si="126"/>
        <v>0</v>
      </c>
      <c r="W349" s="143">
        <f t="shared" si="126"/>
        <v>0</v>
      </c>
      <c r="X349" s="143">
        <f t="shared" si="126"/>
        <v>0</v>
      </c>
      <c r="Y349" s="143">
        <f t="shared" si="126"/>
        <v>0</v>
      </c>
      <c r="Z349" s="143">
        <f t="shared" si="126"/>
        <v>0</v>
      </c>
      <c r="AA349" s="143">
        <f t="shared" si="126"/>
        <v>0</v>
      </c>
      <c r="AB349" s="143">
        <f t="shared" si="126"/>
        <v>0</v>
      </c>
      <c r="AC349" s="143">
        <f t="shared" si="126"/>
        <v>0</v>
      </c>
      <c r="AD349" s="143">
        <f t="shared" si="126"/>
        <v>0</v>
      </c>
      <c r="AE349" s="143">
        <f t="shared" si="126"/>
        <v>0</v>
      </c>
      <c r="AF349" s="142"/>
      <c r="AG349" s="142"/>
      <c r="AH349" s="142"/>
      <c r="AI349" s="142"/>
    </row>
    <row r="350" spans="2:35" customFormat="1" ht="14.25" x14ac:dyDescent="0.45">
      <c r="B350" s="14" t="s">
        <v>2758</v>
      </c>
      <c r="C350" s="14" t="s">
        <v>2701</v>
      </c>
      <c r="D350" s="15" t="s">
        <v>2759</v>
      </c>
      <c r="E350" s="16" t="s">
        <v>1414</v>
      </c>
      <c r="F350" s="14" t="s">
        <v>2735</v>
      </c>
      <c r="G350" s="17"/>
      <c r="H350" s="17"/>
      <c r="K350" s="140"/>
      <c r="L350" s="141">
        <f t="shared" ref="L350:AE350" si="127">IF(L$329&lt;=0,0,IF(L$349&lt;=0,L$346,MIN($F$5,IF(L$346-(L$348-L$329)/L$349&lt;=0,L$346/2,L$346-(L$348-L$329)/L$349))))</f>
        <v>0</v>
      </c>
      <c r="M350" s="141">
        <f t="shared" si="127"/>
        <v>0</v>
      </c>
      <c r="N350" s="141">
        <f t="shared" si="127"/>
        <v>0</v>
      </c>
      <c r="O350" s="141">
        <f t="shared" si="127"/>
        <v>0</v>
      </c>
      <c r="P350" s="141">
        <f t="shared" si="127"/>
        <v>0</v>
      </c>
      <c r="Q350" s="141">
        <f t="shared" si="127"/>
        <v>0</v>
      </c>
      <c r="R350" s="141">
        <f t="shared" si="127"/>
        <v>0</v>
      </c>
      <c r="S350" s="141">
        <f t="shared" si="127"/>
        <v>0</v>
      </c>
      <c r="T350" s="141">
        <f t="shared" si="127"/>
        <v>0</v>
      </c>
      <c r="U350" s="141">
        <f t="shared" si="127"/>
        <v>0</v>
      </c>
      <c r="V350" s="141">
        <f t="shared" si="127"/>
        <v>0</v>
      </c>
      <c r="W350" s="141">
        <f t="shared" si="127"/>
        <v>0</v>
      </c>
      <c r="X350" s="141">
        <f t="shared" si="127"/>
        <v>0</v>
      </c>
      <c r="Y350" s="141">
        <f t="shared" si="127"/>
        <v>0</v>
      </c>
      <c r="Z350" s="141">
        <f t="shared" si="127"/>
        <v>0</v>
      </c>
      <c r="AA350" s="141">
        <f t="shared" si="127"/>
        <v>0</v>
      </c>
      <c r="AB350" s="141">
        <f t="shared" si="127"/>
        <v>0</v>
      </c>
      <c r="AC350" s="141">
        <f t="shared" si="127"/>
        <v>0</v>
      </c>
      <c r="AD350" s="141">
        <f t="shared" si="127"/>
        <v>0</v>
      </c>
      <c r="AE350" s="141">
        <f t="shared" si="127"/>
        <v>0</v>
      </c>
      <c r="AF350" s="142"/>
      <c r="AG350" s="142"/>
      <c r="AH350" s="142"/>
      <c r="AI350" s="142"/>
    </row>
    <row r="351" spans="2:35" customFormat="1" ht="14.25" x14ac:dyDescent="0.45">
      <c r="B351" s="14" t="s">
        <v>2760</v>
      </c>
      <c r="C351" s="14" t="s">
        <v>2701</v>
      </c>
      <c r="D351" s="15" t="s">
        <v>2761</v>
      </c>
      <c r="E351" s="16" t="s">
        <v>2094</v>
      </c>
      <c r="F351" s="14" t="s">
        <v>2725</v>
      </c>
      <c r="G351" s="17"/>
      <c r="H351" s="17"/>
      <c r="K351" s="140"/>
      <c r="L351" s="143">
        <f t="shared" ref="L351:AE351" si="128">SUMPRODUCT(L$252:L$259*(1-EXP(-L$262:L$269*L$350)))+SUMPRODUCT(L$308:L$323*(1-EXP(-L$272:L$287*L$350)))</f>
        <v>0</v>
      </c>
      <c r="M351" s="143">
        <f t="shared" si="128"/>
        <v>0</v>
      </c>
      <c r="N351" s="143">
        <f t="shared" si="128"/>
        <v>0</v>
      </c>
      <c r="O351" s="143">
        <f t="shared" si="128"/>
        <v>0</v>
      </c>
      <c r="P351" s="143">
        <f t="shared" si="128"/>
        <v>0</v>
      </c>
      <c r="Q351" s="143">
        <f t="shared" si="128"/>
        <v>0</v>
      </c>
      <c r="R351" s="143">
        <f t="shared" si="128"/>
        <v>0</v>
      </c>
      <c r="S351" s="143">
        <f t="shared" si="128"/>
        <v>0</v>
      </c>
      <c r="T351" s="143">
        <f t="shared" si="128"/>
        <v>0</v>
      </c>
      <c r="U351" s="143">
        <f t="shared" si="128"/>
        <v>0</v>
      </c>
      <c r="V351" s="143">
        <f t="shared" si="128"/>
        <v>0</v>
      </c>
      <c r="W351" s="143">
        <f t="shared" si="128"/>
        <v>0</v>
      </c>
      <c r="X351" s="143">
        <f t="shared" si="128"/>
        <v>0</v>
      </c>
      <c r="Y351" s="143">
        <f t="shared" si="128"/>
        <v>0</v>
      </c>
      <c r="Z351" s="143">
        <f t="shared" si="128"/>
        <v>0</v>
      </c>
      <c r="AA351" s="143">
        <f t="shared" si="128"/>
        <v>0</v>
      </c>
      <c r="AB351" s="143">
        <f t="shared" si="128"/>
        <v>0</v>
      </c>
      <c r="AC351" s="143">
        <f t="shared" si="128"/>
        <v>0</v>
      </c>
      <c r="AD351" s="143">
        <f t="shared" si="128"/>
        <v>0</v>
      </c>
      <c r="AE351" s="143">
        <f t="shared" si="128"/>
        <v>0</v>
      </c>
      <c r="AF351" s="142"/>
      <c r="AG351" s="142"/>
      <c r="AH351" s="142"/>
      <c r="AI351" s="142"/>
    </row>
    <row r="352" spans="2:35" customFormat="1" ht="14.25" x14ac:dyDescent="0.45">
      <c r="B352" s="14" t="s">
        <v>2762</v>
      </c>
      <c r="C352" s="14" t="s">
        <v>2701</v>
      </c>
      <c r="D352" s="15" t="s">
        <v>2763</v>
      </c>
      <c r="E352" s="16" t="s">
        <v>1870</v>
      </c>
      <c r="F352" s="14" t="s">
        <v>2728</v>
      </c>
      <c r="G352" s="17"/>
      <c r="H352" s="17"/>
      <c r="K352" s="140"/>
      <c r="L352" s="141">
        <f t="shared" ref="L352:AE352" si="129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41">
        <f t="shared" si="129"/>
        <v>0</v>
      </c>
      <c r="N352" s="141">
        <f t="shared" si="129"/>
        <v>0</v>
      </c>
      <c r="O352" s="141">
        <f t="shared" si="129"/>
        <v>0</v>
      </c>
      <c r="P352" s="141">
        <f t="shared" si="129"/>
        <v>0</v>
      </c>
      <c r="Q352" s="141">
        <f t="shared" si="129"/>
        <v>0</v>
      </c>
      <c r="R352" s="141">
        <f t="shared" si="129"/>
        <v>0</v>
      </c>
      <c r="S352" s="141">
        <f t="shared" si="129"/>
        <v>0</v>
      </c>
      <c r="T352" s="141">
        <f t="shared" si="129"/>
        <v>0</v>
      </c>
      <c r="U352" s="141">
        <f t="shared" si="129"/>
        <v>0</v>
      </c>
      <c r="V352" s="141">
        <f t="shared" si="129"/>
        <v>0</v>
      </c>
      <c r="W352" s="141">
        <f t="shared" si="129"/>
        <v>0</v>
      </c>
      <c r="X352" s="141">
        <f t="shared" si="129"/>
        <v>0</v>
      </c>
      <c r="Y352" s="141">
        <f t="shared" si="129"/>
        <v>0</v>
      </c>
      <c r="Z352" s="141">
        <f t="shared" si="129"/>
        <v>0</v>
      </c>
      <c r="AA352" s="141">
        <f t="shared" si="129"/>
        <v>0</v>
      </c>
      <c r="AB352" s="141">
        <f t="shared" si="129"/>
        <v>0</v>
      </c>
      <c r="AC352" s="141">
        <f t="shared" si="129"/>
        <v>0</v>
      </c>
      <c r="AD352" s="141">
        <f t="shared" si="129"/>
        <v>0</v>
      </c>
      <c r="AE352" s="141">
        <f t="shared" si="129"/>
        <v>0</v>
      </c>
      <c r="AF352" s="142"/>
      <c r="AG352" s="142"/>
      <c r="AH352" s="142"/>
      <c r="AI352" s="142"/>
    </row>
    <row r="353" spans="2:35" customFormat="1" ht="14.25" x14ac:dyDescent="0.45">
      <c r="B353" s="14" t="s">
        <v>2764</v>
      </c>
      <c r="C353" s="14" t="s">
        <v>2701</v>
      </c>
      <c r="D353" s="15" t="s">
        <v>2765</v>
      </c>
      <c r="E353" s="16" t="s">
        <v>2731</v>
      </c>
      <c r="F353" s="14" t="s">
        <v>2732</v>
      </c>
      <c r="G353" s="17"/>
      <c r="H353" s="17"/>
      <c r="K353" s="140"/>
      <c r="L353" s="143">
        <f t="shared" ref="L353:AE353" si="130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43">
        <f t="shared" si="130"/>
        <v>0</v>
      </c>
      <c r="N353" s="143">
        <f t="shared" si="130"/>
        <v>0</v>
      </c>
      <c r="O353" s="143">
        <f t="shared" si="130"/>
        <v>0</v>
      </c>
      <c r="P353" s="143">
        <f t="shared" si="130"/>
        <v>0</v>
      </c>
      <c r="Q353" s="143">
        <f t="shared" si="130"/>
        <v>0</v>
      </c>
      <c r="R353" s="143">
        <f t="shared" si="130"/>
        <v>0</v>
      </c>
      <c r="S353" s="143">
        <f t="shared" si="130"/>
        <v>0</v>
      </c>
      <c r="T353" s="143">
        <f t="shared" si="130"/>
        <v>0</v>
      </c>
      <c r="U353" s="143">
        <f t="shared" si="130"/>
        <v>0</v>
      </c>
      <c r="V353" s="143">
        <f t="shared" si="130"/>
        <v>0</v>
      </c>
      <c r="W353" s="143">
        <f t="shared" si="130"/>
        <v>0</v>
      </c>
      <c r="X353" s="143">
        <f t="shared" si="130"/>
        <v>0</v>
      </c>
      <c r="Y353" s="143">
        <f t="shared" si="130"/>
        <v>0</v>
      </c>
      <c r="Z353" s="143">
        <f t="shared" si="130"/>
        <v>0</v>
      </c>
      <c r="AA353" s="143">
        <f t="shared" si="130"/>
        <v>0</v>
      </c>
      <c r="AB353" s="143">
        <f t="shared" si="130"/>
        <v>0</v>
      </c>
      <c r="AC353" s="143">
        <f t="shared" si="130"/>
        <v>0</v>
      </c>
      <c r="AD353" s="143">
        <f t="shared" si="130"/>
        <v>0</v>
      </c>
      <c r="AE353" s="143">
        <f t="shared" si="130"/>
        <v>0</v>
      </c>
      <c r="AF353" s="142"/>
      <c r="AG353" s="142"/>
      <c r="AH353" s="142"/>
      <c r="AI353" s="142"/>
    </row>
    <row r="354" spans="2:35" customFormat="1" ht="14.25" x14ac:dyDescent="0.45">
      <c r="B354" s="14" t="s">
        <v>2766</v>
      </c>
      <c r="C354" s="14" t="s">
        <v>2701</v>
      </c>
      <c r="D354" s="15" t="s">
        <v>2767</v>
      </c>
      <c r="E354" s="16" t="s">
        <v>1414</v>
      </c>
      <c r="F354" s="14" t="s">
        <v>2735</v>
      </c>
      <c r="G354" s="17"/>
      <c r="H354" s="17"/>
      <c r="K354" s="140"/>
      <c r="L354" s="141">
        <f t="shared" ref="L354:AE354" si="131">IF(L$329&lt;=0,0,IF(L$353&lt;=0,L$350,MIN($F$5,IF(L$350-(L$352-L$329)/L$353&lt;=0,L$350/2,L$350-(L$352-L$329)/L$353))))</f>
        <v>0</v>
      </c>
      <c r="M354" s="141">
        <f t="shared" si="131"/>
        <v>0</v>
      </c>
      <c r="N354" s="141">
        <f t="shared" si="131"/>
        <v>0</v>
      </c>
      <c r="O354" s="141">
        <f t="shared" si="131"/>
        <v>0</v>
      </c>
      <c r="P354" s="141">
        <f t="shared" si="131"/>
        <v>0</v>
      </c>
      <c r="Q354" s="141">
        <f t="shared" si="131"/>
        <v>0</v>
      </c>
      <c r="R354" s="141">
        <f t="shared" si="131"/>
        <v>0</v>
      </c>
      <c r="S354" s="141">
        <f t="shared" si="131"/>
        <v>0</v>
      </c>
      <c r="T354" s="141">
        <f t="shared" si="131"/>
        <v>0</v>
      </c>
      <c r="U354" s="141">
        <f t="shared" si="131"/>
        <v>0</v>
      </c>
      <c r="V354" s="141">
        <f t="shared" si="131"/>
        <v>0</v>
      </c>
      <c r="W354" s="141">
        <f t="shared" si="131"/>
        <v>0</v>
      </c>
      <c r="X354" s="141">
        <f t="shared" si="131"/>
        <v>0</v>
      </c>
      <c r="Y354" s="141">
        <f t="shared" si="131"/>
        <v>0</v>
      </c>
      <c r="Z354" s="141">
        <f t="shared" si="131"/>
        <v>0</v>
      </c>
      <c r="AA354" s="141">
        <f t="shared" si="131"/>
        <v>0</v>
      </c>
      <c r="AB354" s="141">
        <f t="shared" si="131"/>
        <v>0</v>
      </c>
      <c r="AC354" s="141">
        <f t="shared" si="131"/>
        <v>0</v>
      </c>
      <c r="AD354" s="141">
        <f t="shared" si="131"/>
        <v>0</v>
      </c>
      <c r="AE354" s="141">
        <f t="shared" si="131"/>
        <v>0</v>
      </c>
      <c r="AF354" s="142"/>
      <c r="AG354" s="142"/>
      <c r="AH354" s="142"/>
      <c r="AI354" s="142"/>
    </row>
    <row r="355" spans="2:35" customFormat="1" ht="14.25" x14ac:dyDescent="0.45">
      <c r="B355" s="14" t="s">
        <v>2768</v>
      </c>
      <c r="C355" s="14" t="s">
        <v>2701</v>
      </c>
      <c r="D355" s="15" t="s">
        <v>2769</v>
      </c>
      <c r="E355" s="16" t="s">
        <v>2094</v>
      </c>
      <c r="F355" s="14" t="s">
        <v>2725</v>
      </c>
      <c r="G355" s="17"/>
      <c r="H355" s="17"/>
      <c r="K355" s="140"/>
      <c r="L355" s="143">
        <f t="shared" ref="L355:AE355" si="132">SUMPRODUCT(L$252:L$259*(1-EXP(-L$262:L$269*L$354)))+SUMPRODUCT(L$308:L$323*(1-EXP(-L$272:L$287*L$354)))</f>
        <v>0</v>
      </c>
      <c r="M355" s="143">
        <f t="shared" si="132"/>
        <v>0</v>
      </c>
      <c r="N355" s="143">
        <f t="shared" si="132"/>
        <v>0</v>
      </c>
      <c r="O355" s="143">
        <f t="shared" si="132"/>
        <v>0</v>
      </c>
      <c r="P355" s="143">
        <f t="shared" si="132"/>
        <v>0</v>
      </c>
      <c r="Q355" s="143">
        <f t="shared" si="132"/>
        <v>0</v>
      </c>
      <c r="R355" s="143">
        <f t="shared" si="132"/>
        <v>0</v>
      </c>
      <c r="S355" s="143">
        <f t="shared" si="132"/>
        <v>0</v>
      </c>
      <c r="T355" s="143">
        <f t="shared" si="132"/>
        <v>0</v>
      </c>
      <c r="U355" s="143">
        <f t="shared" si="132"/>
        <v>0</v>
      </c>
      <c r="V355" s="143">
        <f t="shared" si="132"/>
        <v>0</v>
      </c>
      <c r="W355" s="143">
        <f t="shared" si="132"/>
        <v>0</v>
      </c>
      <c r="X355" s="143">
        <f t="shared" si="132"/>
        <v>0</v>
      </c>
      <c r="Y355" s="143">
        <f t="shared" si="132"/>
        <v>0</v>
      </c>
      <c r="Z355" s="143">
        <f t="shared" si="132"/>
        <v>0</v>
      </c>
      <c r="AA355" s="143">
        <f t="shared" si="132"/>
        <v>0</v>
      </c>
      <c r="AB355" s="143">
        <f t="shared" si="132"/>
        <v>0</v>
      </c>
      <c r="AC355" s="143">
        <f t="shared" si="132"/>
        <v>0</v>
      </c>
      <c r="AD355" s="143">
        <f t="shared" si="132"/>
        <v>0</v>
      </c>
      <c r="AE355" s="143">
        <f t="shared" si="132"/>
        <v>0</v>
      </c>
      <c r="AF355" s="142"/>
      <c r="AG355" s="142"/>
      <c r="AH355" s="142"/>
      <c r="AI355" s="142"/>
    </row>
    <row r="356" spans="2:35" customFormat="1" ht="14.25" x14ac:dyDescent="0.45">
      <c r="B356" s="14" t="s">
        <v>2770</v>
      </c>
      <c r="C356" s="14" t="s">
        <v>2701</v>
      </c>
      <c r="D356" s="15" t="s">
        <v>2771</v>
      </c>
      <c r="E356" s="16" t="s">
        <v>1870</v>
      </c>
      <c r="F356" s="14" t="s">
        <v>2728</v>
      </c>
      <c r="G356" s="17"/>
      <c r="H356" s="17"/>
      <c r="K356" s="140"/>
      <c r="L356" s="141">
        <f t="shared" ref="L356:AE356" si="133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41">
        <f t="shared" si="133"/>
        <v>0</v>
      </c>
      <c r="N356" s="141">
        <f t="shared" si="133"/>
        <v>0</v>
      </c>
      <c r="O356" s="141">
        <f t="shared" si="133"/>
        <v>0</v>
      </c>
      <c r="P356" s="141">
        <f t="shared" si="133"/>
        <v>0</v>
      </c>
      <c r="Q356" s="141">
        <f t="shared" si="133"/>
        <v>0</v>
      </c>
      <c r="R356" s="141">
        <f t="shared" si="133"/>
        <v>0</v>
      </c>
      <c r="S356" s="141">
        <f t="shared" si="133"/>
        <v>0</v>
      </c>
      <c r="T356" s="141">
        <f t="shared" si="133"/>
        <v>0</v>
      </c>
      <c r="U356" s="141">
        <f t="shared" si="133"/>
        <v>0</v>
      </c>
      <c r="V356" s="141">
        <f t="shared" si="133"/>
        <v>0</v>
      </c>
      <c r="W356" s="141">
        <f t="shared" si="133"/>
        <v>0</v>
      </c>
      <c r="X356" s="141">
        <f t="shared" si="133"/>
        <v>0</v>
      </c>
      <c r="Y356" s="141">
        <f t="shared" si="133"/>
        <v>0</v>
      </c>
      <c r="Z356" s="141">
        <f t="shared" si="133"/>
        <v>0</v>
      </c>
      <c r="AA356" s="141">
        <f t="shared" si="133"/>
        <v>0</v>
      </c>
      <c r="AB356" s="141">
        <f t="shared" si="133"/>
        <v>0</v>
      </c>
      <c r="AC356" s="141">
        <f t="shared" si="133"/>
        <v>0</v>
      </c>
      <c r="AD356" s="141">
        <f t="shared" si="133"/>
        <v>0</v>
      </c>
      <c r="AE356" s="141">
        <f t="shared" si="133"/>
        <v>0</v>
      </c>
      <c r="AF356" s="142"/>
      <c r="AG356" s="142"/>
      <c r="AH356" s="142"/>
      <c r="AI356" s="142"/>
    </row>
    <row r="357" spans="2:35" customFormat="1" ht="14.25" x14ac:dyDescent="0.45">
      <c r="B357" s="14" t="s">
        <v>2772</v>
      </c>
      <c r="C357" s="14" t="s">
        <v>2701</v>
      </c>
      <c r="D357" s="15" t="s">
        <v>2773</v>
      </c>
      <c r="E357" s="16" t="s">
        <v>2731</v>
      </c>
      <c r="F357" s="14" t="s">
        <v>2732</v>
      </c>
      <c r="G357" s="17"/>
      <c r="H357" s="17"/>
      <c r="K357" s="140"/>
      <c r="L357" s="143">
        <f t="shared" ref="L357:AE357" si="134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43">
        <f t="shared" si="134"/>
        <v>0</v>
      </c>
      <c r="N357" s="143">
        <f t="shared" si="134"/>
        <v>0</v>
      </c>
      <c r="O357" s="143">
        <f t="shared" si="134"/>
        <v>0</v>
      </c>
      <c r="P357" s="143">
        <f t="shared" si="134"/>
        <v>0</v>
      </c>
      <c r="Q357" s="143">
        <f t="shared" si="134"/>
        <v>0</v>
      </c>
      <c r="R357" s="143">
        <f t="shared" si="134"/>
        <v>0</v>
      </c>
      <c r="S357" s="143">
        <f t="shared" si="134"/>
        <v>0</v>
      </c>
      <c r="T357" s="143">
        <f t="shared" si="134"/>
        <v>0</v>
      </c>
      <c r="U357" s="143">
        <f t="shared" si="134"/>
        <v>0</v>
      </c>
      <c r="V357" s="143">
        <f t="shared" si="134"/>
        <v>0</v>
      </c>
      <c r="W357" s="143">
        <f t="shared" si="134"/>
        <v>0</v>
      </c>
      <c r="X357" s="143">
        <f t="shared" si="134"/>
        <v>0</v>
      </c>
      <c r="Y357" s="143">
        <f t="shared" si="134"/>
        <v>0</v>
      </c>
      <c r="Z357" s="143">
        <f t="shared" si="134"/>
        <v>0</v>
      </c>
      <c r="AA357" s="143">
        <f t="shared" si="134"/>
        <v>0</v>
      </c>
      <c r="AB357" s="143">
        <f t="shared" si="134"/>
        <v>0</v>
      </c>
      <c r="AC357" s="143">
        <f t="shared" si="134"/>
        <v>0</v>
      </c>
      <c r="AD357" s="143">
        <f t="shared" si="134"/>
        <v>0</v>
      </c>
      <c r="AE357" s="143">
        <f t="shared" si="134"/>
        <v>0</v>
      </c>
      <c r="AF357" s="142"/>
      <c r="AG357" s="142"/>
      <c r="AH357" s="142"/>
      <c r="AI357" s="142"/>
    </row>
    <row r="358" spans="2:35" customFormat="1" ht="14.25" x14ac:dyDescent="0.45">
      <c r="B358" s="14" t="s">
        <v>2774</v>
      </c>
      <c r="C358" s="14" t="s">
        <v>2701</v>
      </c>
      <c r="D358" s="15" t="s">
        <v>2775</v>
      </c>
      <c r="E358" s="16" t="s">
        <v>1414</v>
      </c>
      <c r="F358" s="14" t="s">
        <v>2735</v>
      </c>
      <c r="G358" s="17"/>
      <c r="H358" s="17"/>
      <c r="K358" s="140"/>
      <c r="L358" s="141">
        <f t="shared" ref="L358:AE358" si="135">IF(L$329&lt;=0,0,IF(L$357&lt;=0,L$354,MIN($F$5,IF(L$354-(L$356-L$329)/L$357&lt;=0,L$354/2,L$354-(L$356-L$329)/L$357))))</f>
        <v>0</v>
      </c>
      <c r="M358" s="141">
        <f t="shared" si="135"/>
        <v>0</v>
      </c>
      <c r="N358" s="141">
        <f t="shared" si="135"/>
        <v>0</v>
      </c>
      <c r="O358" s="141">
        <f t="shared" si="135"/>
        <v>0</v>
      </c>
      <c r="P358" s="141">
        <f t="shared" si="135"/>
        <v>0</v>
      </c>
      <c r="Q358" s="141">
        <f t="shared" si="135"/>
        <v>0</v>
      </c>
      <c r="R358" s="141">
        <f t="shared" si="135"/>
        <v>0</v>
      </c>
      <c r="S358" s="141">
        <f t="shared" si="135"/>
        <v>0</v>
      </c>
      <c r="T358" s="141">
        <f t="shared" si="135"/>
        <v>0</v>
      </c>
      <c r="U358" s="141">
        <f t="shared" si="135"/>
        <v>0</v>
      </c>
      <c r="V358" s="141">
        <f t="shared" si="135"/>
        <v>0</v>
      </c>
      <c r="W358" s="141">
        <f t="shared" si="135"/>
        <v>0</v>
      </c>
      <c r="X358" s="141">
        <f t="shared" si="135"/>
        <v>0</v>
      </c>
      <c r="Y358" s="141">
        <f t="shared" si="135"/>
        <v>0</v>
      </c>
      <c r="Z358" s="141">
        <f t="shared" si="135"/>
        <v>0</v>
      </c>
      <c r="AA358" s="141">
        <f t="shared" si="135"/>
        <v>0</v>
      </c>
      <c r="AB358" s="141">
        <f t="shared" si="135"/>
        <v>0</v>
      </c>
      <c r="AC358" s="141">
        <f t="shared" si="135"/>
        <v>0</v>
      </c>
      <c r="AD358" s="141">
        <f t="shared" si="135"/>
        <v>0</v>
      </c>
      <c r="AE358" s="141">
        <f t="shared" si="135"/>
        <v>0</v>
      </c>
      <c r="AF358" s="142"/>
      <c r="AG358" s="142"/>
      <c r="AH358" s="142"/>
      <c r="AI358" s="142"/>
    </row>
    <row r="359" spans="2:35" customFormat="1" ht="14.25" x14ac:dyDescent="0.45">
      <c r="B359" s="14" t="s">
        <v>2776</v>
      </c>
      <c r="C359" s="14" t="s">
        <v>2701</v>
      </c>
      <c r="D359" s="15" t="s">
        <v>2777</v>
      </c>
      <c r="E359" s="16" t="s">
        <v>2094</v>
      </c>
      <c r="F359" s="14" t="s">
        <v>2725</v>
      </c>
      <c r="G359" s="17"/>
      <c r="H359" s="17"/>
      <c r="K359" s="140"/>
      <c r="L359" s="143">
        <f t="shared" ref="L359:AE359" si="136">SUMPRODUCT(L$252:L$259*(1-EXP(-L$262:L$269*L$358)))+SUMPRODUCT(L$308:L$323*(1-EXP(-L$272:L$287*L$358)))</f>
        <v>0</v>
      </c>
      <c r="M359" s="143">
        <f t="shared" si="136"/>
        <v>0</v>
      </c>
      <c r="N359" s="143">
        <f t="shared" si="136"/>
        <v>0</v>
      </c>
      <c r="O359" s="143">
        <f t="shared" si="136"/>
        <v>0</v>
      </c>
      <c r="P359" s="143">
        <f t="shared" si="136"/>
        <v>0</v>
      </c>
      <c r="Q359" s="143">
        <f t="shared" si="136"/>
        <v>0</v>
      </c>
      <c r="R359" s="143">
        <f t="shared" si="136"/>
        <v>0</v>
      </c>
      <c r="S359" s="143">
        <f t="shared" si="136"/>
        <v>0</v>
      </c>
      <c r="T359" s="143">
        <f t="shared" si="136"/>
        <v>0</v>
      </c>
      <c r="U359" s="143">
        <f t="shared" si="136"/>
        <v>0</v>
      </c>
      <c r="V359" s="143">
        <f t="shared" si="136"/>
        <v>0</v>
      </c>
      <c r="W359" s="143">
        <f t="shared" si="136"/>
        <v>0</v>
      </c>
      <c r="X359" s="143">
        <f t="shared" si="136"/>
        <v>0</v>
      </c>
      <c r="Y359" s="143">
        <f t="shared" si="136"/>
        <v>0</v>
      </c>
      <c r="Z359" s="143">
        <f t="shared" si="136"/>
        <v>0</v>
      </c>
      <c r="AA359" s="143">
        <f t="shared" si="136"/>
        <v>0</v>
      </c>
      <c r="AB359" s="143">
        <f t="shared" si="136"/>
        <v>0</v>
      </c>
      <c r="AC359" s="143">
        <f t="shared" si="136"/>
        <v>0</v>
      </c>
      <c r="AD359" s="143">
        <f t="shared" si="136"/>
        <v>0</v>
      </c>
      <c r="AE359" s="143">
        <f t="shared" si="136"/>
        <v>0</v>
      </c>
      <c r="AF359" s="142"/>
      <c r="AG359" s="142"/>
      <c r="AH359" s="142"/>
      <c r="AI359" s="142"/>
    </row>
    <row r="360" spans="2:35" customFormat="1" ht="14.25" x14ac:dyDescent="0.45">
      <c r="B360" s="14" t="s">
        <v>2778</v>
      </c>
      <c r="C360" s="14" t="s">
        <v>2701</v>
      </c>
      <c r="D360" s="15" t="s">
        <v>2779</v>
      </c>
      <c r="E360" s="16" t="s">
        <v>1870</v>
      </c>
      <c r="F360" s="14" t="s">
        <v>2728</v>
      </c>
      <c r="G360" s="17"/>
      <c r="H360" s="17"/>
      <c r="K360" s="140"/>
      <c r="L360" s="141">
        <f t="shared" ref="L360:AE360" si="137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41">
        <f t="shared" si="137"/>
        <v>0</v>
      </c>
      <c r="N360" s="141">
        <f t="shared" si="137"/>
        <v>0</v>
      </c>
      <c r="O360" s="141">
        <f t="shared" si="137"/>
        <v>0</v>
      </c>
      <c r="P360" s="141">
        <f t="shared" si="137"/>
        <v>0</v>
      </c>
      <c r="Q360" s="141">
        <f t="shared" si="137"/>
        <v>0</v>
      </c>
      <c r="R360" s="141">
        <f t="shared" si="137"/>
        <v>0</v>
      </c>
      <c r="S360" s="141">
        <f t="shared" si="137"/>
        <v>0</v>
      </c>
      <c r="T360" s="141">
        <f t="shared" si="137"/>
        <v>0</v>
      </c>
      <c r="U360" s="141">
        <f t="shared" si="137"/>
        <v>0</v>
      </c>
      <c r="V360" s="141">
        <f t="shared" si="137"/>
        <v>0</v>
      </c>
      <c r="W360" s="141">
        <f t="shared" si="137"/>
        <v>0</v>
      </c>
      <c r="X360" s="141">
        <f t="shared" si="137"/>
        <v>0</v>
      </c>
      <c r="Y360" s="141">
        <f t="shared" si="137"/>
        <v>0</v>
      </c>
      <c r="Z360" s="141">
        <f t="shared" si="137"/>
        <v>0</v>
      </c>
      <c r="AA360" s="141">
        <f t="shared" si="137"/>
        <v>0</v>
      </c>
      <c r="AB360" s="141">
        <f t="shared" si="137"/>
        <v>0</v>
      </c>
      <c r="AC360" s="141">
        <f t="shared" si="137"/>
        <v>0</v>
      </c>
      <c r="AD360" s="141">
        <f t="shared" si="137"/>
        <v>0</v>
      </c>
      <c r="AE360" s="141">
        <f t="shared" si="137"/>
        <v>0</v>
      </c>
      <c r="AF360" s="142"/>
      <c r="AG360" s="142"/>
      <c r="AH360" s="142"/>
      <c r="AI360" s="142"/>
    </row>
    <row r="361" spans="2:35" customFormat="1" ht="14.25" x14ac:dyDescent="0.45">
      <c r="B361" s="14" t="s">
        <v>2780</v>
      </c>
      <c r="C361" s="14" t="s">
        <v>2701</v>
      </c>
      <c r="D361" s="15" t="s">
        <v>2781</v>
      </c>
      <c r="E361" s="16" t="s">
        <v>2731</v>
      </c>
      <c r="F361" s="14" t="s">
        <v>2732</v>
      </c>
      <c r="G361" s="17"/>
      <c r="H361" s="17"/>
      <c r="K361" s="140"/>
      <c r="L361" s="143">
        <f t="shared" ref="L361:AE361" si="138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43">
        <f t="shared" si="138"/>
        <v>0</v>
      </c>
      <c r="N361" s="143">
        <f t="shared" si="138"/>
        <v>0</v>
      </c>
      <c r="O361" s="143">
        <f t="shared" si="138"/>
        <v>0</v>
      </c>
      <c r="P361" s="143">
        <f t="shared" si="138"/>
        <v>0</v>
      </c>
      <c r="Q361" s="143">
        <f t="shared" si="138"/>
        <v>0</v>
      </c>
      <c r="R361" s="143">
        <f t="shared" si="138"/>
        <v>0</v>
      </c>
      <c r="S361" s="143">
        <f t="shared" si="138"/>
        <v>0</v>
      </c>
      <c r="T361" s="143">
        <f t="shared" si="138"/>
        <v>0</v>
      </c>
      <c r="U361" s="143">
        <f t="shared" si="138"/>
        <v>0</v>
      </c>
      <c r="V361" s="143">
        <f t="shared" si="138"/>
        <v>0</v>
      </c>
      <c r="W361" s="143">
        <f t="shared" si="138"/>
        <v>0</v>
      </c>
      <c r="X361" s="143">
        <f t="shared" si="138"/>
        <v>0</v>
      </c>
      <c r="Y361" s="143">
        <f t="shared" si="138"/>
        <v>0</v>
      </c>
      <c r="Z361" s="143">
        <f t="shared" si="138"/>
        <v>0</v>
      </c>
      <c r="AA361" s="143">
        <f t="shared" si="138"/>
        <v>0</v>
      </c>
      <c r="AB361" s="143">
        <f t="shared" si="138"/>
        <v>0</v>
      </c>
      <c r="AC361" s="143">
        <f t="shared" si="138"/>
        <v>0</v>
      </c>
      <c r="AD361" s="143">
        <f t="shared" si="138"/>
        <v>0</v>
      </c>
      <c r="AE361" s="143">
        <f t="shared" si="138"/>
        <v>0</v>
      </c>
      <c r="AF361" s="142"/>
      <c r="AG361" s="142"/>
      <c r="AH361" s="142"/>
      <c r="AI361" s="142"/>
    </row>
    <row r="362" spans="2:35" customFormat="1" ht="14.25" x14ac:dyDescent="0.45">
      <c r="B362" s="14" t="s">
        <v>2782</v>
      </c>
      <c r="C362" s="14" t="s">
        <v>2701</v>
      </c>
      <c r="D362" s="15" t="s">
        <v>2783</v>
      </c>
      <c r="E362" s="16" t="s">
        <v>1414</v>
      </c>
      <c r="F362" s="14" t="s">
        <v>2735</v>
      </c>
      <c r="G362" s="17"/>
      <c r="H362" s="17"/>
      <c r="K362" s="140"/>
      <c r="L362" s="141">
        <f t="shared" ref="L362:AE362" si="139">IF(L$329&lt;=0,0,IF(L$361&lt;=0,L$358,MIN($F$5,IF(L$358-(L$360-L$329)/L$361&lt;=0,L$358/2,L$358-(L$360-L$329)/L$361))))</f>
        <v>0</v>
      </c>
      <c r="M362" s="141">
        <f t="shared" si="139"/>
        <v>0</v>
      </c>
      <c r="N362" s="141">
        <f t="shared" si="139"/>
        <v>0</v>
      </c>
      <c r="O362" s="141">
        <f t="shared" si="139"/>
        <v>0</v>
      </c>
      <c r="P362" s="141">
        <f t="shared" si="139"/>
        <v>0</v>
      </c>
      <c r="Q362" s="141">
        <f t="shared" si="139"/>
        <v>0</v>
      </c>
      <c r="R362" s="141">
        <f t="shared" si="139"/>
        <v>0</v>
      </c>
      <c r="S362" s="141">
        <f t="shared" si="139"/>
        <v>0</v>
      </c>
      <c r="T362" s="141">
        <f t="shared" si="139"/>
        <v>0</v>
      </c>
      <c r="U362" s="141">
        <f t="shared" si="139"/>
        <v>0</v>
      </c>
      <c r="V362" s="141">
        <f t="shared" si="139"/>
        <v>0</v>
      </c>
      <c r="W362" s="141">
        <f t="shared" si="139"/>
        <v>0</v>
      </c>
      <c r="X362" s="141">
        <f t="shared" si="139"/>
        <v>0</v>
      </c>
      <c r="Y362" s="141">
        <f t="shared" si="139"/>
        <v>0</v>
      </c>
      <c r="Z362" s="141">
        <f t="shared" si="139"/>
        <v>0</v>
      </c>
      <c r="AA362" s="141">
        <f t="shared" si="139"/>
        <v>0</v>
      </c>
      <c r="AB362" s="141">
        <f t="shared" si="139"/>
        <v>0</v>
      </c>
      <c r="AC362" s="141">
        <f t="shared" si="139"/>
        <v>0</v>
      </c>
      <c r="AD362" s="141">
        <f t="shared" si="139"/>
        <v>0</v>
      </c>
      <c r="AE362" s="141">
        <f t="shared" si="139"/>
        <v>0</v>
      </c>
      <c r="AF362" s="142"/>
      <c r="AG362" s="142"/>
      <c r="AH362" s="142"/>
      <c r="AI362" s="142"/>
    </row>
    <row r="363" spans="2:35" customFormat="1" ht="14.25" x14ac:dyDescent="0.45">
      <c r="B363" s="14" t="s">
        <v>2784</v>
      </c>
      <c r="C363" s="14" t="s">
        <v>2701</v>
      </c>
      <c r="D363" s="15" t="s">
        <v>2785</v>
      </c>
      <c r="E363" s="16" t="s">
        <v>2094</v>
      </c>
      <c r="F363" s="14" t="s">
        <v>2725</v>
      </c>
      <c r="G363" s="17"/>
      <c r="H363" s="17"/>
      <c r="K363" s="140"/>
      <c r="L363" s="143">
        <f t="shared" ref="L363:AE363" si="140">SUMPRODUCT(L$252:L$259*(1-EXP(-L$262:L$269*L$362)))+SUMPRODUCT(L$308:L$323*(1-EXP(-L$272:L$287*L$362)))</f>
        <v>0</v>
      </c>
      <c r="M363" s="143">
        <f t="shared" si="140"/>
        <v>0</v>
      </c>
      <c r="N363" s="143">
        <f t="shared" si="140"/>
        <v>0</v>
      </c>
      <c r="O363" s="143">
        <f t="shared" si="140"/>
        <v>0</v>
      </c>
      <c r="P363" s="143">
        <f t="shared" si="140"/>
        <v>0</v>
      </c>
      <c r="Q363" s="143">
        <f t="shared" si="140"/>
        <v>0</v>
      </c>
      <c r="R363" s="143">
        <f t="shared" si="140"/>
        <v>0</v>
      </c>
      <c r="S363" s="143">
        <f t="shared" si="140"/>
        <v>0</v>
      </c>
      <c r="T363" s="143">
        <f t="shared" si="140"/>
        <v>0</v>
      </c>
      <c r="U363" s="143">
        <f t="shared" si="140"/>
        <v>0</v>
      </c>
      <c r="V363" s="143">
        <f t="shared" si="140"/>
        <v>0</v>
      </c>
      <c r="W363" s="143">
        <f t="shared" si="140"/>
        <v>0</v>
      </c>
      <c r="X363" s="143">
        <f t="shared" si="140"/>
        <v>0</v>
      </c>
      <c r="Y363" s="143">
        <f t="shared" si="140"/>
        <v>0</v>
      </c>
      <c r="Z363" s="143">
        <f t="shared" si="140"/>
        <v>0</v>
      </c>
      <c r="AA363" s="143">
        <f t="shared" si="140"/>
        <v>0</v>
      </c>
      <c r="AB363" s="143">
        <f t="shared" si="140"/>
        <v>0</v>
      </c>
      <c r="AC363" s="143">
        <f t="shared" si="140"/>
        <v>0</v>
      </c>
      <c r="AD363" s="143">
        <f t="shared" si="140"/>
        <v>0</v>
      </c>
      <c r="AE363" s="143">
        <f t="shared" si="140"/>
        <v>0</v>
      </c>
      <c r="AF363" s="142"/>
      <c r="AG363" s="142"/>
      <c r="AH363" s="142"/>
      <c r="AI363" s="142"/>
    </row>
    <row r="364" spans="2:35" customFormat="1" ht="14.25" x14ac:dyDescent="0.45">
      <c r="B364" s="14" t="s">
        <v>2786</v>
      </c>
      <c r="C364" s="14" t="s">
        <v>2701</v>
      </c>
      <c r="D364" s="15" t="s">
        <v>2787</v>
      </c>
      <c r="E364" s="16" t="s">
        <v>1870</v>
      </c>
      <c r="F364" s="14" t="s">
        <v>2728</v>
      </c>
      <c r="G364" s="17"/>
      <c r="H364" s="17"/>
      <c r="K364" s="140"/>
      <c r="L364" s="141">
        <f t="shared" ref="L364:AE364" si="141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41">
        <f t="shared" si="141"/>
        <v>0</v>
      </c>
      <c r="N364" s="141">
        <f t="shared" si="141"/>
        <v>0</v>
      </c>
      <c r="O364" s="141">
        <f t="shared" si="141"/>
        <v>0</v>
      </c>
      <c r="P364" s="141">
        <f t="shared" si="141"/>
        <v>0</v>
      </c>
      <c r="Q364" s="141">
        <f t="shared" si="141"/>
        <v>0</v>
      </c>
      <c r="R364" s="141">
        <f t="shared" si="141"/>
        <v>0</v>
      </c>
      <c r="S364" s="141">
        <f t="shared" si="141"/>
        <v>0</v>
      </c>
      <c r="T364" s="141">
        <f t="shared" si="141"/>
        <v>0</v>
      </c>
      <c r="U364" s="141">
        <f t="shared" si="141"/>
        <v>0</v>
      </c>
      <c r="V364" s="141">
        <f t="shared" si="141"/>
        <v>0</v>
      </c>
      <c r="W364" s="141">
        <f t="shared" si="141"/>
        <v>0</v>
      </c>
      <c r="X364" s="141">
        <f t="shared" si="141"/>
        <v>0</v>
      </c>
      <c r="Y364" s="141">
        <f t="shared" si="141"/>
        <v>0</v>
      </c>
      <c r="Z364" s="141">
        <f t="shared" si="141"/>
        <v>0</v>
      </c>
      <c r="AA364" s="141">
        <f t="shared" si="141"/>
        <v>0</v>
      </c>
      <c r="AB364" s="141">
        <f t="shared" si="141"/>
        <v>0</v>
      </c>
      <c r="AC364" s="141">
        <f t="shared" si="141"/>
        <v>0</v>
      </c>
      <c r="AD364" s="141">
        <f t="shared" si="141"/>
        <v>0</v>
      </c>
      <c r="AE364" s="141">
        <f t="shared" si="141"/>
        <v>0</v>
      </c>
      <c r="AF364" s="142"/>
      <c r="AG364" s="142"/>
      <c r="AH364" s="142"/>
      <c r="AI364" s="142"/>
    </row>
    <row r="365" spans="2:35" customFormat="1" ht="14.25" x14ac:dyDescent="0.45">
      <c r="B365" s="14" t="s">
        <v>2788</v>
      </c>
      <c r="C365" s="14" t="s">
        <v>2701</v>
      </c>
      <c r="D365" s="15" t="s">
        <v>2789</v>
      </c>
      <c r="E365" s="16" t="s">
        <v>2731</v>
      </c>
      <c r="F365" s="14" t="s">
        <v>2732</v>
      </c>
      <c r="G365" s="17"/>
      <c r="H365" s="17"/>
      <c r="K365" s="140"/>
      <c r="L365" s="143">
        <f t="shared" ref="L365:AE365" si="142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43">
        <f t="shared" si="142"/>
        <v>0</v>
      </c>
      <c r="N365" s="143">
        <f t="shared" si="142"/>
        <v>0</v>
      </c>
      <c r="O365" s="143">
        <f t="shared" si="142"/>
        <v>0</v>
      </c>
      <c r="P365" s="143">
        <f t="shared" si="142"/>
        <v>0</v>
      </c>
      <c r="Q365" s="143">
        <f t="shared" si="142"/>
        <v>0</v>
      </c>
      <c r="R365" s="143">
        <f t="shared" si="142"/>
        <v>0</v>
      </c>
      <c r="S365" s="143">
        <f t="shared" si="142"/>
        <v>0</v>
      </c>
      <c r="T365" s="143">
        <f t="shared" si="142"/>
        <v>0</v>
      </c>
      <c r="U365" s="143">
        <f t="shared" si="142"/>
        <v>0</v>
      </c>
      <c r="V365" s="143">
        <f t="shared" si="142"/>
        <v>0</v>
      </c>
      <c r="W365" s="143">
        <f t="shared" si="142"/>
        <v>0</v>
      </c>
      <c r="X365" s="143">
        <f t="shared" si="142"/>
        <v>0</v>
      </c>
      <c r="Y365" s="143">
        <f t="shared" si="142"/>
        <v>0</v>
      </c>
      <c r="Z365" s="143">
        <f t="shared" si="142"/>
        <v>0</v>
      </c>
      <c r="AA365" s="143">
        <f t="shared" si="142"/>
        <v>0</v>
      </c>
      <c r="AB365" s="143">
        <f t="shared" si="142"/>
        <v>0</v>
      </c>
      <c r="AC365" s="143">
        <f t="shared" si="142"/>
        <v>0</v>
      </c>
      <c r="AD365" s="143">
        <f t="shared" si="142"/>
        <v>0</v>
      </c>
      <c r="AE365" s="143">
        <f t="shared" si="142"/>
        <v>0</v>
      </c>
      <c r="AF365" s="142"/>
      <c r="AG365" s="142"/>
      <c r="AH365" s="142"/>
      <c r="AI365" s="142"/>
    </row>
    <row r="366" spans="2:35" customFormat="1" ht="14.25" x14ac:dyDescent="0.45">
      <c r="B366" s="14" t="s">
        <v>2790</v>
      </c>
      <c r="C366" s="14" t="s">
        <v>2701</v>
      </c>
      <c r="D366" s="15" t="s">
        <v>2791</v>
      </c>
      <c r="E366" s="16" t="s">
        <v>1414</v>
      </c>
      <c r="F366" s="14" t="s">
        <v>2735</v>
      </c>
      <c r="G366" s="17"/>
      <c r="H366" s="17"/>
      <c r="K366" s="140"/>
      <c r="L366" s="141">
        <f t="shared" ref="L366:AE366" si="143">IF(L$329&lt;=0,0,IF(L$365&lt;=0,L$362,MIN($F$5,IF(L$362-(L$364-L$329)/L$365&lt;=0,L$362/2,L$362-(L$364-L$329)/L$365))))</f>
        <v>0</v>
      </c>
      <c r="M366" s="141">
        <f t="shared" si="143"/>
        <v>0</v>
      </c>
      <c r="N366" s="141">
        <f t="shared" si="143"/>
        <v>0</v>
      </c>
      <c r="O366" s="141">
        <f t="shared" si="143"/>
        <v>0</v>
      </c>
      <c r="P366" s="141">
        <f t="shared" si="143"/>
        <v>0</v>
      </c>
      <c r="Q366" s="141">
        <f t="shared" si="143"/>
        <v>0</v>
      </c>
      <c r="R366" s="141">
        <f t="shared" si="143"/>
        <v>0</v>
      </c>
      <c r="S366" s="141">
        <f t="shared" si="143"/>
        <v>0</v>
      </c>
      <c r="T366" s="141">
        <f t="shared" si="143"/>
        <v>0</v>
      </c>
      <c r="U366" s="141">
        <f t="shared" si="143"/>
        <v>0</v>
      </c>
      <c r="V366" s="141">
        <f t="shared" si="143"/>
        <v>0</v>
      </c>
      <c r="W366" s="141">
        <f t="shared" si="143"/>
        <v>0</v>
      </c>
      <c r="X366" s="141">
        <f t="shared" si="143"/>
        <v>0</v>
      </c>
      <c r="Y366" s="141">
        <f t="shared" si="143"/>
        <v>0</v>
      </c>
      <c r="Z366" s="141">
        <f t="shared" si="143"/>
        <v>0</v>
      </c>
      <c r="AA366" s="141">
        <f t="shared" si="143"/>
        <v>0</v>
      </c>
      <c r="AB366" s="141">
        <f t="shared" si="143"/>
        <v>0</v>
      </c>
      <c r="AC366" s="141">
        <f t="shared" si="143"/>
        <v>0</v>
      </c>
      <c r="AD366" s="141">
        <f t="shared" si="143"/>
        <v>0</v>
      </c>
      <c r="AE366" s="141">
        <f t="shared" si="143"/>
        <v>0</v>
      </c>
      <c r="AF366" s="142"/>
      <c r="AG366" s="142"/>
      <c r="AH366" s="142"/>
      <c r="AI366" s="142"/>
    </row>
    <row r="367" spans="2:35" customFormat="1" ht="14.25" x14ac:dyDescent="0.45">
      <c r="B367" s="14" t="s">
        <v>2792</v>
      </c>
      <c r="C367" s="14" t="s">
        <v>2701</v>
      </c>
      <c r="D367" s="15" t="s">
        <v>2793</v>
      </c>
      <c r="E367" s="16" t="s">
        <v>2094</v>
      </c>
      <c r="F367" s="14" t="s">
        <v>2725</v>
      </c>
      <c r="G367" s="17"/>
      <c r="H367" s="17"/>
      <c r="K367" s="140"/>
      <c r="L367" s="143">
        <f t="shared" ref="L367:AE367" si="144">SUMPRODUCT(L$252:L$259*(1-EXP(-L$262:L$269*L$366)))+SUMPRODUCT(L$308:L$323*(1-EXP(-L$272:L$287*L$366)))</f>
        <v>0</v>
      </c>
      <c r="M367" s="143">
        <f t="shared" si="144"/>
        <v>0</v>
      </c>
      <c r="N367" s="143">
        <f t="shared" si="144"/>
        <v>0</v>
      </c>
      <c r="O367" s="143">
        <f t="shared" si="144"/>
        <v>0</v>
      </c>
      <c r="P367" s="143">
        <f t="shared" si="144"/>
        <v>0</v>
      </c>
      <c r="Q367" s="143">
        <f t="shared" si="144"/>
        <v>0</v>
      </c>
      <c r="R367" s="143">
        <f t="shared" si="144"/>
        <v>0</v>
      </c>
      <c r="S367" s="143">
        <f t="shared" si="144"/>
        <v>0</v>
      </c>
      <c r="T367" s="143">
        <f t="shared" si="144"/>
        <v>0</v>
      </c>
      <c r="U367" s="143">
        <f t="shared" si="144"/>
        <v>0</v>
      </c>
      <c r="V367" s="143">
        <f t="shared" si="144"/>
        <v>0</v>
      </c>
      <c r="W367" s="143">
        <f t="shared" si="144"/>
        <v>0</v>
      </c>
      <c r="X367" s="143">
        <f t="shared" si="144"/>
        <v>0</v>
      </c>
      <c r="Y367" s="143">
        <f t="shared" si="144"/>
        <v>0</v>
      </c>
      <c r="Z367" s="143">
        <f t="shared" si="144"/>
        <v>0</v>
      </c>
      <c r="AA367" s="143">
        <f t="shared" si="144"/>
        <v>0</v>
      </c>
      <c r="AB367" s="143">
        <f t="shared" si="144"/>
        <v>0</v>
      </c>
      <c r="AC367" s="143">
        <f t="shared" si="144"/>
        <v>0</v>
      </c>
      <c r="AD367" s="143">
        <f t="shared" si="144"/>
        <v>0</v>
      </c>
      <c r="AE367" s="143">
        <f t="shared" si="144"/>
        <v>0</v>
      </c>
      <c r="AF367" s="142"/>
      <c r="AG367" s="142"/>
      <c r="AH367" s="142"/>
      <c r="AI367" s="142"/>
    </row>
    <row r="368" spans="2:35" customFormat="1" ht="14.25" x14ac:dyDescent="0.45">
      <c r="B368" s="14" t="s">
        <v>2794</v>
      </c>
      <c r="C368" s="14" t="s">
        <v>2701</v>
      </c>
      <c r="D368" s="15" t="s">
        <v>2795</v>
      </c>
      <c r="E368" s="16" t="s">
        <v>1870</v>
      </c>
      <c r="F368" s="14" t="s">
        <v>2728</v>
      </c>
      <c r="G368" s="17"/>
      <c r="H368" s="17"/>
      <c r="K368" s="140"/>
      <c r="L368" s="141">
        <f t="shared" ref="L368:AE368" si="145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41">
        <f t="shared" si="145"/>
        <v>0</v>
      </c>
      <c r="N368" s="141">
        <f t="shared" si="145"/>
        <v>0</v>
      </c>
      <c r="O368" s="141">
        <f t="shared" si="145"/>
        <v>0</v>
      </c>
      <c r="P368" s="141">
        <f t="shared" si="145"/>
        <v>0</v>
      </c>
      <c r="Q368" s="141">
        <f t="shared" si="145"/>
        <v>0</v>
      </c>
      <c r="R368" s="141">
        <f t="shared" si="145"/>
        <v>0</v>
      </c>
      <c r="S368" s="141">
        <f t="shared" si="145"/>
        <v>0</v>
      </c>
      <c r="T368" s="141">
        <f t="shared" si="145"/>
        <v>0</v>
      </c>
      <c r="U368" s="141">
        <f t="shared" si="145"/>
        <v>0</v>
      </c>
      <c r="V368" s="141">
        <f t="shared" si="145"/>
        <v>0</v>
      </c>
      <c r="W368" s="141">
        <f t="shared" si="145"/>
        <v>0</v>
      </c>
      <c r="X368" s="141">
        <f t="shared" si="145"/>
        <v>0</v>
      </c>
      <c r="Y368" s="141">
        <f t="shared" si="145"/>
        <v>0</v>
      </c>
      <c r="Z368" s="141">
        <f t="shared" si="145"/>
        <v>0</v>
      </c>
      <c r="AA368" s="141">
        <f t="shared" si="145"/>
        <v>0</v>
      </c>
      <c r="AB368" s="141">
        <f t="shared" si="145"/>
        <v>0</v>
      </c>
      <c r="AC368" s="141">
        <f t="shared" si="145"/>
        <v>0</v>
      </c>
      <c r="AD368" s="141">
        <f t="shared" si="145"/>
        <v>0</v>
      </c>
      <c r="AE368" s="141">
        <f t="shared" si="145"/>
        <v>0</v>
      </c>
      <c r="AF368" s="142"/>
      <c r="AG368" s="142"/>
      <c r="AH368" s="142"/>
      <c r="AI368" s="142"/>
    </row>
    <row r="369" spans="2:35" customFormat="1" ht="14.25" x14ac:dyDescent="0.45">
      <c r="B369" s="14" t="s">
        <v>2796</v>
      </c>
      <c r="C369" s="14" t="s">
        <v>2701</v>
      </c>
      <c r="D369" s="15" t="s">
        <v>2797</v>
      </c>
      <c r="E369" s="16" t="s">
        <v>2731</v>
      </c>
      <c r="F369" s="14" t="s">
        <v>2732</v>
      </c>
      <c r="G369" s="17"/>
      <c r="H369" s="17"/>
      <c r="K369" s="140"/>
      <c r="L369" s="143">
        <f t="shared" ref="L369:AE369" si="146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43">
        <f t="shared" si="146"/>
        <v>0</v>
      </c>
      <c r="N369" s="143">
        <f t="shared" si="146"/>
        <v>0</v>
      </c>
      <c r="O369" s="143">
        <f t="shared" si="146"/>
        <v>0</v>
      </c>
      <c r="P369" s="143">
        <f t="shared" si="146"/>
        <v>0</v>
      </c>
      <c r="Q369" s="143">
        <f t="shared" si="146"/>
        <v>0</v>
      </c>
      <c r="R369" s="143">
        <f t="shared" si="146"/>
        <v>0</v>
      </c>
      <c r="S369" s="143">
        <f t="shared" si="146"/>
        <v>0</v>
      </c>
      <c r="T369" s="143">
        <f t="shared" si="146"/>
        <v>0</v>
      </c>
      <c r="U369" s="143">
        <f t="shared" si="146"/>
        <v>0</v>
      </c>
      <c r="V369" s="143">
        <f t="shared" si="146"/>
        <v>0</v>
      </c>
      <c r="W369" s="143">
        <f t="shared" si="146"/>
        <v>0</v>
      </c>
      <c r="X369" s="143">
        <f t="shared" si="146"/>
        <v>0</v>
      </c>
      <c r="Y369" s="143">
        <f t="shared" si="146"/>
        <v>0</v>
      </c>
      <c r="Z369" s="143">
        <f t="shared" si="146"/>
        <v>0</v>
      </c>
      <c r="AA369" s="143">
        <f t="shared" si="146"/>
        <v>0</v>
      </c>
      <c r="AB369" s="143">
        <f t="shared" si="146"/>
        <v>0</v>
      </c>
      <c r="AC369" s="143">
        <f t="shared" si="146"/>
        <v>0</v>
      </c>
      <c r="AD369" s="143">
        <f t="shared" si="146"/>
        <v>0</v>
      </c>
      <c r="AE369" s="143">
        <f t="shared" si="146"/>
        <v>0</v>
      </c>
      <c r="AF369" s="142"/>
      <c r="AG369" s="142"/>
      <c r="AH369" s="142"/>
      <c r="AI369" s="142"/>
    </row>
    <row r="370" spans="2:35" customFormat="1" ht="14.25" x14ac:dyDescent="0.45">
      <c r="B370" s="14" t="s">
        <v>2798</v>
      </c>
      <c r="C370" s="14" t="s">
        <v>2701</v>
      </c>
      <c r="D370" s="15" t="s">
        <v>2799</v>
      </c>
      <c r="E370" s="16" t="s">
        <v>1414</v>
      </c>
      <c r="F370" s="14" t="s">
        <v>2735</v>
      </c>
      <c r="G370" s="17"/>
      <c r="H370" s="17"/>
      <c r="K370" s="140"/>
      <c r="L370" s="141">
        <f t="shared" ref="L370:AE370" si="147">IF(L$329&lt;=0,0,IF(L$369&lt;=0,L$366,MIN($F$5,IF(L$366-(L$368-L$329)/L$369&lt;=0,L$366/2,L$366-(L$368-L$329)/L$369))))</f>
        <v>0</v>
      </c>
      <c r="M370" s="141">
        <f t="shared" si="147"/>
        <v>0</v>
      </c>
      <c r="N370" s="141">
        <f t="shared" si="147"/>
        <v>0</v>
      </c>
      <c r="O370" s="141">
        <f t="shared" si="147"/>
        <v>0</v>
      </c>
      <c r="P370" s="141">
        <f t="shared" si="147"/>
        <v>0</v>
      </c>
      <c r="Q370" s="141">
        <f t="shared" si="147"/>
        <v>0</v>
      </c>
      <c r="R370" s="141">
        <f t="shared" si="147"/>
        <v>0</v>
      </c>
      <c r="S370" s="141">
        <f t="shared" si="147"/>
        <v>0</v>
      </c>
      <c r="T370" s="141">
        <f t="shared" si="147"/>
        <v>0</v>
      </c>
      <c r="U370" s="141">
        <f t="shared" si="147"/>
        <v>0</v>
      </c>
      <c r="V370" s="141">
        <f t="shared" si="147"/>
        <v>0</v>
      </c>
      <c r="W370" s="141">
        <f t="shared" si="147"/>
        <v>0</v>
      </c>
      <c r="X370" s="141">
        <f t="shared" si="147"/>
        <v>0</v>
      </c>
      <c r="Y370" s="141">
        <f t="shared" si="147"/>
        <v>0</v>
      </c>
      <c r="Z370" s="141">
        <f t="shared" si="147"/>
        <v>0</v>
      </c>
      <c r="AA370" s="141">
        <f t="shared" si="147"/>
        <v>0</v>
      </c>
      <c r="AB370" s="141">
        <f t="shared" si="147"/>
        <v>0</v>
      </c>
      <c r="AC370" s="141">
        <f t="shared" si="147"/>
        <v>0</v>
      </c>
      <c r="AD370" s="141">
        <f t="shared" si="147"/>
        <v>0</v>
      </c>
      <c r="AE370" s="141">
        <f t="shared" si="147"/>
        <v>0</v>
      </c>
      <c r="AF370" s="142"/>
      <c r="AG370" s="142"/>
      <c r="AH370" s="142"/>
      <c r="AI370" s="142"/>
    </row>
    <row r="371" spans="2:35" customFormat="1" ht="14.25" x14ac:dyDescent="0.45">
      <c r="B371" s="14" t="s">
        <v>2800</v>
      </c>
      <c r="C371" s="14" t="s">
        <v>2701</v>
      </c>
      <c r="D371" s="15" t="s">
        <v>2801</v>
      </c>
      <c r="E371" s="16" t="s">
        <v>2094</v>
      </c>
      <c r="F371" s="14" t="s">
        <v>2725</v>
      </c>
      <c r="G371" s="17"/>
      <c r="H371" s="17"/>
      <c r="K371" s="140"/>
      <c r="L371" s="143">
        <f t="shared" ref="L371:AE371" si="148">SUMPRODUCT(L$252:L$259*(1-EXP(-L$262:L$269*L$370)))+SUMPRODUCT(L$308:L$323*(1-EXP(-L$272:L$287*L$370)))</f>
        <v>0</v>
      </c>
      <c r="M371" s="143">
        <f t="shared" si="148"/>
        <v>0</v>
      </c>
      <c r="N371" s="143">
        <f t="shared" si="148"/>
        <v>0</v>
      </c>
      <c r="O371" s="143">
        <f t="shared" si="148"/>
        <v>0</v>
      </c>
      <c r="P371" s="143">
        <f t="shared" si="148"/>
        <v>0</v>
      </c>
      <c r="Q371" s="143">
        <f t="shared" si="148"/>
        <v>0</v>
      </c>
      <c r="R371" s="143">
        <f t="shared" si="148"/>
        <v>0</v>
      </c>
      <c r="S371" s="143">
        <f t="shared" si="148"/>
        <v>0</v>
      </c>
      <c r="T371" s="143">
        <f t="shared" si="148"/>
        <v>0</v>
      </c>
      <c r="U371" s="143">
        <f t="shared" si="148"/>
        <v>0</v>
      </c>
      <c r="V371" s="143">
        <f t="shared" si="148"/>
        <v>0</v>
      </c>
      <c r="W371" s="143">
        <f t="shared" si="148"/>
        <v>0</v>
      </c>
      <c r="X371" s="143">
        <f t="shared" si="148"/>
        <v>0</v>
      </c>
      <c r="Y371" s="143">
        <f t="shared" si="148"/>
        <v>0</v>
      </c>
      <c r="Z371" s="143">
        <f t="shared" si="148"/>
        <v>0</v>
      </c>
      <c r="AA371" s="143">
        <f t="shared" si="148"/>
        <v>0</v>
      </c>
      <c r="AB371" s="143">
        <f t="shared" si="148"/>
        <v>0</v>
      </c>
      <c r="AC371" s="143">
        <f t="shared" si="148"/>
        <v>0</v>
      </c>
      <c r="AD371" s="143">
        <f t="shared" si="148"/>
        <v>0</v>
      </c>
      <c r="AE371" s="143">
        <f t="shared" si="148"/>
        <v>0</v>
      </c>
      <c r="AF371" s="142"/>
      <c r="AG371" s="142"/>
      <c r="AH371" s="142"/>
      <c r="AI371" s="142"/>
    </row>
    <row r="372" spans="2:35" customFormat="1" ht="14.25" x14ac:dyDescent="0.45">
      <c r="B372" s="14" t="s">
        <v>2802</v>
      </c>
      <c r="C372" s="14" t="s">
        <v>2701</v>
      </c>
      <c r="D372" s="15" t="s">
        <v>2803</v>
      </c>
      <c r="E372" s="16" t="s">
        <v>1870</v>
      </c>
      <c r="F372" s="14" t="s">
        <v>2728</v>
      </c>
      <c r="G372" s="17"/>
      <c r="H372" s="17"/>
      <c r="K372" s="140"/>
      <c r="L372" s="141">
        <f t="shared" ref="L372:AE372" si="149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41">
        <f t="shared" si="149"/>
        <v>0</v>
      </c>
      <c r="N372" s="141">
        <f t="shared" si="149"/>
        <v>0</v>
      </c>
      <c r="O372" s="141">
        <f t="shared" si="149"/>
        <v>0</v>
      </c>
      <c r="P372" s="141">
        <f t="shared" si="149"/>
        <v>0</v>
      </c>
      <c r="Q372" s="141">
        <f t="shared" si="149"/>
        <v>0</v>
      </c>
      <c r="R372" s="141">
        <f t="shared" si="149"/>
        <v>0</v>
      </c>
      <c r="S372" s="141">
        <f t="shared" si="149"/>
        <v>0</v>
      </c>
      <c r="T372" s="141">
        <f t="shared" si="149"/>
        <v>0</v>
      </c>
      <c r="U372" s="141">
        <f t="shared" si="149"/>
        <v>0</v>
      </c>
      <c r="V372" s="141">
        <f t="shared" si="149"/>
        <v>0</v>
      </c>
      <c r="W372" s="141">
        <f t="shared" si="149"/>
        <v>0</v>
      </c>
      <c r="X372" s="141">
        <f t="shared" si="149"/>
        <v>0</v>
      </c>
      <c r="Y372" s="141">
        <f t="shared" si="149"/>
        <v>0</v>
      </c>
      <c r="Z372" s="141">
        <f t="shared" si="149"/>
        <v>0</v>
      </c>
      <c r="AA372" s="141">
        <f t="shared" si="149"/>
        <v>0</v>
      </c>
      <c r="AB372" s="141">
        <f t="shared" si="149"/>
        <v>0</v>
      </c>
      <c r="AC372" s="141">
        <f t="shared" si="149"/>
        <v>0</v>
      </c>
      <c r="AD372" s="141">
        <f t="shared" si="149"/>
        <v>0</v>
      </c>
      <c r="AE372" s="141">
        <f t="shared" si="149"/>
        <v>0</v>
      </c>
      <c r="AF372" s="142"/>
      <c r="AG372" s="142"/>
      <c r="AH372" s="142"/>
      <c r="AI372" s="142"/>
    </row>
    <row r="373" spans="2:35" customFormat="1" ht="14.25" x14ac:dyDescent="0.45">
      <c r="B373" s="14" t="s">
        <v>2804</v>
      </c>
      <c r="C373" s="14" t="s">
        <v>2701</v>
      </c>
      <c r="D373" s="15" t="s">
        <v>2805</v>
      </c>
      <c r="E373" s="16" t="s">
        <v>2731</v>
      </c>
      <c r="F373" s="14" t="s">
        <v>2732</v>
      </c>
      <c r="G373" s="17"/>
      <c r="H373" s="17"/>
      <c r="K373" s="140"/>
      <c r="L373" s="143">
        <f t="shared" ref="L373:AE373" si="150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43">
        <f t="shared" si="150"/>
        <v>0</v>
      </c>
      <c r="N373" s="143">
        <f t="shared" si="150"/>
        <v>0</v>
      </c>
      <c r="O373" s="143">
        <f t="shared" si="150"/>
        <v>0</v>
      </c>
      <c r="P373" s="143">
        <f t="shared" si="150"/>
        <v>0</v>
      </c>
      <c r="Q373" s="143">
        <f t="shared" si="150"/>
        <v>0</v>
      </c>
      <c r="R373" s="143">
        <f t="shared" si="150"/>
        <v>0</v>
      </c>
      <c r="S373" s="143">
        <f t="shared" si="150"/>
        <v>0</v>
      </c>
      <c r="T373" s="143">
        <f t="shared" si="150"/>
        <v>0</v>
      </c>
      <c r="U373" s="143">
        <f t="shared" si="150"/>
        <v>0</v>
      </c>
      <c r="V373" s="143">
        <f t="shared" si="150"/>
        <v>0</v>
      </c>
      <c r="W373" s="143">
        <f t="shared" si="150"/>
        <v>0</v>
      </c>
      <c r="X373" s="143">
        <f t="shared" si="150"/>
        <v>0</v>
      </c>
      <c r="Y373" s="143">
        <f t="shared" si="150"/>
        <v>0</v>
      </c>
      <c r="Z373" s="143">
        <f t="shared" si="150"/>
        <v>0</v>
      </c>
      <c r="AA373" s="143">
        <f t="shared" si="150"/>
        <v>0</v>
      </c>
      <c r="AB373" s="143">
        <f t="shared" si="150"/>
        <v>0</v>
      </c>
      <c r="AC373" s="143">
        <f t="shared" si="150"/>
        <v>0</v>
      </c>
      <c r="AD373" s="143">
        <f t="shared" si="150"/>
        <v>0</v>
      </c>
      <c r="AE373" s="143">
        <f t="shared" si="150"/>
        <v>0</v>
      </c>
      <c r="AF373" s="142"/>
      <c r="AG373" s="142"/>
      <c r="AH373" s="142"/>
      <c r="AI373" s="142"/>
    </row>
    <row r="374" spans="2:35" customFormat="1" ht="14.25" x14ac:dyDescent="0.45">
      <c r="B374" s="14" t="s">
        <v>2806</v>
      </c>
      <c r="C374" s="14" t="s">
        <v>2701</v>
      </c>
      <c r="D374" s="15" t="s">
        <v>2807</v>
      </c>
      <c r="E374" s="16" t="s">
        <v>1414</v>
      </c>
      <c r="F374" s="14" t="s">
        <v>2735</v>
      </c>
      <c r="G374" s="17"/>
      <c r="H374" s="17"/>
      <c r="K374" s="140"/>
      <c r="L374" s="141">
        <f t="shared" ref="L374:AE374" si="151">IF(L$329&lt;=0,0,IF(L$373&lt;=0,L$370,MIN($F$5,IF(L$370-(L$372-L$329)/L$373&lt;=0,L$370/2,L$370-(L$372-L$329)/L$373))))</f>
        <v>0</v>
      </c>
      <c r="M374" s="141">
        <f t="shared" si="151"/>
        <v>0</v>
      </c>
      <c r="N374" s="141">
        <f t="shared" si="151"/>
        <v>0</v>
      </c>
      <c r="O374" s="141">
        <f t="shared" si="151"/>
        <v>0</v>
      </c>
      <c r="P374" s="141">
        <f t="shared" si="151"/>
        <v>0</v>
      </c>
      <c r="Q374" s="141">
        <f t="shared" si="151"/>
        <v>0</v>
      </c>
      <c r="R374" s="141">
        <f t="shared" si="151"/>
        <v>0</v>
      </c>
      <c r="S374" s="141">
        <f t="shared" si="151"/>
        <v>0</v>
      </c>
      <c r="T374" s="141">
        <f t="shared" si="151"/>
        <v>0</v>
      </c>
      <c r="U374" s="141">
        <f t="shared" si="151"/>
        <v>0</v>
      </c>
      <c r="V374" s="141">
        <f t="shared" si="151"/>
        <v>0</v>
      </c>
      <c r="W374" s="141">
        <f t="shared" si="151"/>
        <v>0</v>
      </c>
      <c r="X374" s="141">
        <f t="shared" si="151"/>
        <v>0</v>
      </c>
      <c r="Y374" s="141">
        <f t="shared" si="151"/>
        <v>0</v>
      </c>
      <c r="Z374" s="141">
        <f t="shared" si="151"/>
        <v>0</v>
      </c>
      <c r="AA374" s="141">
        <f t="shared" si="151"/>
        <v>0</v>
      </c>
      <c r="AB374" s="141">
        <f t="shared" si="151"/>
        <v>0</v>
      </c>
      <c r="AC374" s="141">
        <f t="shared" si="151"/>
        <v>0</v>
      </c>
      <c r="AD374" s="141">
        <f t="shared" si="151"/>
        <v>0</v>
      </c>
      <c r="AE374" s="141">
        <f t="shared" si="151"/>
        <v>0</v>
      </c>
      <c r="AF374" s="142"/>
      <c r="AG374" s="142"/>
      <c r="AH374" s="142"/>
      <c r="AI374" s="142"/>
    </row>
    <row r="375" spans="2:35" customFormat="1" ht="14.25" x14ac:dyDescent="0.45">
      <c r="B375" s="14" t="s">
        <v>2808</v>
      </c>
      <c r="C375" s="14" t="s">
        <v>2701</v>
      </c>
      <c r="D375" s="15" t="s">
        <v>2809</v>
      </c>
      <c r="E375" s="16" t="s">
        <v>2094</v>
      </c>
      <c r="F375" s="14" t="s">
        <v>2725</v>
      </c>
      <c r="G375" s="17"/>
      <c r="H375" s="17"/>
      <c r="K375" s="140"/>
      <c r="L375" s="143">
        <f t="shared" ref="L375:AE375" si="152">SUMPRODUCT(L$252:L$259*(1-EXP(-L$262:L$269*L$374)))+SUMPRODUCT(L$308:L$323*(1-EXP(-L$272:L$287*L$374)))</f>
        <v>0</v>
      </c>
      <c r="M375" s="143">
        <f t="shared" si="152"/>
        <v>0</v>
      </c>
      <c r="N375" s="143">
        <f t="shared" si="152"/>
        <v>0</v>
      </c>
      <c r="O375" s="143">
        <f t="shared" si="152"/>
        <v>0</v>
      </c>
      <c r="P375" s="143">
        <f t="shared" si="152"/>
        <v>0</v>
      </c>
      <c r="Q375" s="143">
        <f t="shared" si="152"/>
        <v>0</v>
      </c>
      <c r="R375" s="143">
        <f t="shared" si="152"/>
        <v>0</v>
      </c>
      <c r="S375" s="143">
        <f t="shared" si="152"/>
        <v>0</v>
      </c>
      <c r="T375" s="143">
        <f t="shared" si="152"/>
        <v>0</v>
      </c>
      <c r="U375" s="143">
        <f t="shared" si="152"/>
        <v>0</v>
      </c>
      <c r="V375" s="143">
        <f t="shared" si="152"/>
        <v>0</v>
      </c>
      <c r="W375" s="143">
        <f t="shared" si="152"/>
        <v>0</v>
      </c>
      <c r="X375" s="143">
        <f t="shared" si="152"/>
        <v>0</v>
      </c>
      <c r="Y375" s="143">
        <f t="shared" si="152"/>
        <v>0</v>
      </c>
      <c r="Z375" s="143">
        <f t="shared" si="152"/>
        <v>0</v>
      </c>
      <c r="AA375" s="143">
        <f t="shared" si="152"/>
        <v>0</v>
      </c>
      <c r="AB375" s="143">
        <f t="shared" si="152"/>
        <v>0</v>
      </c>
      <c r="AC375" s="143">
        <f t="shared" si="152"/>
        <v>0</v>
      </c>
      <c r="AD375" s="143">
        <f t="shared" si="152"/>
        <v>0</v>
      </c>
      <c r="AE375" s="143">
        <f t="shared" si="152"/>
        <v>0</v>
      </c>
      <c r="AF375" s="142"/>
      <c r="AG375" s="142"/>
      <c r="AH375" s="142"/>
      <c r="AI375" s="142"/>
    </row>
    <row r="376" spans="2:35" customFormat="1" ht="14.25" x14ac:dyDescent="0.45">
      <c r="B376" s="14" t="s">
        <v>2810</v>
      </c>
      <c r="C376" s="14" t="s">
        <v>2701</v>
      </c>
      <c r="D376" s="15" t="s">
        <v>2811</v>
      </c>
      <c r="E376" s="16" t="s">
        <v>1870</v>
      </c>
      <c r="F376" s="14" t="s">
        <v>2728</v>
      </c>
      <c r="G376" s="17"/>
      <c r="H376" s="17"/>
      <c r="K376" s="140"/>
      <c r="L376" s="141">
        <f t="shared" ref="L376:AE376" si="153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41">
        <f t="shared" si="153"/>
        <v>0</v>
      </c>
      <c r="N376" s="141">
        <f t="shared" si="153"/>
        <v>0</v>
      </c>
      <c r="O376" s="141">
        <f t="shared" si="153"/>
        <v>0</v>
      </c>
      <c r="P376" s="141">
        <f t="shared" si="153"/>
        <v>0</v>
      </c>
      <c r="Q376" s="141">
        <f t="shared" si="153"/>
        <v>0</v>
      </c>
      <c r="R376" s="141">
        <f t="shared" si="153"/>
        <v>0</v>
      </c>
      <c r="S376" s="141">
        <f t="shared" si="153"/>
        <v>0</v>
      </c>
      <c r="T376" s="141">
        <f t="shared" si="153"/>
        <v>0</v>
      </c>
      <c r="U376" s="141">
        <f t="shared" si="153"/>
        <v>0</v>
      </c>
      <c r="V376" s="141">
        <f t="shared" si="153"/>
        <v>0</v>
      </c>
      <c r="W376" s="141">
        <f t="shared" si="153"/>
        <v>0</v>
      </c>
      <c r="X376" s="141">
        <f t="shared" si="153"/>
        <v>0</v>
      </c>
      <c r="Y376" s="141">
        <f t="shared" si="153"/>
        <v>0</v>
      </c>
      <c r="Z376" s="141">
        <f t="shared" si="153"/>
        <v>0</v>
      </c>
      <c r="AA376" s="141">
        <f t="shared" si="153"/>
        <v>0</v>
      </c>
      <c r="AB376" s="141">
        <f t="shared" si="153"/>
        <v>0</v>
      </c>
      <c r="AC376" s="141">
        <f t="shared" si="153"/>
        <v>0</v>
      </c>
      <c r="AD376" s="141">
        <f t="shared" si="153"/>
        <v>0</v>
      </c>
      <c r="AE376" s="141">
        <f t="shared" si="153"/>
        <v>0</v>
      </c>
      <c r="AF376" s="142"/>
      <c r="AG376" s="142"/>
      <c r="AH376" s="142"/>
      <c r="AI376" s="142"/>
    </row>
    <row r="377" spans="2:35" customFormat="1" ht="14.25" x14ac:dyDescent="0.45">
      <c r="B377" s="14" t="s">
        <v>2812</v>
      </c>
      <c r="C377" s="14" t="s">
        <v>2701</v>
      </c>
      <c r="D377" s="15" t="s">
        <v>2813</v>
      </c>
      <c r="E377" s="16" t="s">
        <v>2731</v>
      </c>
      <c r="F377" s="14" t="s">
        <v>2732</v>
      </c>
      <c r="G377" s="17"/>
      <c r="H377" s="17"/>
      <c r="K377" s="140"/>
      <c r="L377" s="143">
        <f t="shared" ref="L377:AE377" si="154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43">
        <f t="shared" si="154"/>
        <v>0</v>
      </c>
      <c r="N377" s="143">
        <f t="shared" si="154"/>
        <v>0</v>
      </c>
      <c r="O377" s="143">
        <f t="shared" si="154"/>
        <v>0</v>
      </c>
      <c r="P377" s="143">
        <f t="shared" si="154"/>
        <v>0</v>
      </c>
      <c r="Q377" s="143">
        <f t="shared" si="154"/>
        <v>0</v>
      </c>
      <c r="R377" s="143">
        <f t="shared" si="154"/>
        <v>0</v>
      </c>
      <c r="S377" s="143">
        <f t="shared" si="154"/>
        <v>0</v>
      </c>
      <c r="T377" s="143">
        <f t="shared" si="154"/>
        <v>0</v>
      </c>
      <c r="U377" s="143">
        <f t="shared" si="154"/>
        <v>0</v>
      </c>
      <c r="V377" s="143">
        <f t="shared" si="154"/>
        <v>0</v>
      </c>
      <c r="W377" s="143">
        <f t="shared" si="154"/>
        <v>0</v>
      </c>
      <c r="X377" s="143">
        <f t="shared" si="154"/>
        <v>0</v>
      </c>
      <c r="Y377" s="143">
        <f t="shared" si="154"/>
        <v>0</v>
      </c>
      <c r="Z377" s="143">
        <f t="shared" si="154"/>
        <v>0</v>
      </c>
      <c r="AA377" s="143">
        <f t="shared" si="154"/>
        <v>0</v>
      </c>
      <c r="AB377" s="143">
        <f t="shared" si="154"/>
        <v>0</v>
      </c>
      <c r="AC377" s="143">
        <f t="shared" si="154"/>
        <v>0</v>
      </c>
      <c r="AD377" s="143">
        <f t="shared" si="154"/>
        <v>0</v>
      </c>
      <c r="AE377" s="143">
        <f t="shared" si="154"/>
        <v>0</v>
      </c>
      <c r="AF377" s="142"/>
      <c r="AG377" s="142"/>
      <c r="AH377" s="142"/>
      <c r="AI377" s="142"/>
    </row>
    <row r="378" spans="2:35" customFormat="1" ht="14.25" x14ac:dyDescent="0.45">
      <c r="B378" s="14" t="s">
        <v>2814</v>
      </c>
      <c r="C378" s="14" t="s">
        <v>2701</v>
      </c>
      <c r="D378" s="15" t="s">
        <v>2815</v>
      </c>
      <c r="E378" s="16" t="s">
        <v>1414</v>
      </c>
      <c r="F378" s="14" t="s">
        <v>2735</v>
      </c>
      <c r="G378" s="17"/>
      <c r="H378" s="17"/>
      <c r="K378" s="140"/>
      <c r="L378" s="141">
        <f t="shared" ref="L378:AE378" si="155">IF(L$329&lt;=0,0,IF(L$377&lt;=0,L$374,MIN($F$5,IF(L$374-(L$376-L$329)/L$377&lt;=0,L$374/2,L$374-(L$376-L$329)/L$377))))</f>
        <v>0</v>
      </c>
      <c r="M378" s="141">
        <f t="shared" si="155"/>
        <v>0</v>
      </c>
      <c r="N378" s="141">
        <f t="shared" si="155"/>
        <v>0</v>
      </c>
      <c r="O378" s="141">
        <f t="shared" si="155"/>
        <v>0</v>
      </c>
      <c r="P378" s="141">
        <f t="shared" si="155"/>
        <v>0</v>
      </c>
      <c r="Q378" s="141">
        <f t="shared" si="155"/>
        <v>0</v>
      </c>
      <c r="R378" s="141">
        <f t="shared" si="155"/>
        <v>0</v>
      </c>
      <c r="S378" s="141">
        <f t="shared" si="155"/>
        <v>0</v>
      </c>
      <c r="T378" s="141">
        <f t="shared" si="155"/>
        <v>0</v>
      </c>
      <c r="U378" s="141">
        <f t="shared" si="155"/>
        <v>0</v>
      </c>
      <c r="V378" s="141">
        <f t="shared" si="155"/>
        <v>0</v>
      </c>
      <c r="W378" s="141">
        <f t="shared" si="155"/>
        <v>0</v>
      </c>
      <c r="X378" s="141">
        <f t="shared" si="155"/>
        <v>0</v>
      </c>
      <c r="Y378" s="141">
        <f t="shared" si="155"/>
        <v>0</v>
      </c>
      <c r="Z378" s="141">
        <f t="shared" si="155"/>
        <v>0</v>
      </c>
      <c r="AA378" s="141">
        <f t="shared" si="155"/>
        <v>0</v>
      </c>
      <c r="AB378" s="141">
        <f t="shared" si="155"/>
        <v>0</v>
      </c>
      <c r="AC378" s="141">
        <f t="shared" si="155"/>
        <v>0</v>
      </c>
      <c r="AD378" s="141">
        <f t="shared" si="155"/>
        <v>0</v>
      </c>
      <c r="AE378" s="141">
        <f t="shared" si="155"/>
        <v>0</v>
      </c>
      <c r="AF378" s="142"/>
      <c r="AG378" s="142"/>
      <c r="AH378" s="142"/>
      <c r="AI378" s="142"/>
    </row>
    <row r="379" spans="2:35" customFormat="1" ht="14.25" x14ac:dyDescent="0.45">
      <c r="B379" s="14" t="s">
        <v>2816</v>
      </c>
      <c r="C379" s="14" t="s">
        <v>2701</v>
      </c>
      <c r="D379" s="15" t="s">
        <v>2817</v>
      </c>
      <c r="E379" s="16" t="s">
        <v>2094</v>
      </c>
      <c r="F379" s="14" t="s">
        <v>2725</v>
      </c>
      <c r="G379" s="17"/>
      <c r="H379" s="17"/>
      <c r="K379" s="140"/>
      <c r="L379" s="143">
        <f t="shared" ref="L379:AE379" si="156">SUMPRODUCT(L$252:L$259*(1-EXP(-L$262:L$269*L$378)))+SUMPRODUCT(L$308:L$323*(1-EXP(-L$272:L$287*L$378)))</f>
        <v>0</v>
      </c>
      <c r="M379" s="143">
        <f t="shared" si="156"/>
        <v>0</v>
      </c>
      <c r="N379" s="143">
        <f t="shared" si="156"/>
        <v>0</v>
      </c>
      <c r="O379" s="143">
        <f t="shared" si="156"/>
        <v>0</v>
      </c>
      <c r="P379" s="143">
        <f t="shared" si="156"/>
        <v>0</v>
      </c>
      <c r="Q379" s="143">
        <f t="shared" si="156"/>
        <v>0</v>
      </c>
      <c r="R379" s="143">
        <f t="shared" si="156"/>
        <v>0</v>
      </c>
      <c r="S379" s="143">
        <f t="shared" si="156"/>
        <v>0</v>
      </c>
      <c r="T379" s="143">
        <f t="shared" si="156"/>
        <v>0</v>
      </c>
      <c r="U379" s="143">
        <f t="shared" si="156"/>
        <v>0</v>
      </c>
      <c r="V379" s="143">
        <f t="shared" si="156"/>
        <v>0</v>
      </c>
      <c r="W379" s="143">
        <f t="shared" si="156"/>
        <v>0</v>
      </c>
      <c r="X379" s="143">
        <f t="shared" si="156"/>
        <v>0</v>
      </c>
      <c r="Y379" s="143">
        <f t="shared" si="156"/>
        <v>0</v>
      </c>
      <c r="Z379" s="143">
        <f t="shared" si="156"/>
        <v>0</v>
      </c>
      <c r="AA379" s="143">
        <f t="shared" si="156"/>
        <v>0</v>
      </c>
      <c r="AB379" s="143">
        <f t="shared" si="156"/>
        <v>0</v>
      </c>
      <c r="AC379" s="143">
        <f t="shared" si="156"/>
        <v>0</v>
      </c>
      <c r="AD379" s="143">
        <f t="shared" si="156"/>
        <v>0</v>
      </c>
      <c r="AE379" s="143">
        <f t="shared" si="156"/>
        <v>0</v>
      </c>
      <c r="AF379" s="142"/>
      <c r="AG379" s="142"/>
      <c r="AH379" s="142"/>
      <c r="AI379" s="142"/>
    </row>
    <row r="380" spans="2:35" customFormat="1" ht="14.25" x14ac:dyDescent="0.45">
      <c r="B380" s="14" t="s">
        <v>2818</v>
      </c>
      <c r="C380" s="14" t="s">
        <v>2701</v>
      </c>
      <c r="D380" s="15" t="s">
        <v>2819</v>
      </c>
      <c r="E380" s="16" t="s">
        <v>1870</v>
      </c>
      <c r="F380" s="14" t="s">
        <v>2728</v>
      </c>
      <c r="G380" s="17"/>
      <c r="H380" s="17"/>
      <c r="K380" s="140"/>
      <c r="L380" s="141">
        <f t="shared" ref="L380:AE380" si="157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41">
        <f t="shared" si="157"/>
        <v>0</v>
      </c>
      <c r="N380" s="141">
        <f t="shared" si="157"/>
        <v>0</v>
      </c>
      <c r="O380" s="141">
        <f t="shared" si="157"/>
        <v>0</v>
      </c>
      <c r="P380" s="141">
        <f t="shared" si="157"/>
        <v>0</v>
      </c>
      <c r="Q380" s="141">
        <f t="shared" si="157"/>
        <v>0</v>
      </c>
      <c r="R380" s="141">
        <f t="shared" si="157"/>
        <v>0</v>
      </c>
      <c r="S380" s="141">
        <f t="shared" si="157"/>
        <v>0</v>
      </c>
      <c r="T380" s="141">
        <f t="shared" si="157"/>
        <v>0</v>
      </c>
      <c r="U380" s="141">
        <f t="shared" si="157"/>
        <v>0</v>
      </c>
      <c r="V380" s="141">
        <f t="shared" si="157"/>
        <v>0</v>
      </c>
      <c r="W380" s="141">
        <f t="shared" si="157"/>
        <v>0</v>
      </c>
      <c r="X380" s="141">
        <f t="shared" si="157"/>
        <v>0</v>
      </c>
      <c r="Y380" s="141">
        <f t="shared" si="157"/>
        <v>0</v>
      </c>
      <c r="Z380" s="141">
        <f t="shared" si="157"/>
        <v>0</v>
      </c>
      <c r="AA380" s="141">
        <f t="shared" si="157"/>
        <v>0</v>
      </c>
      <c r="AB380" s="141">
        <f t="shared" si="157"/>
        <v>0</v>
      </c>
      <c r="AC380" s="141">
        <f t="shared" si="157"/>
        <v>0</v>
      </c>
      <c r="AD380" s="141">
        <f t="shared" si="157"/>
        <v>0</v>
      </c>
      <c r="AE380" s="141">
        <f t="shared" si="157"/>
        <v>0</v>
      </c>
      <c r="AF380" s="142"/>
      <c r="AG380" s="142"/>
      <c r="AH380" s="142"/>
      <c r="AI380" s="142"/>
    </row>
    <row r="381" spans="2:35" customFormat="1" ht="14.25" x14ac:dyDescent="0.45">
      <c r="B381" s="14" t="s">
        <v>2820</v>
      </c>
      <c r="C381" s="14" t="s">
        <v>2701</v>
      </c>
      <c r="D381" s="15" t="s">
        <v>2821</v>
      </c>
      <c r="E381" s="16" t="s">
        <v>2731</v>
      </c>
      <c r="F381" s="14" t="s">
        <v>2732</v>
      </c>
      <c r="G381" s="17"/>
      <c r="H381" s="17"/>
      <c r="K381" s="140"/>
      <c r="L381" s="143">
        <f t="shared" ref="L381:AE381" si="158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43">
        <f t="shared" si="158"/>
        <v>0</v>
      </c>
      <c r="N381" s="143">
        <f t="shared" si="158"/>
        <v>0</v>
      </c>
      <c r="O381" s="143">
        <f t="shared" si="158"/>
        <v>0</v>
      </c>
      <c r="P381" s="143">
        <f t="shared" si="158"/>
        <v>0</v>
      </c>
      <c r="Q381" s="143">
        <f t="shared" si="158"/>
        <v>0</v>
      </c>
      <c r="R381" s="143">
        <f t="shared" si="158"/>
        <v>0</v>
      </c>
      <c r="S381" s="143">
        <f t="shared" si="158"/>
        <v>0</v>
      </c>
      <c r="T381" s="143">
        <f t="shared" si="158"/>
        <v>0</v>
      </c>
      <c r="U381" s="143">
        <f t="shared" si="158"/>
        <v>0</v>
      </c>
      <c r="V381" s="143">
        <f t="shared" si="158"/>
        <v>0</v>
      </c>
      <c r="W381" s="143">
        <f t="shared" si="158"/>
        <v>0</v>
      </c>
      <c r="X381" s="143">
        <f t="shared" si="158"/>
        <v>0</v>
      </c>
      <c r="Y381" s="143">
        <f t="shared" si="158"/>
        <v>0</v>
      </c>
      <c r="Z381" s="143">
        <f t="shared" si="158"/>
        <v>0</v>
      </c>
      <c r="AA381" s="143">
        <f t="shared" si="158"/>
        <v>0</v>
      </c>
      <c r="AB381" s="143">
        <f t="shared" si="158"/>
        <v>0</v>
      </c>
      <c r="AC381" s="143">
        <f t="shared" si="158"/>
        <v>0</v>
      </c>
      <c r="AD381" s="143">
        <f t="shared" si="158"/>
        <v>0</v>
      </c>
      <c r="AE381" s="143">
        <f t="shared" si="158"/>
        <v>0</v>
      </c>
      <c r="AF381" s="142"/>
      <c r="AG381" s="142"/>
      <c r="AH381" s="142"/>
      <c r="AI381" s="142"/>
    </row>
    <row r="382" spans="2:35" customFormat="1" ht="14.25" x14ac:dyDescent="0.45">
      <c r="B382" s="14" t="s">
        <v>2822</v>
      </c>
      <c r="C382" s="14" t="s">
        <v>2701</v>
      </c>
      <c r="D382" s="15" t="s">
        <v>2823</v>
      </c>
      <c r="E382" s="16" t="s">
        <v>1414</v>
      </c>
      <c r="F382" s="14" t="s">
        <v>2735</v>
      </c>
      <c r="G382" s="17"/>
      <c r="H382" s="17"/>
      <c r="K382" s="140"/>
      <c r="L382" s="141">
        <f t="shared" ref="L382:AE382" si="159">IF(L$329&lt;=0,0,IF(L$381&lt;=0,L$378,MIN($F$5,IF(L$378-(L$380-L$329)/L$381&lt;=0,L$378/2,L$378-(L$380-L$329)/L$381))))</f>
        <v>0</v>
      </c>
      <c r="M382" s="141">
        <f t="shared" si="159"/>
        <v>0</v>
      </c>
      <c r="N382" s="141">
        <f t="shared" si="159"/>
        <v>0</v>
      </c>
      <c r="O382" s="141">
        <f t="shared" si="159"/>
        <v>0</v>
      </c>
      <c r="P382" s="141">
        <f t="shared" si="159"/>
        <v>0</v>
      </c>
      <c r="Q382" s="141">
        <f t="shared" si="159"/>
        <v>0</v>
      </c>
      <c r="R382" s="141">
        <f t="shared" si="159"/>
        <v>0</v>
      </c>
      <c r="S382" s="141">
        <f t="shared" si="159"/>
        <v>0</v>
      </c>
      <c r="T382" s="141">
        <f t="shared" si="159"/>
        <v>0</v>
      </c>
      <c r="U382" s="141">
        <f t="shared" si="159"/>
        <v>0</v>
      </c>
      <c r="V382" s="141">
        <f t="shared" si="159"/>
        <v>0</v>
      </c>
      <c r="W382" s="141">
        <f t="shared" si="159"/>
        <v>0</v>
      </c>
      <c r="X382" s="141">
        <f t="shared" si="159"/>
        <v>0</v>
      </c>
      <c r="Y382" s="141">
        <f t="shared" si="159"/>
        <v>0</v>
      </c>
      <c r="Z382" s="141">
        <f t="shared" si="159"/>
        <v>0</v>
      </c>
      <c r="AA382" s="141">
        <f t="shared" si="159"/>
        <v>0</v>
      </c>
      <c r="AB382" s="141">
        <f t="shared" si="159"/>
        <v>0</v>
      </c>
      <c r="AC382" s="141">
        <f t="shared" si="159"/>
        <v>0</v>
      </c>
      <c r="AD382" s="141">
        <f t="shared" si="159"/>
        <v>0</v>
      </c>
      <c r="AE382" s="141">
        <f t="shared" si="159"/>
        <v>0</v>
      </c>
      <c r="AF382" s="142"/>
      <c r="AG382" s="142"/>
      <c r="AH382" s="142"/>
      <c r="AI382" s="142"/>
    </row>
    <row r="383" spans="2:35" customFormat="1" ht="14.25" x14ac:dyDescent="0.45">
      <c r="B383" s="14" t="s">
        <v>2824</v>
      </c>
      <c r="C383" s="14" t="s">
        <v>2701</v>
      </c>
      <c r="D383" s="15" t="s">
        <v>2825</v>
      </c>
      <c r="E383" s="16" t="s">
        <v>2094</v>
      </c>
      <c r="F383" s="14" t="s">
        <v>2725</v>
      </c>
      <c r="G383" s="17"/>
      <c r="H383" s="17"/>
      <c r="K383" s="140"/>
      <c r="L383" s="143">
        <f t="shared" ref="L383:AE383" si="160">SUMPRODUCT(L$252:L$259*(1-EXP(-L$262:L$269*L$382)))+SUMPRODUCT(L$308:L$323*(1-EXP(-L$272:L$287*L$382)))</f>
        <v>0</v>
      </c>
      <c r="M383" s="143">
        <f t="shared" si="160"/>
        <v>0</v>
      </c>
      <c r="N383" s="143">
        <f t="shared" si="160"/>
        <v>0</v>
      </c>
      <c r="O383" s="143">
        <f t="shared" si="160"/>
        <v>0</v>
      </c>
      <c r="P383" s="143">
        <f t="shared" si="160"/>
        <v>0</v>
      </c>
      <c r="Q383" s="143">
        <f t="shared" si="160"/>
        <v>0</v>
      </c>
      <c r="R383" s="143">
        <f t="shared" si="160"/>
        <v>0</v>
      </c>
      <c r="S383" s="143">
        <f t="shared" si="160"/>
        <v>0</v>
      </c>
      <c r="T383" s="143">
        <f t="shared" si="160"/>
        <v>0</v>
      </c>
      <c r="U383" s="143">
        <f t="shared" si="160"/>
        <v>0</v>
      </c>
      <c r="V383" s="143">
        <f t="shared" si="160"/>
        <v>0</v>
      </c>
      <c r="W383" s="143">
        <f t="shared" si="160"/>
        <v>0</v>
      </c>
      <c r="X383" s="143">
        <f t="shared" si="160"/>
        <v>0</v>
      </c>
      <c r="Y383" s="143">
        <f t="shared" si="160"/>
        <v>0</v>
      </c>
      <c r="Z383" s="143">
        <f t="shared" si="160"/>
        <v>0</v>
      </c>
      <c r="AA383" s="143">
        <f t="shared" si="160"/>
        <v>0</v>
      </c>
      <c r="AB383" s="143">
        <f t="shared" si="160"/>
        <v>0</v>
      </c>
      <c r="AC383" s="143">
        <f t="shared" si="160"/>
        <v>0</v>
      </c>
      <c r="AD383" s="143">
        <f t="shared" si="160"/>
        <v>0</v>
      </c>
      <c r="AE383" s="143">
        <f t="shared" si="160"/>
        <v>0</v>
      </c>
      <c r="AF383" s="142"/>
      <c r="AG383" s="142"/>
      <c r="AH383" s="142"/>
      <c r="AI383" s="142"/>
    </row>
    <row r="384" spans="2:35" customFormat="1" ht="14.25" x14ac:dyDescent="0.45">
      <c r="B384" s="14" t="s">
        <v>2826</v>
      </c>
      <c r="C384" s="14" t="s">
        <v>2701</v>
      </c>
      <c r="D384" s="15" t="s">
        <v>2827</v>
      </c>
      <c r="E384" s="16" t="s">
        <v>1870</v>
      </c>
      <c r="F384" s="14" t="s">
        <v>2728</v>
      </c>
      <c r="G384" s="17"/>
      <c r="H384" s="17"/>
      <c r="K384" s="140"/>
      <c r="L384" s="141">
        <f t="shared" ref="L384:AE384" si="161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41">
        <f t="shared" si="161"/>
        <v>0</v>
      </c>
      <c r="N384" s="141">
        <f t="shared" si="161"/>
        <v>0</v>
      </c>
      <c r="O384" s="141">
        <f t="shared" si="161"/>
        <v>0</v>
      </c>
      <c r="P384" s="141">
        <f t="shared" si="161"/>
        <v>0</v>
      </c>
      <c r="Q384" s="141">
        <f t="shared" si="161"/>
        <v>0</v>
      </c>
      <c r="R384" s="141">
        <f t="shared" si="161"/>
        <v>0</v>
      </c>
      <c r="S384" s="141">
        <f t="shared" si="161"/>
        <v>0</v>
      </c>
      <c r="T384" s="141">
        <f t="shared" si="161"/>
        <v>0</v>
      </c>
      <c r="U384" s="141">
        <f t="shared" si="161"/>
        <v>0</v>
      </c>
      <c r="V384" s="141">
        <f t="shared" si="161"/>
        <v>0</v>
      </c>
      <c r="W384" s="141">
        <f t="shared" si="161"/>
        <v>0</v>
      </c>
      <c r="X384" s="141">
        <f t="shared" si="161"/>
        <v>0</v>
      </c>
      <c r="Y384" s="141">
        <f t="shared" si="161"/>
        <v>0</v>
      </c>
      <c r="Z384" s="141">
        <f t="shared" si="161"/>
        <v>0</v>
      </c>
      <c r="AA384" s="141">
        <f t="shared" si="161"/>
        <v>0</v>
      </c>
      <c r="AB384" s="141">
        <f t="shared" si="161"/>
        <v>0</v>
      </c>
      <c r="AC384" s="141">
        <f t="shared" si="161"/>
        <v>0</v>
      </c>
      <c r="AD384" s="141">
        <f t="shared" si="161"/>
        <v>0</v>
      </c>
      <c r="AE384" s="141">
        <f t="shared" si="161"/>
        <v>0</v>
      </c>
      <c r="AF384" s="142"/>
      <c r="AG384" s="142"/>
      <c r="AH384" s="142"/>
      <c r="AI384" s="142"/>
    </row>
    <row r="385" spans="1:35" customFormat="1" ht="14.25" x14ac:dyDescent="0.45">
      <c r="B385" s="14" t="s">
        <v>2828</v>
      </c>
      <c r="C385" s="14" t="s">
        <v>2701</v>
      </c>
      <c r="D385" s="15" t="s">
        <v>2829</v>
      </c>
      <c r="E385" s="16" t="s">
        <v>2731</v>
      </c>
      <c r="F385" s="14" t="s">
        <v>2732</v>
      </c>
      <c r="G385" s="17"/>
      <c r="H385" s="17"/>
      <c r="K385" s="140"/>
      <c r="L385" s="143">
        <f t="shared" ref="L385:AE385" si="162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43">
        <f t="shared" si="162"/>
        <v>0</v>
      </c>
      <c r="N385" s="143">
        <f t="shared" si="162"/>
        <v>0</v>
      </c>
      <c r="O385" s="143">
        <f t="shared" si="162"/>
        <v>0</v>
      </c>
      <c r="P385" s="143">
        <f t="shared" si="162"/>
        <v>0</v>
      </c>
      <c r="Q385" s="143">
        <f t="shared" si="162"/>
        <v>0</v>
      </c>
      <c r="R385" s="143">
        <f t="shared" si="162"/>
        <v>0</v>
      </c>
      <c r="S385" s="143">
        <f t="shared" si="162"/>
        <v>0</v>
      </c>
      <c r="T385" s="143">
        <f t="shared" si="162"/>
        <v>0</v>
      </c>
      <c r="U385" s="143">
        <f t="shared" si="162"/>
        <v>0</v>
      </c>
      <c r="V385" s="143">
        <f t="shared" si="162"/>
        <v>0</v>
      </c>
      <c r="W385" s="143">
        <f t="shared" si="162"/>
        <v>0</v>
      </c>
      <c r="X385" s="143">
        <f t="shared" si="162"/>
        <v>0</v>
      </c>
      <c r="Y385" s="143">
        <f t="shared" si="162"/>
        <v>0</v>
      </c>
      <c r="Z385" s="143">
        <f t="shared" si="162"/>
        <v>0</v>
      </c>
      <c r="AA385" s="143">
        <f t="shared" si="162"/>
        <v>0</v>
      </c>
      <c r="AB385" s="143">
        <f t="shared" si="162"/>
        <v>0</v>
      </c>
      <c r="AC385" s="143">
        <f t="shared" si="162"/>
        <v>0</v>
      </c>
      <c r="AD385" s="143">
        <f t="shared" si="162"/>
        <v>0</v>
      </c>
      <c r="AE385" s="143">
        <f t="shared" si="162"/>
        <v>0</v>
      </c>
      <c r="AF385" s="142"/>
      <c r="AG385" s="142"/>
      <c r="AH385" s="142"/>
      <c r="AI385" s="142"/>
    </row>
    <row r="386" spans="1:35" customFormat="1" ht="14.25" x14ac:dyDescent="0.45">
      <c r="B386" s="14" t="s">
        <v>2830</v>
      </c>
      <c r="C386" s="14" t="s">
        <v>2701</v>
      </c>
      <c r="D386" s="15" t="s">
        <v>2831</v>
      </c>
      <c r="E386" s="16" t="s">
        <v>1414</v>
      </c>
      <c r="F386" s="14" t="s">
        <v>2735</v>
      </c>
      <c r="G386" s="17"/>
      <c r="H386" s="17"/>
      <c r="K386" s="140"/>
      <c r="L386" s="141">
        <f t="shared" ref="L386:AE386" si="163">IF(L$329&lt;=0,0,IF(L$385&lt;=0,L$382,MIN($F$5,IF(L$382-(L$384-L$329)/L$385&lt;=0,L$382/2,L$382-(L$384-L$329)/L$385))))</f>
        <v>0</v>
      </c>
      <c r="M386" s="141">
        <f t="shared" si="163"/>
        <v>0</v>
      </c>
      <c r="N386" s="141">
        <f t="shared" si="163"/>
        <v>0</v>
      </c>
      <c r="O386" s="141">
        <f t="shared" si="163"/>
        <v>0</v>
      </c>
      <c r="P386" s="141">
        <f t="shared" si="163"/>
        <v>0</v>
      </c>
      <c r="Q386" s="141">
        <f t="shared" si="163"/>
        <v>0</v>
      </c>
      <c r="R386" s="141">
        <f t="shared" si="163"/>
        <v>0</v>
      </c>
      <c r="S386" s="141">
        <f t="shared" si="163"/>
        <v>0</v>
      </c>
      <c r="T386" s="141">
        <f t="shared" si="163"/>
        <v>0</v>
      </c>
      <c r="U386" s="141">
        <f t="shared" si="163"/>
        <v>0</v>
      </c>
      <c r="V386" s="141">
        <f t="shared" si="163"/>
        <v>0</v>
      </c>
      <c r="W386" s="141">
        <f t="shared" si="163"/>
        <v>0</v>
      </c>
      <c r="X386" s="141">
        <f t="shared" si="163"/>
        <v>0</v>
      </c>
      <c r="Y386" s="141">
        <f t="shared" si="163"/>
        <v>0</v>
      </c>
      <c r="Z386" s="141">
        <f t="shared" si="163"/>
        <v>0</v>
      </c>
      <c r="AA386" s="141">
        <f t="shared" si="163"/>
        <v>0</v>
      </c>
      <c r="AB386" s="141">
        <f t="shared" si="163"/>
        <v>0</v>
      </c>
      <c r="AC386" s="141">
        <f t="shared" si="163"/>
        <v>0</v>
      </c>
      <c r="AD386" s="141">
        <f t="shared" si="163"/>
        <v>0</v>
      </c>
      <c r="AE386" s="141">
        <f t="shared" si="163"/>
        <v>0</v>
      </c>
      <c r="AF386" s="142"/>
      <c r="AG386" s="142"/>
      <c r="AH386" s="142"/>
      <c r="AI386" s="142"/>
    </row>
    <row r="387" spans="1:35" customFormat="1" ht="14.25" x14ac:dyDescent="0.45">
      <c r="B387" s="14" t="s">
        <v>2832</v>
      </c>
      <c r="C387" s="14" t="s">
        <v>2701</v>
      </c>
      <c r="D387" s="15" t="s">
        <v>2833</v>
      </c>
      <c r="E387" s="16" t="s">
        <v>2094</v>
      </c>
      <c r="F387" s="14" t="s">
        <v>2725</v>
      </c>
      <c r="G387" s="17"/>
      <c r="H387" s="17"/>
      <c r="K387" s="140"/>
      <c r="L387" s="143">
        <f t="shared" ref="L387:AE387" si="164">SUMPRODUCT(L$252:L$259*(1-EXP(-L$262:L$269*L$386)))+SUMPRODUCT(L$308:L$323*(1-EXP(-L$272:L$287*L$386)))</f>
        <v>0</v>
      </c>
      <c r="M387" s="143">
        <f t="shared" si="164"/>
        <v>0</v>
      </c>
      <c r="N387" s="143">
        <f t="shared" si="164"/>
        <v>0</v>
      </c>
      <c r="O387" s="143">
        <f t="shared" si="164"/>
        <v>0</v>
      </c>
      <c r="P387" s="143">
        <f t="shared" si="164"/>
        <v>0</v>
      </c>
      <c r="Q387" s="143">
        <f t="shared" si="164"/>
        <v>0</v>
      </c>
      <c r="R387" s="143">
        <f t="shared" si="164"/>
        <v>0</v>
      </c>
      <c r="S387" s="143">
        <f t="shared" si="164"/>
        <v>0</v>
      </c>
      <c r="T387" s="143">
        <f t="shared" si="164"/>
        <v>0</v>
      </c>
      <c r="U387" s="143">
        <f t="shared" si="164"/>
        <v>0</v>
      </c>
      <c r="V387" s="143">
        <f t="shared" si="164"/>
        <v>0</v>
      </c>
      <c r="W387" s="143">
        <f t="shared" si="164"/>
        <v>0</v>
      </c>
      <c r="X387" s="143">
        <f t="shared" si="164"/>
        <v>0</v>
      </c>
      <c r="Y387" s="143">
        <f t="shared" si="164"/>
        <v>0</v>
      </c>
      <c r="Z387" s="143">
        <f t="shared" si="164"/>
        <v>0</v>
      </c>
      <c r="AA387" s="143">
        <f t="shared" si="164"/>
        <v>0</v>
      </c>
      <c r="AB387" s="143">
        <f t="shared" si="164"/>
        <v>0</v>
      </c>
      <c r="AC387" s="143">
        <f t="shared" si="164"/>
        <v>0</v>
      </c>
      <c r="AD387" s="143">
        <f t="shared" si="164"/>
        <v>0</v>
      </c>
      <c r="AE387" s="143">
        <f t="shared" si="164"/>
        <v>0</v>
      </c>
      <c r="AF387" s="142"/>
      <c r="AG387" s="142"/>
      <c r="AH387" s="142"/>
      <c r="AI387" s="142"/>
    </row>
    <row r="388" spans="1:35" customFormat="1" ht="14.25" x14ac:dyDescent="0.45">
      <c r="B388" s="14" t="s">
        <v>2834</v>
      </c>
      <c r="C388" s="14" t="s">
        <v>2701</v>
      </c>
      <c r="D388" s="15" t="s">
        <v>2835</v>
      </c>
      <c r="E388" s="16" t="s">
        <v>1870</v>
      </c>
      <c r="F388" s="14" t="s">
        <v>2728</v>
      </c>
      <c r="G388" s="17"/>
      <c r="H388" s="17"/>
      <c r="K388" s="140"/>
      <c r="L388" s="141">
        <f t="shared" ref="L388:AE388" si="165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41">
        <f t="shared" si="165"/>
        <v>0</v>
      </c>
      <c r="N388" s="141">
        <f t="shared" si="165"/>
        <v>0</v>
      </c>
      <c r="O388" s="141">
        <f t="shared" si="165"/>
        <v>0</v>
      </c>
      <c r="P388" s="141">
        <f t="shared" si="165"/>
        <v>0</v>
      </c>
      <c r="Q388" s="141">
        <f t="shared" si="165"/>
        <v>0</v>
      </c>
      <c r="R388" s="141">
        <f t="shared" si="165"/>
        <v>0</v>
      </c>
      <c r="S388" s="141">
        <f t="shared" si="165"/>
        <v>0</v>
      </c>
      <c r="T388" s="141">
        <f t="shared" si="165"/>
        <v>0</v>
      </c>
      <c r="U388" s="141">
        <f t="shared" si="165"/>
        <v>0</v>
      </c>
      <c r="V388" s="141">
        <f t="shared" si="165"/>
        <v>0</v>
      </c>
      <c r="W388" s="141">
        <f t="shared" si="165"/>
        <v>0</v>
      </c>
      <c r="X388" s="141">
        <f t="shared" si="165"/>
        <v>0</v>
      </c>
      <c r="Y388" s="141">
        <f t="shared" si="165"/>
        <v>0</v>
      </c>
      <c r="Z388" s="141">
        <f t="shared" si="165"/>
        <v>0</v>
      </c>
      <c r="AA388" s="141">
        <f t="shared" si="165"/>
        <v>0</v>
      </c>
      <c r="AB388" s="141">
        <f t="shared" si="165"/>
        <v>0</v>
      </c>
      <c r="AC388" s="141">
        <f t="shared" si="165"/>
        <v>0</v>
      </c>
      <c r="AD388" s="141">
        <f t="shared" si="165"/>
        <v>0</v>
      </c>
      <c r="AE388" s="141">
        <f t="shared" si="165"/>
        <v>0</v>
      </c>
      <c r="AF388" s="142"/>
      <c r="AG388" s="142"/>
      <c r="AH388" s="142"/>
      <c r="AI388" s="142"/>
    </row>
    <row r="389" spans="1:35" customFormat="1" ht="14.25" x14ac:dyDescent="0.45">
      <c r="B389" s="14" t="s">
        <v>2836</v>
      </c>
      <c r="C389" s="14" t="s">
        <v>2701</v>
      </c>
      <c r="D389" s="15" t="s">
        <v>2837</v>
      </c>
      <c r="E389" s="16" t="s">
        <v>2731</v>
      </c>
      <c r="F389" s="14" t="s">
        <v>2732</v>
      </c>
      <c r="G389" s="17"/>
      <c r="H389" s="17"/>
      <c r="K389" s="140"/>
      <c r="L389" s="143">
        <f t="shared" ref="L389:AE389" si="166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43">
        <f t="shared" si="166"/>
        <v>0</v>
      </c>
      <c r="N389" s="143">
        <f t="shared" si="166"/>
        <v>0</v>
      </c>
      <c r="O389" s="143">
        <f t="shared" si="166"/>
        <v>0</v>
      </c>
      <c r="P389" s="143">
        <f t="shared" si="166"/>
        <v>0</v>
      </c>
      <c r="Q389" s="143">
        <f t="shared" si="166"/>
        <v>0</v>
      </c>
      <c r="R389" s="143">
        <f t="shared" si="166"/>
        <v>0</v>
      </c>
      <c r="S389" s="143">
        <f t="shared" si="166"/>
        <v>0</v>
      </c>
      <c r="T389" s="143">
        <f t="shared" si="166"/>
        <v>0</v>
      </c>
      <c r="U389" s="143">
        <f t="shared" si="166"/>
        <v>0</v>
      </c>
      <c r="V389" s="143">
        <f t="shared" si="166"/>
        <v>0</v>
      </c>
      <c r="W389" s="143">
        <f t="shared" si="166"/>
        <v>0</v>
      </c>
      <c r="X389" s="143">
        <f t="shared" si="166"/>
        <v>0</v>
      </c>
      <c r="Y389" s="143">
        <f t="shared" si="166"/>
        <v>0</v>
      </c>
      <c r="Z389" s="143">
        <f t="shared" si="166"/>
        <v>0</v>
      </c>
      <c r="AA389" s="143">
        <f t="shared" si="166"/>
        <v>0</v>
      </c>
      <c r="AB389" s="143">
        <f t="shared" si="166"/>
        <v>0</v>
      </c>
      <c r="AC389" s="143">
        <f t="shared" si="166"/>
        <v>0</v>
      </c>
      <c r="AD389" s="143">
        <f t="shared" si="166"/>
        <v>0</v>
      </c>
      <c r="AE389" s="143">
        <f t="shared" si="166"/>
        <v>0</v>
      </c>
      <c r="AF389" s="142"/>
      <c r="AG389" s="142"/>
      <c r="AH389" s="142"/>
      <c r="AI389" s="142"/>
    </row>
    <row r="390" spans="1:35" customFormat="1" ht="14.25" x14ac:dyDescent="0.45">
      <c r="B390" s="14" t="s">
        <v>2838</v>
      </c>
      <c r="C390" s="14" t="s">
        <v>2701</v>
      </c>
      <c r="D390" s="15" t="s">
        <v>2839</v>
      </c>
      <c r="E390" s="16" t="s">
        <v>1414</v>
      </c>
      <c r="F390" s="14" t="s">
        <v>2735</v>
      </c>
      <c r="G390" s="17"/>
      <c r="H390" s="17"/>
      <c r="K390" s="140"/>
      <c r="L390" s="141">
        <f t="shared" ref="L390:AE390" si="167">IF(L$329&lt;=0,0,IF(L$389&lt;=0,L$386,MIN($F$5,IF(L$386-(L$388-L$329)/L$389&lt;=0,L$386/2,L$386-(L$388-L$329)/L$389))))</f>
        <v>0</v>
      </c>
      <c r="M390" s="141">
        <f t="shared" si="167"/>
        <v>0</v>
      </c>
      <c r="N390" s="141">
        <f t="shared" si="167"/>
        <v>0</v>
      </c>
      <c r="O390" s="141">
        <f t="shared" si="167"/>
        <v>0</v>
      </c>
      <c r="P390" s="141">
        <f t="shared" si="167"/>
        <v>0</v>
      </c>
      <c r="Q390" s="141">
        <f t="shared" si="167"/>
        <v>0</v>
      </c>
      <c r="R390" s="141">
        <f t="shared" si="167"/>
        <v>0</v>
      </c>
      <c r="S390" s="141">
        <f t="shared" si="167"/>
        <v>0</v>
      </c>
      <c r="T390" s="141">
        <f t="shared" si="167"/>
        <v>0</v>
      </c>
      <c r="U390" s="141">
        <f t="shared" si="167"/>
        <v>0</v>
      </c>
      <c r="V390" s="141">
        <f t="shared" si="167"/>
        <v>0</v>
      </c>
      <c r="W390" s="141">
        <f t="shared" si="167"/>
        <v>0</v>
      </c>
      <c r="X390" s="141">
        <f t="shared" si="167"/>
        <v>0</v>
      </c>
      <c r="Y390" s="141">
        <f t="shared" si="167"/>
        <v>0</v>
      </c>
      <c r="Z390" s="141">
        <f t="shared" si="167"/>
        <v>0</v>
      </c>
      <c r="AA390" s="141">
        <f t="shared" si="167"/>
        <v>0</v>
      </c>
      <c r="AB390" s="141">
        <f t="shared" si="167"/>
        <v>0</v>
      </c>
      <c r="AC390" s="141">
        <f t="shared" si="167"/>
        <v>0</v>
      </c>
      <c r="AD390" s="141">
        <f t="shared" si="167"/>
        <v>0</v>
      </c>
      <c r="AE390" s="141">
        <f t="shared" si="167"/>
        <v>0</v>
      </c>
      <c r="AF390" s="142"/>
      <c r="AG390" s="142"/>
      <c r="AH390" s="142"/>
      <c r="AI390" s="142"/>
    </row>
    <row r="391" spans="1:35" customFormat="1" ht="14.25" x14ac:dyDescent="0.45">
      <c r="B391" s="14" t="s">
        <v>2840</v>
      </c>
      <c r="C391" s="14" t="s">
        <v>2701</v>
      </c>
      <c r="D391" s="15" t="s">
        <v>2841</v>
      </c>
      <c r="E391" s="16" t="s">
        <v>2094</v>
      </c>
      <c r="F391" s="14" t="s">
        <v>2725</v>
      </c>
      <c r="G391" s="17"/>
      <c r="H391" s="17"/>
      <c r="K391" s="140"/>
      <c r="L391" s="143">
        <f t="shared" ref="L391:AE391" si="168">SUMPRODUCT(L$252:L$259*(1-EXP(-L$262:L$269*L$390)))+SUMPRODUCT(L$308:L$323*(1-EXP(-L$272:L$287*L$390)))</f>
        <v>0</v>
      </c>
      <c r="M391" s="143">
        <f t="shared" si="168"/>
        <v>0</v>
      </c>
      <c r="N391" s="143">
        <f t="shared" si="168"/>
        <v>0</v>
      </c>
      <c r="O391" s="143">
        <f t="shared" si="168"/>
        <v>0</v>
      </c>
      <c r="P391" s="143">
        <f t="shared" si="168"/>
        <v>0</v>
      </c>
      <c r="Q391" s="143">
        <f t="shared" si="168"/>
        <v>0</v>
      </c>
      <c r="R391" s="143">
        <f t="shared" si="168"/>
        <v>0</v>
      </c>
      <c r="S391" s="143">
        <f t="shared" si="168"/>
        <v>0</v>
      </c>
      <c r="T391" s="143">
        <f t="shared" si="168"/>
        <v>0</v>
      </c>
      <c r="U391" s="143">
        <f t="shared" si="168"/>
        <v>0</v>
      </c>
      <c r="V391" s="143">
        <f t="shared" si="168"/>
        <v>0</v>
      </c>
      <c r="W391" s="143">
        <f t="shared" si="168"/>
        <v>0</v>
      </c>
      <c r="X391" s="143">
        <f t="shared" si="168"/>
        <v>0</v>
      </c>
      <c r="Y391" s="143">
        <f t="shared" si="168"/>
        <v>0</v>
      </c>
      <c r="Z391" s="143">
        <f t="shared" si="168"/>
        <v>0</v>
      </c>
      <c r="AA391" s="143">
        <f t="shared" si="168"/>
        <v>0</v>
      </c>
      <c r="AB391" s="143">
        <f t="shared" si="168"/>
        <v>0</v>
      </c>
      <c r="AC391" s="143">
        <f t="shared" si="168"/>
        <v>0</v>
      </c>
      <c r="AD391" s="143">
        <f t="shared" si="168"/>
        <v>0</v>
      </c>
      <c r="AE391" s="143">
        <f t="shared" si="168"/>
        <v>0</v>
      </c>
      <c r="AF391" s="142"/>
      <c r="AG391" s="142"/>
      <c r="AH391" s="142"/>
      <c r="AI391" s="142"/>
    </row>
    <row r="392" spans="1:35" customFormat="1" ht="14.25" x14ac:dyDescent="0.45">
      <c r="B392" s="14" t="s">
        <v>2842</v>
      </c>
      <c r="C392" s="14" t="s">
        <v>2701</v>
      </c>
      <c r="D392" s="15" t="s">
        <v>2843</v>
      </c>
      <c r="E392" s="16" t="s">
        <v>1870</v>
      </c>
      <c r="F392" s="14" t="s">
        <v>2728</v>
      </c>
      <c r="G392" s="17"/>
      <c r="H392" s="17"/>
      <c r="K392" s="140"/>
      <c r="L392" s="141">
        <f t="shared" ref="L392:AE392" si="169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41">
        <f t="shared" si="169"/>
        <v>0</v>
      </c>
      <c r="N392" s="141">
        <f t="shared" si="169"/>
        <v>0</v>
      </c>
      <c r="O392" s="141">
        <f t="shared" si="169"/>
        <v>0</v>
      </c>
      <c r="P392" s="141">
        <f t="shared" si="169"/>
        <v>0</v>
      </c>
      <c r="Q392" s="141">
        <f t="shared" si="169"/>
        <v>0</v>
      </c>
      <c r="R392" s="141">
        <f t="shared" si="169"/>
        <v>0</v>
      </c>
      <c r="S392" s="141">
        <f t="shared" si="169"/>
        <v>0</v>
      </c>
      <c r="T392" s="141">
        <f t="shared" si="169"/>
        <v>0</v>
      </c>
      <c r="U392" s="141">
        <f t="shared" si="169"/>
        <v>0</v>
      </c>
      <c r="V392" s="141">
        <f t="shared" si="169"/>
        <v>0</v>
      </c>
      <c r="W392" s="141">
        <f t="shared" si="169"/>
        <v>0</v>
      </c>
      <c r="X392" s="141">
        <f t="shared" si="169"/>
        <v>0</v>
      </c>
      <c r="Y392" s="141">
        <f t="shared" si="169"/>
        <v>0</v>
      </c>
      <c r="Z392" s="141">
        <f t="shared" si="169"/>
        <v>0</v>
      </c>
      <c r="AA392" s="141">
        <f t="shared" si="169"/>
        <v>0</v>
      </c>
      <c r="AB392" s="141">
        <f t="shared" si="169"/>
        <v>0</v>
      </c>
      <c r="AC392" s="141">
        <f t="shared" si="169"/>
        <v>0</v>
      </c>
      <c r="AD392" s="141">
        <f t="shared" si="169"/>
        <v>0</v>
      </c>
      <c r="AE392" s="141">
        <f t="shared" si="169"/>
        <v>0</v>
      </c>
      <c r="AF392" s="142"/>
      <c r="AG392" s="142"/>
      <c r="AH392" s="142"/>
      <c r="AI392" s="142"/>
    </row>
    <row r="393" spans="1:35" customFormat="1" ht="14.25" x14ac:dyDescent="0.45">
      <c r="B393" s="14" t="s">
        <v>2844</v>
      </c>
      <c r="C393" s="14" t="s">
        <v>2701</v>
      </c>
      <c r="D393" s="15" t="s">
        <v>2845</v>
      </c>
      <c r="E393" s="16" t="s">
        <v>2731</v>
      </c>
      <c r="F393" s="14" t="s">
        <v>2732</v>
      </c>
      <c r="G393" s="17"/>
      <c r="H393" s="17"/>
      <c r="K393" s="140"/>
      <c r="L393" s="143">
        <f t="shared" ref="L393:AE393" si="170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43">
        <f t="shared" si="170"/>
        <v>0</v>
      </c>
      <c r="N393" s="143">
        <f t="shared" si="170"/>
        <v>0</v>
      </c>
      <c r="O393" s="143">
        <f t="shared" si="170"/>
        <v>0</v>
      </c>
      <c r="P393" s="143">
        <f t="shared" si="170"/>
        <v>0</v>
      </c>
      <c r="Q393" s="143">
        <f t="shared" si="170"/>
        <v>0</v>
      </c>
      <c r="R393" s="143">
        <f t="shared" si="170"/>
        <v>0</v>
      </c>
      <c r="S393" s="143">
        <f t="shared" si="170"/>
        <v>0</v>
      </c>
      <c r="T393" s="143">
        <f t="shared" si="170"/>
        <v>0</v>
      </c>
      <c r="U393" s="143">
        <f t="shared" si="170"/>
        <v>0</v>
      </c>
      <c r="V393" s="143">
        <f t="shared" si="170"/>
        <v>0</v>
      </c>
      <c r="W393" s="143">
        <f t="shared" si="170"/>
        <v>0</v>
      </c>
      <c r="X393" s="143">
        <f t="shared" si="170"/>
        <v>0</v>
      </c>
      <c r="Y393" s="143">
        <f t="shared" si="170"/>
        <v>0</v>
      </c>
      <c r="Z393" s="143">
        <f t="shared" si="170"/>
        <v>0</v>
      </c>
      <c r="AA393" s="143">
        <f t="shared" si="170"/>
        <v>0</v>
      </c>
      <c r="AB393" s="143">
        <f t="shared" si="170"/>
        <v>0</v>
      </c>
      <c r="AC393" s="143">
        <f t="shared" si="170"/>
        <v>0</v>
      </c>
      <c r="AD393" s="143">
        <f t="shared" si="170"/>
        <v>0</v>
      </c>
      <c r="AE393" s="143">
        <f t="shared" si="170"/>
        <v>0</v>
      </c>
      <c r="AF393" s="142"/>
      <c r="AG393" s="142"/>
      <c r="AH393" s="142"/>
      <c r="AI393" s="142"/>
    </row>
    <row r="394" spans="1:35" customFormat="1" ht="14.25" x14ac:dyDescent="0.45">
      <c r="B394" s="14" t="s">
        <v>2846</v>
      </c>
      <c r="C394" s="14" t="s">
        <v>2701</v>
      </c>
      <c r="D394" s="15" t="s">
        <v>2847</v>
      </c>
      <c r="E394" s="16" t="s">
        <v>1414</v>
      </c>
      <c r="F394" s="14" t="s">
        <v>2735</v>
      </c>
      <c r="G394" s="17"/>
      <c r="H394" s="17"/>
      <c r="K394" s="140"/>
      <c r="L394" s="141">
        <f t="shared" ref="L394:AE394" si="171">IF(L$329&lt;=0,0,IF(L$393&lt;=0,L$390,MIN($F$5,IF(L$390-(L$392-L$329)/L$393&lt;=0,L$390/2,L$390-(L$392-L$329)/L$393))))</f>
        <v>0</v>
      </c>
      <c r="M394" s="141">
        <f t="shared" si="171"/>
        <v>0</v>
      </c>
      <c r="N394" s="141">
        <f t="shared" si="171"/>
        <v>0</v>
      </c>
      <c r="O394" s="141">
        <f t="shared" si="171"/>
        <v>0</v>
      </c>
      <c r="P394" s="141">
        <f t="shared" si="171"/>
        <v>0</v>
      </c>
      <c r="Q394" s="141">
        <f t="shared" si="171"/>
        <v>0</v>
      </c>
      <c r="R394" s="141">
        <f t="shared" si="171"/>
        <v>0</v>
      </c>
      <c r="S394" s="141">
        <f t="shared" si="171"/>
        <v>0</v>
      </c>
      <c r="T394" s="141">
        <f t="shared" si="171"/>
        <v>0</v>
      </c>
      <c r="U394" s="141">
        <f t="shared" si="171"/>
        <v>0</v>
      </c>
      <c r="V394" s="141">
        <f t="shared" si="171"/>
        <v>0</v>
      </c>
      <c r="W394" s="141">
        <f t="shared" si="171"/>
        <v>0</v>
      </c>
      <c r="X394" s="141">
        <f t="shared" si="171"/>
        <v>0</v>
      </c>
      <c r="Y394" s="141">
        <f t="shared" si="171"/>
        <v>0</v>
      </c>
      <c r="Z394" s="141">
        <f t="shared" si="171"/>
        <v>0</v>
      </c>
      <c r="AA394" s="141">
        <f t="shared" si="171"/>
        <v>0</v>
      </c>
      <c r="AB394" s="141">
        <f t="shared" si="171"/>
        <v>0</v>
      </c>
      <c r="AC394" s="141">
        <f t="shared" si="171"/>
        <v>0</v>
      </c>
      <c r="AD394" s="141">
        <f t="shared" si="171"/>
        <v>0</v>
      </c>
      <c r="AE394" s="141">
        <f t="shared" si="171"/>
        <v>0</v>
      </c>
      <c r="AF394" s="142"/>
      <c r="AG394" s="142"/>
      <c r="AH394" s="142"/>
      <c r="AI394" s="142"/>
    </row>
    <row r="395" spans="1:35" x14ac:dyDescent="0.35"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</row>
    <row r="396" spans="1:35" customFormat="1" ht="14.25" x14ac:dyDescent="0.45">
      <c r="A396" s="11"/>
      <c r="B396" s="6"/>
      <c r="C396" s="7" t="s">
        <v>2848</v>
      </c>
      <c r="D396" s="6" t="s">
        <v>1504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8">
        <v>2021</v>
      </c>
      <c r="L396" s="139">
        <v>2022</v>
      </c>
      <c r="M396" s="138">
        <v>2023</v>
      </c>
      <c r="N396" s="138">
        <v>2024</v>
      </c>
      <c r="O396" s="138">
        <v>2025</v>
      </c>
      <c r="P396" s="138">
        <v>2026</v>
      </c>
      <c r="Q396" s="138">
        <v>2027</v>
      </c>
      <c r="R396" s="138">
        <v>2028</v>
      </c>
      <c r="S396" s="138">
        <v>2029</v>
      </c>
      <c r="T396" s="138">
        <v>2030</v>
      </c>
      <c r="U396" s="138">
        <v>2031</v>
      </c>
      <c r="V396" s="138">
        <v>2032</v>
      </c>
      <c r="W396" s="138">
        <v>2033</v>
      </c>
      <c r="X396" s="138">
        <v>2034</v>
      </c>
      <c r="Y396" s="138">
        <v>2035</v>
      </c>
      <c r="Z396" s="138">
        <v>2036</v>
      </c>
      <c r="AA396" s="138">
        <v>2037</v>
      </c>
      <c r="AB396" s="138">
        <v>2038</v>
      </c>
      <c r="AC396" s="138">
        <v>2039</v>
      </c>
      <c r="AD396" s="138">
        <v>2040</v>
      </c>
      <c r="AE396" s="138">
        <v>2041</v>
      </c>
      <c r="AF396" s="138">
        <v>2042</v>
      </c>
      <c r="AG396" s="138">
        <v>2043</v>
      </c>
      <c r="AH396" s="138">
        <v>2044</v>
      </c>
      <c r="AI396" s="138">
        <v>2045</v>
      </c>
    </row>
    <row r="397" spans="1:35" customFormat="1" ht="14.25" x14ac:dyDescent="0.45">
      <c r="B397" s="14" t="s">
        <v>1809</v>
      </c>
      <c r="C397" s="14" t="s">
        <v>2701</v>
      </c>
      <c r="D397" s="15" t="s">
        <v>2849</v>
      </c>
      <c r="E397" s="16" t="s">
        <v>1414</v>
      </c>
      <c r="F397" s="14" t="s">
        <v>1809</v>
      </c>
      <c r="G397" s="17"/>
      <c r="H397" s="129" t="str">
        <f>Settings!$B$3&amp;".mit.fundsp.cbam.tot.2"</f>
        <v>egy.mit.fundsp.cbam.tot.2</v>
      </c>
      <c r="I397" t="s">
        <v>2893</v>
      </c>
      <c r="K397" s="140"/>
      <c r="L397" s="141">
        <f t="shared" ref="L397:AE397" si="172">L$394</f>
        <v>0</v>
      </c>
      <c r="M397" s="141">
        <f t="shared" si="172"/>
        <v>0</v>
      </c>
      <c r="N397" s="141">
        <f t="shared" si="172"/>
        <v>0</v>
      </c>
      <c r="O397" s="141">
        <f t="shared" si="172"/>
        <v>0</v>
      </c>
      <c r="P397" s="141">
        <f t="shared" si="172"/>
        <v>0</v>
      </c>
      <c r="Q397" s="141">
        <f t="shared" si="172"/>
        <v>0</v>
      </c>
      <c r="R397" s="141">
        <f t="shared" si="172"/>
        <v>0</v>
      </c>
      <c r="S397" s="141">
        <f t="shared" si="172"/>
        <v>0</v>
      </c>
      <c r="T397" s="141">
        <f t="shared" si="172"/>
        <v>0</v>
      </c>
      <c r="U397" s="141">
        <f t="shared" si="172"/>
        <v>0</v>
      </c>
      <c r="V397" s="141">
        <f t="shared" si="172"/>
        <v>0</v>
      </c>
      <c r="W397" s="141">
        <f t="shared" si="172"/>
        <v>0</v>
      </c>
      <c r="X397" s="141">
        <f t="shared" si="172"/>
        <v>0</v>
      </c>
      <c r="Y397" s="141">
        <f t="shared" si="172"/>
        <v>0</v>
      </c>
      <c r="Z397" s="141">
        <f t="shared" si="172"/>
        <v>0</v>
      </c>
      <c r="AA397" s="141">
        <f t="shared" si="172"/>
        <v>0</v>
      </c>
      <c r="AB397" s="141">
        <f t="shared" si="172"/>
        <v>0</v>
      </c>
      <c r="AC397" s="141">
        <f t="shared" si="172"/>
        <v>0</v>
      </c>
      <c r="AD397" s="141">
        <f t="shared" si="172"/>
        <v>0</v>
      </c>
      <c r="AE397" s="141">
        <f t="shared" si="172"/>
        <v>0</v>
      </c>
      <c r="AF397" s="142"/>
      <c r="AG397" s="142"/>
      <c r="AH397" s="142"/>
      <c r="AI397" s="142"/>
    </row>
    <row r="398" spans="1:35" customFormat="1" ht="14.25" x14ac:dyDescent="0.45">
      <c r="B398" s="14" t="s">
        <v>2851</v>
      </c>
      <c r="C398" s="14" t="s">
        <v>2701</v>
      </c>
      <c r="D398" s="15" t="s">
        <v>2852</v>
      </c>
      <c r="E398" s="16" t="s">
        <v>2094</v>
      </c>
      <c r="F398" s="14" t="s">
        <v>2851</v>
      </c>
      <c r="G398" s="17"/>
      <c r="H398" s="129" t="str">
        <f>Settings!$B$3&amp;".mit.abat.cbam.tot.2"</f>
        <v>egy.mit.abat.cbam.tot.2</v>
      </c>
      <c r="I398" t="s">
        <v>2853</v>
      </c>
      <c r="K398" s="140"/>
      <c r="L398" s="143">
        <f t="shared" ref="L398:AE398" si="173">L399+L400</f>
        <v>0</v>
      </c>
      <c r="M398" s="143">
        <f t="shared" si="173"/>
        <v>0</v>
      </c>
      <c r="N398" s="143">
        <f t="shared" si="173"/>
        <v>0</v>
      </c>
      <c r="O398" s="143">
        <f t="shared" si="173"/>
        <v>0</v>
      </c>
      <c r="P398" s="143">
        <f t="shared" si="173"/>
        <v>0</v>
      </c>
      <c r="Q398" s="143">
        <f t="shared" si="173"/>
        <v>0</v>
      </c>
      <c r="R398" s="143">
        <f t="shared" si="173"/>
        <v>0</v>
      </c>
      <c r="S398" s="143">
        <f t="shared" si="173"/>
        <v>0</v>
      </c>
      <c r="T398" s="143">
        <f t="shared" si="173"/>
        <v>0</v>
      </c>
      <c r="U398" s="143">
        <f t="shared" si="173"/>
        <v>0</v>
      </c>
      <c r="V398" s="143">
        <f t="shared" si="173"/>
        <v>0</v>
      </c>
      <c r="W398" s="143">
        <f t="shared" si="173"/>
        <v>0</v>
      </c>
      <c r="X398" s="143">
        <f t="shared" si="173"/>
        <v>0</v>
      </c>
      <c r="Y398" s="143">
        <f t="shared" si="173"/>
        <v>0</v>
      </c>
      <c r="Z398" s="143">
        <f t="shared" si="173"/>
        <v>0</v>
      </c>
      <c r="AA398" s="143">
        <f t="shared" si="173"/>
        <v>0</v>
      </c>
      <c r="AB398" s="143">
        <f t="shared" si="173"/>
        <v>0</v>
      </c>
      <c r="AC398" s="143">
        <f t="shared" si="173"/>
        <v>0</v>
      </c>
      <c r="AD398" s="143">
        <f t="shared" si="173"/>
        <v>0</v>
      </c>
      <c r="AE398" s="143">
        <f t="shared" si="173"/>
        <v>0</v>
      </c>
      <c r="AF398" s="142"/>
      <c r="AG398" s="142"/>
      <c r="AH398" s="142"/>
      <c r="AI398" s="142"/>
    </row>
    <row r="399" spans="1:35" customFormat="1" ht="14.25" x14ac:dyDescent="0.45">
      <c r="B399" s="14" t="s">
        <v>2854</v>
      </c>
      <c r="C399" s="14" t="s">
        <v>2701</v>
      </c>
      <c r="D399" s="15" t="s">
        <v>2855</v>
      </c>
      <c r="E399" s="16" t="s">
        <v>2094</v>
      </c>
      <c r="F399" s="14" t="s">
        <v>2854</v>
      </c>
      <c r="G399" s="17"/>
      <c r="H399" s="129" t="str">
        <f>Settings!$B$3&amp;".mit.abatf.cbam.tot.2"</f>
        <v>egy.mit.abatf.cbam.tot.2</v>
      </c>
      <c r="I399" t="s">
        <v>2856</v>
      </c>
      <c r="K399" s="140"/>
      <c r="L399" s="143">
        <f t="shared" ref="L399:AE399" si="174">SUMPRODUCT(L$252:L$259*(1-EXP(-L$262:L$269*L$397)))</f>
        <v>0</v>
      </c>
      <c r="M399" s="143">
        <f t="shared" si="174"/>
        <v>0</v>
      </c>
      <c r="N399" s="143">
        <f t="shared" si="174"/>
        <v>0</v>
      </c>
      <c r="O399" s="143">
        <f t="shared" si="174"/>
        <v>0</v>
      </c>
      <c r="P399" s="143">
        <f t="shared" si="174"/>
        <v>0</v>
      </c>
      <c r="Q399" s="143">
        <f t="shared" si="174"/>
        <v>0</v>
      </c>
      <c r="R399" s="143">
        <f t="shared" si="174"/>
        <v>0</v>
      </c>
      <c r="S399" s="143">
        <f t="shared" si="174"/>
        <v>0</v>
      </c>
      <c r="T399" s="143">
        <f t="shared" si="174"/>
        <v>0</v>
      </c>
      <c r="U399" s="143">
        <f t="shared" si="174"/>
        <v>0</v>
      </c>
      <c r="V399" s="143">
        <f t="shared" si="174"/>
        <v>0</v>
      </c>
      <c r="W399" s="143">
        <f t="shared" si="174"/>
        <v>0</v>
      </c>
      <c r="X399" s="143">
        <f t="shared" si="174"/>
        <v>0</v>
      </c>
      <c r="Y399" s="143">
        <f t="shared" si="174"/>
        <v>0</v>
      </c>
      <c r="Z399" s="143">
        <f t="shared" si="174"/>
        <v>0</v>
      </c>
      <c r="AA399" s="143">
        <f t="shared" si="174"/>
        <v>0</v>
      </c>
      <c r="AB399" s="143">
        <f t="shared" si="174"/>
        <v>0</v>
      </c>
      <c r="AC399" s="143">
        <f t="shared" si="174"/>
        <v>0</v>
      </c>
      <c r="AD399" s="143">
        <f t="shared" si="174"/>
        <v>0</v>
      </c>
      <c r="AE399" s="143">
        <f t="shared" si="174"/>
        <v>0</v>
      </c>
      <c r="AF399" s="142"/>
      <c r="AG399" s="142"/>
      <c r="AH399" s="142"/>
      <c r="AI399" s="142"/>
    </row>
    <row r="400" spans="1:35" customFormat="1" ht="14.25" x14ac:dyDescent="0.45">
      <c r="B400" s="14" t="s">
        <v>2857</v>
      </c>
      <c r="C400" s="14" t="s">
        <v>2701</v>
      </c>
      <c r="D400" s="15" t="s">
        <v>2858</v>
      </c>
      <c r="E400" s="16" t="s">
        <v>2094</v>
      </c>
      <c r="F400" s="14" t="s">
        <v>2857</v>
      </c>
      <c r="G400" s="17"/>
      <c r="H400" s="129" t="str">
        <f>Settings!$B$3&amp;".mit.abatp.cbam.tot.2"</f>
        <v>egy.mit.abatp.cbam.tot.2</v>
      </c>
      <c r="I400" t="s">
        <v>2859</v>
      </c>
      <c r="K400" s="140"/>
      <c r="L400" s="143">
        <f t="shared" ref="L400:AE400" si="175">SUMPRODUCT(L$308:L$323*(1-EXP(-L$272:L$287*L$397)))</f>
        <v>0</v>
      </c>
      <c r="M400" s="143">
        <f t="shared" si="175"/>
        <v>0</v>
      </c>
      <c r="N400" s="143">
        <f t="shared" si="175"/>
        <v>0</v>
      </c>
      <c r="O400" s="143">
        <f t="shared" si="175"/>
        <v>0</v>
      </c>
      <c r="P400" s="143">
        <f t="shared" si="175"/>
        <v>0</v>
      </c>
      <c r="Q400" s="143">
        <f t="shared" si="175"/>
        <v>0</v>
      </c>
      <c r="R400" s="143">
        <f t="shared" si="175"/>
        <v>0</v>
      </c>
      <c r="S400" s="143">
        <f t="shared" si="175"/>
        <v>0</v>
      </c>
      <c r="T400" s="143">
        <f t="shared" si="175"/>
        <v>0</v>
      </c>
      <c r="U400" s="143">
        <f t="shared" si="175"/>
        <v>0</v>
      </c>
      <c r="V400" s="143">
        <f t="shared" si="175"/>
        <v>0</v>
      </c>
      <c r="W400" s="143">
        <f t="shared" si="175"/>
        <v>0</v>
      </c>
      <c r="X400" s="143">
        <f t="shared" si="175"/>
        <v>0</v>
      </c>
      <c r="Y400" s="143">
        <f t="shared" si="175"/>
        <v>0</v>
      </c>
      <c r="Z400" s="143">
        <f t="shared" si="175"/>
        <v>0</v>
      </c>
      <c r="AA400" s="143">
        <f t="shared" si="175"/>
        <v>0</v>
      </c>
      <c r="AB400" s="143">
        <f t="shared" si="175"/>
        <v>0</v>
      </c>
      <c r="AC400" s="143">
        <f t="shared" si="175"/>
        <v>0</v>
      </c>
      <c r="AD400" s="143">
        <f t="shared" si="175"/>
        <v>0</v>
      </c>
      <c r="AE400" s="143">
        <f t="shared" si="175"/>
        <v>0</v>
      </c>
      <c r="AF400" s="142"/>
      <c r="AG400" s="142"/>
      <c r="AH400" s="142"/>
      <c r="AI400" s="142"/>
    </row>
    <row r="401" spans="1:35" customFormat="1" ht="14.25" x14ac:dyDescent="0.45">
      <c r="B401" s="14" t="s">
        <v>2860</v>
      </c>
      <c r="C401" s="14" t="s">
        <v>2701</v>
      </c>
      <c r="D401" s="15" t="s">
        <v>2861</v>
      </c>
      <c r="E401" s="16" t="s">
        <v>1870</v>
      </c>
      <c r="F401" s="14" t="s">
        <v>2860</v>
      </c>
      <c r="G401" s="17"/>
      <c r="H401" s="129" t="str">
        <f>Settings!$B$3&amp;".mit.outlay.cbam.tot.2"</f>
        <v>egy.mit.outlay.cbam.tot.2</v>
      </c>
      <c r="K401" s="140"/>
      <c r="L401" s="141">
        <f t="shared" ref="L401:AE401" si="176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41">
        <f t="shared" si="176"/>
        <v>0</v>
      </c>
      <c r="N401" s="141">
        <f t="shared" si="176"/>
        <v>0</v>
      </c>
      <c r="O401" s="141">
        <f t="shared" si="176"/>
        <v>0</v>
      </c>
      <c r="P401" s="141">
        <f t="shared" si="176"/>
        <v>0</v>
      </c>
      <c r="Q401" s="141">
        <f t="shared" si="176"/>
        <v>0</v>
      </c>
      <c r="R401" s="141">
        <f t="shared" si="176"/>
        <v>0</v>
      </c>
      <c r="S401" s="141">
        <f t="shared" si="176"/>
        <v>0</v>
      </c>
      <c r="T401" s="141">
        <f t="shared" si="176"/>
        <v>0</v>
      </c>
      <c r="U401" s="141">
        <f t="shared" si="176"/>
        <v>0</v>
      </c>
      <c r="V401" s="141">
        <f t="shared" si="176"/>
        <v>0</v>
      </c>
      <c r="W401" s="141">
        <f t="shared" si="176"/>
        <v>0</v>
      </c>
      <c r="X401" s="141">
        <f t="shared" si="176"/>
        <v>0</v>
      </c>
      <c r="Y401" s="141">
        <f t="shared" si="176"/>
        <v>0</v>
      </c>
      <c r="Z401" s="141">
        <f t="shared" si="176"/>
        <v>0</v>
      </c>
      <c r="AA401" s="141">
        <f t="shared" si="176"/>
        <v>0</v>
      </c>
      <c r="AB401" s="141">
        <f t="shared" si="176"/>
        <v>0</v>
      </c>
      <c r="AC401" s="141">
        <f t="shared" si="176"/>
        <v>0</v>
      </c>
      <c r="AD401" s="141">
        <f t="shared" si="176"/>
        <v>0</v>
      </c>
      <c r="AE401" s="141">
        <f t="shared" si="176"/>
        <v>0</v>
      </c>
      <c r="AF401" s="142"/>
      <c r="AG401" s="142"/>
      <c r="AH401" s="142"/>
      <c r="AI401" s="142"/>
    </row>
    <row r="402" spans="1:35" customFormat="1" ht="14.25" x14ac:dyDescent="0.45">
      <c r="B402" s="14" t="s">
        <v>2862</v>
      </c>
      <c r="C402" s="14" t="s">
        <v>2701</v>
      </c>
      <c r="D402" s="15" t="s">
        <v>2863</v>
      </c>
      <c r="E402" s="16" t="s">
        <v>1870</v>
      </c>
      <c r="F402" s="14" t="s">
        <v>2862</v>
      </c>
      <c r="G402" s="17"/>
      <c r="H402" s="17"/>
      <c r="K402" s="140"/>
      <c r="L402" s="143">
        <f t="shared" ref="L402:AE402" si="177">L$401-L$329</f>
        <v>0</v>
      </c>
      <c r="M402" s="143">
        <f t="shared" si="177"/>
        <v>0</v>
      </c>
      <c r="N402" s="143">
        <f t="shared" si="177"/>
        <v>0</v>
      </c>
      <c r="O402" s="143">
        <f t="shared" si="177"/>
        <v>0</v>
      </c>
      <c r="P402" s="143">
        <f t="shared" si="177"/>
        <v>0</v>
      </c>
      <c r="Q402" s="143">
        <f t="shared" si="177"/>
        <v>0</v>
      </c>
      <c r="R402" s="143">
        <f t="shared" si="177"/>
        <v>0</v>
      </c>
      <c r="S402" s="143">
        <f t="shared" si="177"/>
        <v>0</v>
      </c>
      <c r="T402" s="143">
        <f t="shared" si="177"/>
        <v>0</v>
      </c>
      <c r="U402" s="143">
        <f t="shared" si="177"/>
        <v>0</v>
      </c>
      <c r="V402" s="143">
        <f t="shared" si="177"/>
        <v>0</v>
      </c>
      <c r="W402" s="143">
        <f t="shared" si="177"/>
        <v>0</v>
      </c>
      <c r="X402" s="143">
        <f t="shared" si="177"/>
        <v>0</v>
      </c>
      <c r="Y402" s="143">
        <f t="shared" si="177"/>
        <v>0</v>
      </c>
      <c r="Z402" s="143">
        <f t="shared" si="177"/>
        <v>0</v>
      </c>
      <c r="AA402" s="143">
        <f t="shared" si="177"/>
        <v>0</v>
      </c>
      <c r="AB402" s="143">
        <f t="shared" si="177"/>
        <v>0</v>
      </c>
      <c r="AC402" s="143">
        <f t="shared" si="177"/>
        <v>0</v>
      </c>
      <c r="AD402" s="143">
        <f t="shared" si="177"/>
        <v>0</v>
      </c>
      <c r="AE402" s="143">
        <f t="shared" si="177"/>
        <v>0</v>
      </c>
      <c r="AF402" s="142"/>
      <c r="AG402" s="142"/>
      <c r="AH402" s="142"/>
      <c r="AI402" s="142"/>
    </row>
    <row r="403" spans="1:35" customFormat="1" ht="14.25" x14ac:dyDescent="0.45">
      <c r="B403" s="14" t="s">
        <v>2864</v>
      </c>
      <c r="C403" s="14" t="s">
        <v>2701</v>
      </c>
      <c r="D403" s="15" t="s">
        <v>2865</v>
      </c>
      <c r="E403" s="16" t="s">
        <v>1870</v>
      </c>
      <c r="F403" s="14" t="s">
        <v>2864</v>
      </c>
      <c r="G403" s="17"/>
      <c r="H403" s="129" t="str">
        <f>Settings!$B$3&amp;".mit.unspent.cbam.tot.2"</f>
        <v>egy.mit.unspent.cbam.tot.2</v>
      </c>
      <c r="K403" s="140"/>
      <c r="L403" s="141">
        <f t="shared" ref="L403:AE403" si="178">MAX(0,L$329-L$401)</f>
        <v>0</v>
      </c>
      <c r="M403" s="141">
        <f t="shared" si="178"/>
        <v>0</v>
      </c>
      <c r="N403" s="141">
        <f t="shared" si="178"/>
        <v>0</v>
      </c>
      <c r="O403" s="141">
        <f t="shared" si="178"/>
        <v>0</v>
      </c>
      <c r="P403" s="141">
        <f t="shared" si="178"/>
        <v>0</v>
      </c>
      <c r="Q403" s="141">
        <f t="shared" si="178"/>
        <v>0</v>
      </c>
      <c r="R403" s="141">
        <f t="shared" si="178"/>
        <v>0</v>
      </c>
      <c r="S403" s="141">
        <f t="shared" si="178"/>
        <v>0</v>
      </c>
      <c r="T403" s="141">
        <f t="shared" si="178"/>
        <v>0</v>
      </c>
      <c r="U403" s="141">
        <f t="shared" si="178"/>
        <v>0</v>
      </c>
      <c r="V403" s="141">
        <f t="shared" si="178"/>
        <v>0</v>
      </c>
      <c r="W403" s="141">
        <f t="shared" si="178"/>
        <v>0</v>
      </c>
      <c r="X403" s="141">
        <f t="shared" si="178"/>
        <v>0</v>
      </c>
      <c r="Y403" s="141">
        <f t="shared" si="178"/>
        <v>0</v>
      </c>
      <c r="Z403" s="141">
        <f t="shared" si="178"/>
        <v>0</v>
      </c>
      <c r="AA403" s="141">
        <f t="shared" si="178"/>
        <v>0</v>
      </c>
      <c r="AB403" s="141">
        <f t="shared" si="178"/>
        <v>0</v>
      </c>
      <c r="AC403" s="141">
        <f t="shared" si="178"/>
        <v>0</v>
      </c>
      <c r="AD403" s="141">
        <f t="shared" si="178"/>
        <v>0</v>
      </c>
      <c r="AE403" s="141">
        <f t="shared" si="178"/>
        <v>0</v>
      </c>
      <c r="AF403" s="142"/>
      <c r="AG403" s="142"/>
      <c r="AH403" s="142"/>
      <c r="AI403" s="142"/>
    </row>
    <row r="404" spans="1:35" customFormat="1" ht="14.25" x14ac:dyDescent="0.45">
      <c r="B404" s="14" t="s">
        <v>2866</v>
      </c>
      <c r="C404" s="14" t="s">
        <v>2701</v>
      </c>
      <c r="D404" s="15" t="s">
        <v>2867</v>
      </c>
      <c r="E404" s="16" t="s">
        <v>2868</v>
      </c>
      <c r="F404" s="14" t="s">
        <v>2866</v>
      </c>
      <c r="G404" s="17"/>
      <c r="H404" s="17"/>
      <c r="K404" s="140"/>
      <c r="L404" s="145">
        <f t="shared" ref="L404:AE404" si="179">(L$329&gt;0)*(L$397&gt;=$F$5-0.000000001)</f>
        <v>0</v>
      </c>
      <c r="M404" s="145">
        <f t="shared" si="179"/>
        <v>0</v>
      </c>
      <c r="N404" s="145">
        <f t="shared" si="179"/>
        <v>0</v>
      </c>
      <c r="O404" s="145">
        <f t="shared" si="179"/>
        <v>0</v>
      </c>
      <c r="P404" s="145">
        <f t="shared" si="179"/>
        <v>0</v>
      </c>
      <c r="Q404" s="145">
        <f t="shared" si="179"/>
        <v>0</v>
      </c>
      <c r="R404" s="145">
        <f t="shared" si="179"/>
        <v>0</v>
      </c>
      <c r="S404" s="145">
        <f t="shared" si="179"/>
        <v>0</v>
      </c>
      <c r="T404" s="145">
        <f t="shared" si="179"/>
        <v>0</v>
      </c>
      <c r="U404" s="145">
        <f t="shared" si="179"/>
        <v>0</v>
      </c>
      <c r="V404" s="145">
        <f t="shared" si="179"/>
        <v>0</v>
      </c>
      <c r="W404" s="145">
        <f t="shared" si="179"/>
        <v>0</v>
      </c>
      <c r="X404" s="145">
        <f t="shared" si="179"/>
        <v>0</v>
      </c>
      <c r="Y404" s="145">
        <f t="shared" si="179"/>
        <v>0</v>
      </c>
      <c r="Z404" s="145">
        <f t="shared" si="179"/>
        <v>0</v>
      </c>
      <c r="AA404" s="145">
        <f t="shared" si="179"/>
        <v>0</v>
      </c>
      <c r="AB404" s="145">
        <f t="shared" si="179"/>
        <v>0</v>
      </c>
      <c r="AC404" s="145">
        <f t="shared" si="179"/>
        <v>0</v>
      </c>
      <c r="AD404" s="145">
        <f t="shared" si="179"/>
        <v>0</v>
      </c>
      <c r="AE404" s="145">
        <f t="shared" si="179"/>
        <v>0</v>
      </c>
      <c r="AF404" s="142"/>
      <c r="AG404" s="142"/>
      <c r="AH404" s="142"/>
      <c r="AI404" s="142"/>
    </row>
    <row r="405" spans="1:35" customFormat="1" ht="14.25" x14ac:dyDescent="0.45">
      <c r="B405" s="14" t="s">
        <v>2869</v>
      </c>
      <c r="C405" s="14" t="s">
        <v>2701</v>
      </c>
      <c r="D405" s="15" t="s">
        <v>2870</v>
      </c>
      <c r="E405" s="16" t="s">
        <v>1414</v>
      </c>
      <c r="F405" s="14" t="s">
        <v>2869</v>
      </c>
      <c r="G405" s="17"/>
      <c r="H405" s="129" t="str">
        <f>Settings!$B$3&amp;".mit.cpt.cbam.tot.2"</f>
        <v>egy.mit.cpt.cbam.tot.2</v>
      </c>
      <c r="K405" s="140"/>
      <c r="L405" s="141">
        <f t="shared" ref="L405:AE405" si="180">IF(L$398&gt;0,L$401/L$398,0)</f>
        <v>0</v>
      </c>
      <c r="M405" s="141">
        <f t="shared" si="180"/>
        <v>0</v>
      </c>
      <c r="N405" s="141">
        <f t="shared" si="180"/>
        <v>0</v>
      </c>
      <c r="O405" s="141">
        <f t="shared" si="180"/>
        <v>0</v>
      </c>
      <c r="P405" s="141">
        <f t="shared" si="180"/>
        <v>0</v>
      </c>
      <c r="Q405" s="141">
        <f t="shared" si="180"/>
        <v>0</v>
      </c>
      <c r="R405" s="141">
        <f t="shared" si="180"/>
        <v>0</v>
      </c>
      <c r="S405" s="141">
        <f t="shared" si="180"/>
        <v>0</v>
      </c>
      <c r="T405" s="141">
        <f t="shared" si="180"/>
        <v>0</v>
      </c>
      <c r="U405" s="141">
        <f t="shared" si="180"/>
        <v>0</v>
      </c>
      <c r="V405" s="141">
        <f t="shared" si="180"/>
        <v>0</v>
      </c>
      <c r="W405" s="141">
        <f t="shared" si="180"/>
        <v>0</v>
      </c>
      <c r="X405" s="141">
        <f t="shared" si="180"/>
        <v>0</v>
      </c>
      <c r="Y405" s="141">
        <f t="shared" si="180"/>
        <v>0</v>
      </c>
      <c r="Z405" s="141">
        <f t="shared" si="180"/>
        <v>0</v>
      </c>
      <c r="AA405" s="141">
        <f t="shared" si="180"/>
        <v>0</v>
      </c>
      <c r="AB405" s="141">
        <f t="shared" si="180"/>
        <v>0</v>
      </c>
      <c r="AC405" s="141">
        <f t="shared" si="180"/>
        <v>0</v>
      </c>
      <c r="AD405" s="141">
        <f t="shared" si="180"/>
        <v>0</v>
      </c>
      <c r="AE405" s="141">
        <f t="shared" si="180"/>
        <v>0</v>
      </c>
      <c r="AF405" s="142"/>
      <c r="AG405" s="142"/>
      <c r="AH405" s="142"/>
      <c r="AI405" s="142"/>
    </row>
    <row r="406" spans="1:35" customFormat="1" ht="14.25" x14ac:dyDescent="0.45">
      <c r="B406" s="14" t="s">
        <v>2871</v>
      </c>
      <c r="C406" s="14" t="s">
        <v>2701</v>
      </c>
      <c r="D406" s="15" t="s">
        <v>2872</v>
      </c>
      <c r="E406" s="16" t="s">
        <v>1870</v>
      </c>
      <c r="F406" s="14" t="s">
        <v>2871</v>
      </c>
      <c r="G406" s="17"/>
      <c r="H406" s="17"/>
      <c r="I406" t="s">
        <v>2873</v>
      </c>
      <c r="K406" s="140"/>
      <c r="L406" s="144">
        <f>L$218*Mitigation_Industry!L$799</f>
        <v>0</v>
      </c>
      <c r="M406" s="144">
        <f>M$218*Mitigation_Industry!M$799</f>
        <v>0</v>
      </c>
      <c r="N406" s="144">
        <f>N$218*Mitigation_Industry!N$799</f>
        <v>0</v>
      </c>
      <c r="O406" s="144">
        <f>O$218*Mitigation_Industry!O$799</f>
        <v>0</v>
      </c>
      <c r="P406" s="144">
        <f>P$218*Mitigation_Industry!P$799</f>
        <v>0</v>
      </c>
      <c r="Q406" s="144">
        <f>Q$218*Mitigation_Industry!Q$799</f>
        <v>0</v>
      </c>
      <c r="R406" s="144">
        <f>R$218*Mitigation_Industry!R$799</f>
        <v>0</v>
      </c>
      <c r="S406" s="144">
        <f>S$218*Mitigation_Industry!S$799</f>
        <v>0</v>
      </c>
      <c r="T406" s="144">
        <f>T$218*Mitigation_Industry!T$799</f>
        <v>0</v>
      </c>
      <c r="U406" s="144">
        <f>U$218*Mitigation_Industry!U$799</f>
        <v>0</v>
      </c>
      <c r="V406" s="144">
        <f>V$218*Mitigation_Industry!V$799</f>
        <v>0</v>
      </c>
      <c r="W406" s="144">
        <f>W$218*Mitigation_Industry!W$799</f>
        <v>0</v>
      </c>
      <c r="X406" s="144">
        <f>X$218*Mitigation_Industry!X$799</f>
        <v>0</v>
      </c>
      <c r="Y406" s="144">
        <f>Y$218*Mitigation_Industry!Y$799</f>
        <v>0</v>
      </c>
      <c r="Z406" s="144">
        <f>Z$218*Mitigation_Industry!Z$799</f>
        <v>0</v>
      </c>
      <c r="AA406" s="144">
        <f>AA$218*Mitigation_Industry!AA$799</f>
        <v>0</v>
      </c>
      <c r="AB406" s="144">
        <f>AB$218*Mitigation_Industry!AB$799</f>
        <v>0</v>
      </c>
      <c r="AC406" s="144">
        <f>AC$218*Mitigation_Industry!AC$799</f>
        <v>0</v>
      </c>
      <c r="AD406" s="144">
        <f>AD$218*Mitigation_Industry!AD$799</f>
        <v>0</v>
      </c>
      <c r="AE406" s="144">
        <f>AE$218*Mitigation_Industry!AE$799</f>
        <v>0</v>
      </c>
      <c r="AF406" s="142"/>
      <c r="AG406" s="142"/>
      <c r="AH406" s="142"/>
      <c r="AI406" s="142"/>
    </row>
    <row r="407" spans="1:35" customFormat="1" ht="14.25" x14ac:dyDescent="0.45">
      <c r="B407" s="14" t="s">
        <v>2874</v>
      </c>
      <c r="C407" s="14" t="s">
        <v>2701</v>
      </c>
      <c r="D407" s="15" t="s">
        <v>2875</v>
      </c>
      <c r="E407" s="16" t="s">
        <v>1870</v>
      </c>
      <c r="F407" s="14" t="s">
        <v>2874</v>
      </c>
      <c r="G407" s="17"/>
      <c r="H407" s="17"/>
      <c r="I407" t="s">
        <v>2876</v>
      </c>
      <c r="K407" s="140"/>
      <c r="L407" s="144">
        <f t="shared" ref="L407:AE407" si="181">L406-L$329</f>
        <v>0</v>
      </c>
      <c r="M407" s="144">
        <f t="shared" si="181"/>
        <v>0</v>
      </c>
      <c r="N407" s="144">
        <f t="shared" si="181"/>
        <v>0</v>
      </c>
      <c r="O407" s="144">
        <f t="shared" si="181"/>
        <v>0</v>
      </c>
      <c r="P407" s="144">
        <f t="shared" si="181"/>
        <v>0</v>
      </c>
      <c r="Q407" s="144">
        <f t="shared" si="181"/>
        <v>0</v>
      </c>
      <c r="R407" s="144">
        <f t="shared" si="181"/>
        <v>0</v>
      </c>
      <c r="S407" s="144">
        <f t="shared" si="181"/>
        <v>0</v>
      </c>
      <c r="T407" s="144">
        <f t="shared" si="181"/>
        <v>0</v>
      </c>
      <c r="U407" s="144">
        <f t="shared" si="181"/>
        <v>0</v>
      </c>
      <c r="V407" s="144">
        <f t="shared" si="181"/>
        <v>0</v>
      </c>
      <c r="W407" s="144">
        <f t="shared" si="181"/>
        <v>0</v>
      </c>
      <c r="X407" s="144">
        <f t="shared" si="181"/>
        <v>0</v>
      </c>
      <c r="Y407" s="144">
        <f t="shared" si="181"/>
        <v>0</v>
      </c>
      <c r="Z407" s="144">
        <f t="shared" si="181"/>
        <v>0</v>
      </c>
      <c r="AA407" s="144">
        <f t="shared" si="181"/>
        <v>0</v>
      </c>
      <c r="AB407" s="144">
        <f t="shared" si="181"/>
        <v>0</v>
      </c>
      <c r="AC407" s="144">
        <f t="shared" si="181"/>
        <v>0</v>
      </c>
      <c r="AD407" s="144">
        <f t="shared" si="181"/>
        <v>0</v>
      </c>
      <c r="AE407" s="144">
        <f t="shared" si="181"/>
        <v>0</v>
      </c>
      <c r="AF407" s="142"/>
      <c r="AG407" s="142"/>
      <c r="AH407" s="142"/>
      <c r="AI407" s="142"/>
    </row>
    <row r="408" spans="1:35" x14ac:dyDescent="0.35"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</row>
    <row r="409" spans="1:35" customFormat="1" ht="14.25" x14ac:dyDescent="0.45">
      <c r="A409" s="11"/>
      <c r="B409" s="6"/>
      <c r="C409" s="7" t="s">
        <v>1160</v>
      </c>
      <c r="D409" s="6" t="s">
        <v>1504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2894</v>
      </c>
      <c r="J409" s="48">
        <v>2</v>
      </c>
      <c r="K409" s="138">
        <v>2021</v>
      </c>
      <c r="L409" s="139">
        <v>2022</v>
      </c>
      <c r="M409" s="138">
        <v>2023</v>
      </c>
      <c r="N409" s="138">
        <v>2024</v>
      </c>
      <c r="O409" s="138">
        <v>2025</v>
      </c>
      <c r="P409" s="138">
        <v>2026</v>
      </c>
      <c r="Q409" s="138">
        <v>2027</v>
      </c>
      <c r="R409" s="138">
        <v>2028</v>
      </c>
      <c r="S409" s="138">
        <v>2029</v>
      </c>
      <c r="T409" s="138">
        <v>2030</v>
      </c>
      <c r="U409" s="138">
        <v>2031</v>
      </c>
      <c r="V409" s="138">
        <v>2032</v>
      </c>
      <c r="W409" s="138">
        <v>2033</v>
      </c>
      <c r="X409" s="138">
        <v>2034</v>
      </c>
      <c r="Y409" s="138">
        <v>2035</v>
      </c>
      <c r="Z409" s="138">
        <v>2036</v>
      </c>
      <c r="AA409" s="138">
        <v>2037</v>
      </c>
      <c r="AB409" s="138">
        <v>2038</v>
      </c>
      <c r="AC409" s="138">
        <v>2039</v>
      </c>
      <c r="AD409" s="138">
        <v>2040</v>
      </c>
      <c r="AE409" s="138">
        <v>2041</v>
      </c>
      <c r="AF409" s="138">
        <v>2042</v>
      </c>
      <c r="AG409" s="138">
        <v>2043</v>
      </c>
      <c r="AH409" s="138">
        <v>2044</v>
      </c>
      <c r="AI409" s="138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2878</v>
      </c>
      <c r="E410" s="16" t="s">
        <v>51</v>
      </c>
      <c r="F410" s="14" t="s">
        <v>2879</v>
      </c>
      <c r="G410" s="17"/>
      <c r="H410" s="129" t="str">
        <f>Settings!$B$3&amp;".mit.shpf.coa.ind.2"</f>
        <v>egy.mit.shpf.coa.ind.2</v>
      </c>
      <c r="K410" s="141"/>
      <c r="L410" s="141">
        <f>L$397*Scenarios!$E$30</f>
        <v>0</v>
      </c>
      <c r="M410" s="141">
        <f>M$397*Scenarios!$E$30</f>
        <v>0</v>
      </c>
      <c r="N410" s="141">
        <f>N$397*Scenarios!$E$30</f>
        <v>0</v>
      </c>
      <c r="O410" s="141">
        <f>O$397*Scenarios!$E$30</f>
        <v>0</v>
      </c>
      <c r="P410" s="141">
        <f>P$397*Scenarios!$E$30</f>
        <v>0</v>
      </c>
      <c r="Q410" s="141">
        <f>Q$397*Scenarios!$E$30</f>
        <v>0</v>
      </c>
      <c r="R410" s="141">
        <f>R$397*Scenarios!$E$30</f>
        <v>0</v>
      </c>
      <c r="S410" s="141">
        <f>S$397*Scenarios!$E$30</f>
        <v>0</v>
      </c>
      <c r="T410" s="141">
        <f>T$397*Scenarios!$E$30</f>
        <v>0</v>
      </c>
      <c r="U410" s="141">
        <f>U$397*Scenarios!$E$30</f>
        <v>0</v>
      </c>
      <c r="V410" s="141">
        <f>V$397*Scenarios!$E$30</f>
        <v>0</v>
      </c>
      <c r="W410" s="141">
        <f>W$397*Scenarios!$E$30</f>
        <v>0</v>
      </c>
      <c r="X410" s="141">
        <f>X$397*Scenarios!$E$30</f>
        <v>0</v>
      </c>
      <c r="Y410" s="141">
        <f>Y$397*Scenarios!$E$30</f>
        <v>0</v>
      </c>
      <c r="Z410" s="141">
        <f>Z$397*Scenarios!$E$30</f>
        <v>0</v>
      </c>
      <c r="AA410" s="141">
        <f>AA$397*Scenarios!$E$30</f>
        <v>0</v>
      </c>
      <c r="AB410" s="141">
        <f>AB$397*Scenarios!$E$30</f>
        <v>0</v>
      </c>
      <c r="AC410" s="141">
        <f>AC$397*Scenarios!$E$30</f>
        <v>0</v>
      </c>
      <c r="AD410" s="141">
        <f>AD$397*Scenarios!$E$30</f>
        <v>0</v>
      </c>
      <c r="AE410" s="141">
        <f>AE$397*Scenarios!$E$30</f>
        <v>0</v>
      </c>
      <c r="AF410" s="142"/>
      <c r="AG410" s="142"/>
      <c r="AH410" s="142"/>
      <c r="AI410" s="142"/>
    </row>
    <row r="411" spans="1:35" customFormat="1" ht="14.25" x14ac:dyDescent="0.45">
      <c r="B411" s="14" t="s">
        <v>53</v>
      </c>
      <c r="C411" s="14" t="s">
        <v>4</v>
      </c>
      <c r="D411" s="15" t="s">
        <v>2880</v>
      </c>
      <c r="E411" s="16" t="s">
        <v>51</v>
      </c>
      <c r="F411" s="14" t="s">
        <v>2879</v>
      </c>
      <c r="G411" s="17"/>
      <c r="H411" s="129" t="str">
        <f>Settings!$B$3&amp;".mit.shpf.nga.ind.2"</f>
        <v>egy.mit.shpf.nga.ind.2</v>
      </c>
      <c r="K411" s="141"/>
      <c r="L411" s="141">
        <f>L$397*Scenarios!$E$31</f>
        <v>0</v>
      </c>
      <c r="M411" s="141">
        <f>M$397*Scenarios!$E$31</f>
        <v>0</v>
      </c>
      <c r="N411" s="141">
        <f>N$397*Scenarios!$E$31</f>
        <v>0</v>
      </c>
      <c r="O411" s="141">
        <f>O$397*Scenarios!$E$31</f>
        <v>0</v>
      </c>
      <c r="P411" s="141">
        <f>P$397*Scenarios!$E$31</f>
        <v>0</v>
      </c>
      <c r="Q411" s="141">
        <f>Q$397*Scenarios!$E$31</f>
        <v>0</v>
      </c>
      <c r="R411" s="141">
        <f>R$397*Scenarios!$E$31</f>
        <v>0</v>
      </c>
      <c r="S411" s="141">
        <f>S$397*Scenarios!$E$31</f>
        <v>0</v>
      </c>
      <c r="T411" s="141">
        <f>T$397*Scenarios!$E$31</f>
        <v>0</v>
      </c>
      <c r="U411" s="141">
        <f>U$397*Scenarios!$E$31</f>
        <v>0</v>
      </c>
      <c r="V411" s="141">
        <f>V$397*Scenarios!$E$31</f>
        <v>0</v>
      </c>
      <c r="W411" s="141">
        <f>W$397*Scenarios!$E$31</f>
        <v>0</v>
      </c>
      <c r="X411" s="141">
        <f>X$397*Scenarios!$E$31</f>
        <v>0</v>
      </c>
      <c r="Y411" s="141">
        <f>Y$397*Scenarios!$E$31</f>
        <v>0</v>
      </c>
      <c r="Z411" s="141">
        <f>Z$397*Scenarios!$E$31</f>
        <v>0</v>
      </c>
      <c r="AA411" s="141">
        <f>AA$397*Scenarios!$E$31</f>
        <v>0</v>
      </c>
      <c r="AB411" s="141">
        <f>AB$397*Scenarios!$E$31</f>
        <v>0</v>
      </c>
      <c r="AC411" s="141">
        <f>AC$397*Scenarios!$E$31</f>
        <v>0</v>
      </c>
      <c r="AD411" s="141">
        <f>AD$397*Scenarios!$E$31</f>
        <v>0</v>
      </c>
      <c r="AE411" s="141">
        <f>AE$397*Scenarios!$E$31</f>
        <v>0</v>
      </c>
      <c r="AF411" s="142"/>
      <c r="AG411" s="142"/>
      <c r="AH411" s="142"/>
      <c r="AI411" s="142"/>
    </row>
    <row r="412" spans="1:35" customFormat="1" ht="14.25" x14ac:dyDescent="0.45">
      <c r="B412" s="14" t="s">
        <v>55</v>
      </c>
      <c r="C412" s="14" t="s">
        <v>4</v>
      </c>
      <c r="D412" s="15" t="s">
        <v>2881</v>
      </c>
      <c r="E412" s="16" t="s">
        <v>57</v>
      </c>
      <c r="F412" s="14" t="s">
        <v>2879</v>
      </c>
      <c r="G412" s="17"/>
      <c r="H412" s="129" t="str">
        <f>Settings!$B$3&amp;".mit.shpf.gso.ind.2"</f>
        <v>egy.mit.shpf.gso.ind.2</v>
      </c>
      <c r="K412" s="141"/>
      <c r="L412" s="141">
        <f>L$397*Scenarios!$E$32</f>
        <v>0</v>
      </c>
      <c r="M412" s="141">
        <f>M$397*Scenarios!$E$32</f>
        <v>0</v>
      </c>
      <c r="N412" s="141">
        <f>N$397*Scenarios!$E$32</f>
        <v>0</v>
      </c>
      <c r="O412" s="141">
        <f>O$397*Scenarios!$E$32</f>
        <v>0</v>
      </c>
      <c r="P412" s="141">
        <f>P$397*Scenarios!$E$32</f>
        <v>0</v>
      </c>
      <c r="Q412" s="141">
        <f>Q$397*Scenarios!$E$32</f>
        <v>0</v>
      </c>
      <c r="R412" s="141">
        <f>R$397*Scenarios!$E$32</f>
        <v>0</v>
      </c>
      <c r="S412" s="141">
        <f>S$397*Scenarios!$E$32</f>
        <v>0</v>
      </c>
      <c r="T412" s="141">
        <f>T$397*Scenarios!$E$32</f>
        <v>0</v>
      </c>
      <c r="U412" s="141">
        <f>U$397*Scenarios!$E$32</f>
        <v>0</v>
      </c>
      <c r="V412" s="141">
        <f>V$397*Scenarios!$E$32</f>
        <v>0</v>
      </c>
      <c r="W412" s="141">
        <f>W$397*Scenarios!$E$32</f>
        <v>0</v>
      </c>
      <c r="X412" s="141">
        <f>X$397*Scenarios!$E$32</f>
        <v>0</v>
      </c>
      <c r="Y412" s="141">
        <f>Y$397*Scenarios!$E$32</f>
        <v>0</v>
      </c>
      <c r="Z412" s="141">
        <f>Z$397*Scenarios!$E$32</f>
        <v>0</v>
      </c>
      <c r="AA412" s="141">
        <f>AA$397*Scenarios!$E$32</f>
        <v>0</v>
      </c>
      <c r="AB412" s="141">
        <f>AB$397*Scenarios!$E$32</f>
        <v>0</v>
      </c>
      <c r="AC412" s="141">
        <f>AC$397*Scenarios!$E$32</f>
        <v>0</v>
      </c>
      <c r="AD412" s="141">
        <f>AD$397*Scenarios!$E$32</f>
        <v>0</v>
      </c>
      <c r="AE412" s="141">
        <f>AE$397*Scenarios!$E$32</f>
        <v>0</v>
      </c>
      <c r="AF412" s="142"/>
      <c r="AG412" s="142"/>
      <c r="AH412" s="142"/>
      <c r="AI412" s="142"/>
    </row>
    <row r="413" spans="1:35" customFormat="1" ht="14.25" x14ac:dyDescent="0.45">
      <c r="B413" s="14" t="s">
        <v>58</v>
      </c>
      <c r="C413" s="14" t="s">
        <v>4</v>
      </c>
      <c r="D413" s="15" t="s">
        <v>2882</v>
      </c>
      <c r="E413" s="16" t="s">
        <v>57</v>
      </c>
      <c r="F413" s="14" t="s">
        <v>2879</v>
      </c>
      <c r="G413" s="17"/>
      <c r="H413" s="129" t="str">
        <f>Settings!$B$3&amp;".mit.shpf.die.ind.2"</f>
        <v>egy.mit.shpf.die.ind.2</v>
      </c>
      <c r="K413" s="141"/>
      <c r="L413" s="141">
        <f>L$397*Scenarios!$E$33</f>
        <v>0</v>
      </c>
      <c r="M413" s="141">
        <f>M$397*Scenarios!$E$33</f>
        <v>0</v>
      </c>
      <c r="N413" s="141">
        <f>N$397*Scenarios!$E$33</f>
        <v>0</v>
      </c>
      <c r="O413" s="141">
        <f>O$397*Scenarios!$E$33</f>
        <v>0</v>
      </c>
      <c r="P413" s="141">
        <f>P$397*Scenarios!$E$33</f>
        <v>0</v>
      </c>
      <c r="Q413" s="141">
        <f>Q$397*Scenarios!$E$33</f>
        <v>0</v>
      </c>
      <c r="R413" s="141">
        <f>R$397*Scenarios!$E$33</f>
        <v>0</v>
      </c>
      <c r="S413" s="141">
        <f>S$397*Scenarios!$E$33</f>
        <v>0</v>
      </c>
      <c r="T413" s="141">
        <f>T$397*Scenarios!$E$33</f>
        <v>0</v>
      </c>
      <c r="U413" s="141">
        <f>U$397*Scenarios!$E$33</f>
        <v>0</v>
      </c>
      <c r="V413" s="141">
        <f>V$397*Scenarios!$E$33</f>
        <v>0</v>
      </c>
      <c r="W413" s="141">
        <f>W$397*Scenarios!$E$33</f>
        <v>0</v>
      </c>
      <c r="X413" s="141">
        <f>X$397*Scenarios!$E$33</f>
        <v>0</v>
      </c>
      <c r="Y413" s="141">
        <f>Y$397*Scenarios!$E$33</f>
        <v>0</v>
      </c>
      <c r="Z413" s="141">
        <f>Z$397*Scenarios!$E$33</f>
        <v>0</v>
      </c>
      <c r="AA413" s="141">
        <f>AA$397*Scenarios!$E$33</f>
        <v>0</v>
      </c>
      <c r="AB413" s="141">
        <f>AB$397*Scenarios!$E$33</f>
        <v>0</v>
      </c>
      <c r="AC413" s="141">
        <f>AC$397*Scenarios!$E$33</f>
        <v>0</v>
      </c>
      <c r="AD413" s="141">
        <f>AD$397*Scenarios!$E$33</f>
        <v>0</v>
      </c>
      <c r="AE413" s="141">
        <f>AE$397*Scenarios!$E$33</f>
        <v>0</v>
      </c>
      <c r="AF413" s="142"/>
      <c r="AG413" s="142"/>
      <c r="AH413" s="142"/>
      <c r="AI413" s="142"/>
    </row>
    <row r="414" spans="1:35" customFormat="1" ht="14.25" x14ac:dyDescent="0.45">
      <c r="B414" s="14" t="s">
        <v>60</v>
      </c>
      <c r="C414" s="14" t="s">
        <v>4</v>
      </c>
      <c r="D414" s="15" t="s">
        <v>2883</v>
      </c>
      <c r="E414" s="16" t="s">
        <v>57</v>
      </c>
      <c r="F414" s="14" t="s">
        <v>2879</v>
      </c>
      <c r="G414" s="17"/>
      <c r="H414" s="129" t="str">
        <f>Settings!$B$3&amp;".mit.shpf.lpg.ind.2"</f>
        <v>egy.mit.shpf.lpg.ind.2</v>
      </c>
      <c r="K414" s="141"/>
      <c r="L414" s="141">
        <f>L$397*Scenarios!$E$34</f>
        <v>0</v>
      </c>
      <c r="M414" s="141">
        <f>M$397*Scenarios!$E$34</f>
        <v>0</v>
      </c>
      <c r="N414" s="141">
        <f>N$397*Scenarios!$E$34</f>
        <v>0</v>
      </c>
      <c r="O414" s="141">
        <f>O$397*Scenarios!$E$34</f>
        <v>0</v>
      </c>
      <c r="P414" s="141">
        <f>P$397*Scenarios!$E$34</f>
        <v>0</v>
      </c>
      <c r="Q414" s="141">
        <f>Q$397*Scenarios!$E$34</f>
        <v>0</v>
      </c>
      <c r="R414" s="141">
        <f>R$397*Scenarios!$E$34</f>
        <v>0</v>
      </c>
      <c r="S414" s="141">
        <f>S$397*Scenarios!$E$34</f>
        <v>0</v>
      </c>
      <c r="T414" s="141">
        <f>T$397*Scenarios!$E$34</f>
        <v>0</v>
      </c>
      <c r="U414" s="141">
        <f>U$397*Scenarios!$E$34</f>
        <v>0</v>
      </c>
      <c r="V414" s="141">
        <f>V$397*Scenarios!$E$34</f>
        <v>0</v>
      </c>
      <c r="W414" s="141">
        <f>W$397*Scenarios!$E$34</f>
        <v>0</v>
      </c>
      <c r="X414" s="141">
        <f>X$397*Scenarios!$E$34</f>
        <v>0</v>
      </c>
      <c r="Y414" s="141">
        <f>Y$397*Scenarios!$E$34</f>
        <v>0</v>
      </c>
      <c r="Z414" s="141">
        <f>Z$397*Scenarios!$E$34</f>
        <v>0</v>
      </c>
      <c r="AA414" s="141">
        <f>AA$397*Scenarios!$E$34</f>
        <v>0</v>
      </c>
      <c r="AB414" s="141">
        <f>AB$397*Scenarios!$E$34</f>
        <v>0</v>
      </c>
      <c r="AC414" s="141">
        <f>AC$397*Scenarios!$E$34</f>
        <v>0</v>
      </c>
      <c r="AD414" s="141">
        <f>AD$397*Scenarios!$E$34</f>
        <v>0</v>
      </c>
      <c r="AE414" s="141">
        <f>AE$397*Scenarios!$E$34</f>
        <v>0</v>
      </c>
      <c r="AF414" s="142"/>
      <c r="AG414" s="142"/>
      <c r="AH414" s="142"/>
      <c r="AI414" s="142"/>
    </row>
    <row r="415" spans="1:35" customFormat="1" ht="14.25" x14ac:dyDescent="0.45">
      <c r="B415" s="14" t="s">
        <v>62</v>
      </c>
      <c r="C415" s="14" t="s">
        <v>4</v>
      </c>
      <c r="D415" s="15" t="s">
        <v>2884</v>
      </c>
      <c r="E415" s="16" t="s">
        <v>57</v>
      </c>
      <c r="F415" s="14" t="s">
        <v>2879</v>
      </c>
      <c r="G415" s="17"/>
      <c r="H415" s="129" t="str">
        <f>Settings!$B$3&amp;".mit.shpf.ker.ind.2"</f>
        <v>egy.mit.shpf.ker.ind.2</v>
      </c>
      <c r="K415" s="141"/>
      <c r="L415" s="141">
        <f>L$397*Scenarios!$E$35</f>
        <v>0</v>
      </c>
      <c r="M415" s="141">
        <f>M$397*Scenarios!$E$35</f>
        <v>0</v>
      </c>
      <c r="N415" s="141">
        <f>N$397*Scenarios!$E$35</f>
        <v>0</v>
      </c>
      <c r="O415" s="141">
        <f>O$397*Scenarios!$E$35</f>
        <v>0</v>
      </c>
      <c r="P415" s="141">
        <f>P$397*Scenarios!$E$35</f>
        <v>0</v>
      </c>
      <c r="Q415" s="141">
        <f>Q$397*Scenarios!$E$35</f>
        <v>0</v>
      </c>
      <c r="R415" s="141">
        <f>R$397*Scenarios!$E$35</f>
        <v>0</v>
      </c>
      <c r="S415" s="141">
        <f>S$397*Scenarios!$E$35</f>
        <v>0</v>
      </c>
      <c r="T415" s="141">
        <f>T$397*Scenarios!$E$35</f>
        <v>0</v>
      </c>
      <c r="U415" s="141">
        <f>U$397*Scenarios!$E$35</f>
        <v>0</v>
      </c>
      <c r="V415" s="141">
        <f>V$397*Scenarios!$E$35</f>
        <v>0</v>
      </c>
      <c r="W415" s="141">
        <f>W$397*Scenarios!$E$35</f>
        <v>0</v>
      </c>
      <c r="X415" s="141">
        <f>X$397*Scenarios!$E$35</f>
        <v>0</v>
      </c>
      <c r="Y415" s="141">
        <f>Y$397*Scenarios!$E$35</f>
        <v>0</v>
      </c>
      <c r="Z415" s="141">
        <f>Z$397*Scenarios!$E$35</f>
        <v>0</v>
      </c>
      <c r="AA415" s="141">
        <f>AA$397*Scenarios!$E$35</f>
        <v>0</v>
      </c>
      <c r="AB415" s="141">
        <f>AB$397*Scenarios!$E$35</f>
        <v>0</v>
      </c>
      <c r="AC415" s="141">
        <f>AC$397*Scenarios!$E$35</f>
        <v>0</v>
      </c>
      <c r="AD415" s="141">
        <f>AD$397*Scenarios!$E$35</f>
        <v>0</v>
      </c>
      <c r="AE415" s="141">
        <f>AE$397*Scenarios!$E$35</f>
        <v>0</v>
      </c>
      <c r="AF415" s="142"/>
      <c r="AG415" s="142"/>
      <c r="AH415" s="142"/>
      <c r="AI415" s="142"/>
    </row>
    <row r="416" spans="1:35" customFormat="1" ht="14.25" x14ac:dyDescent="0.45">
      <c r="B416" s="14" t="s">
        <v>64</v>
      </c>
      <c r="C416" s="14" t="s">
        <v>4</v>
      </c>
      <c r="D416" s="15" t="s">
        <v>2885</v>
      </c>
      <c r="E416" s="16" t="s">
        <v>66</v>
      </c>
      <c r="F416" s="14" t="s">
        <v>2879</v>
      </c>
      <c r="G416" s="17"/>
      <c r="H416" s="129" t="str">
        <f>Settings!$B$3&amp;".mit.shpf.oop.ind.2"</f>
        <v>egy.mit.shpf.oop.ind.2</v>
      </c>
      <c r="K416" s="141"/>
      <c r="L416" s="141">
        <f>L$397*Scenarios!$E$36</f>
        <v>0</v>
      </c>
      <c r="M416" s="141">
        <f>M$397*Scenarios!$E$36</f>
        <v>0</v>
      </c>
      <c r="N416" s="141">
        <f>N$397*Scenarios!$E$36</f>
        <v>0</v>
      </c>
      <c r="O416" s="141">
        <f>O$397*Scenarios!$E$36</f>
        <v>0</v>
      </c>
      <c r="P416" s="141">
        <f>P$397*Scenarios!$E$36</f>
        <v>0</v>
      </c>
      <c r="Q416" s="141">
        <f>Q$397*Scenarios!$E$36</f>
        <v>0</v>
      </c>
      <c r="R416" s="141">
        <f>R$397*Scenarios!$E$36</f>
        <v>0</v>
      </c>
      <c r="S416" s="141">
        <f>S$397*Scenarios!$E$36</f>
        <v>0</v>
      </c>
      <c r="T416" s="141">
        <f>T$397*Scenarios!$E$36</f>
        <v>0</v>
      </c>
      <c r="U416" s="141">
        <f>U$397*Scenarios!$E$36</f>
        <v>0</v>
      </c>
      <c r="V416" s="141">
        <f>V$397*Scenarios!$E$36</f>
        <v>0</v>
      </c>
      <c r="W416" s="141">
        <f>W$397*Scenarios!$E$36</f>
        <v>0</v>
      </c>
      <c r="X416" s="141">
        <f>X$397*Scenarios!$E$36</f>
        <v>0</v>
      </c>
      <c r="Y416" s="141">
        <f>Y$397*Scenarios!$E$36</f>
        <v>0</v>
      </c>
      <c r="Z416" s="141">
        <f>Z$397*Scenarios!$E$36</f>
        <v>0</v>
      </c>
      <c r="AA416" s="141">
        <f>AA$397*Scenarios!$E$36</f>
        <v>0</v>
      </c>
      <c r="AB416" s="141">
        <f>AB$397*Scenarios!$E$36</f>
        <v>0</v>
      </c>
      <c r="AC416" s="141">
        <f>AC$397*Scenarios!$E$36</f>
        <v>0</v>
      </c>
      <c r="AD416" s="141">
        <f>AD$397*Scenarios!$E$36</f>
        <v>0</v>
      </c>
      <c r="AE416" s="141">
        <f>AE$397*Scenarios!$E$36</f>
        <v>0</v>
      </c>
      <c r="AF416" s="142"/>
      <c r="AG416" s="142"/>
      <c r="AH416" s="142"/>
      <c r="AI416" s="142"/>
    </row>
    <row r="417" spans="2:35" customFormat="1" ht="14.25" x14ac:dyDescent="0.45">
      <c r="B417" s="14" t="s">
        <v>67</v>
      </c>
      <c r="C417" s="14" t="s">
        <v>4</v>
      </c>
      <c r="D417" s="15" t="s">
        <v>2886</v>
      </c>
      <c r="E417" s="16" t="s">
        <v>51</v>
      </c>
      <c r="F417" s="14" t="s">
        <v>2879</v>
      </c>
      <c r="G417" s="17"/>
      <c r="H417" s="129" t="str">
        <f>Settings!$B$3&amp;".mit.shpf.bio.ind.2"</f>
        <v>egy.mit.shpf.bio.ind.2</v>
      </c>
      <c r="K417" s="141"/>
      <c r="L417" s="141">
        <f>L$397*Scenarios!$E$37</f>
        <v>0</v>
      </c>
      <c r="M417" s="141">
        <f>M$397*Scenarios!$E$37</f>
        <v>0</v>
      </c>
      <c r="N417" s="141">
        <f>N$397*Scenarios!$E$37</f>
        <v>0</v>
      </c>
      <c r="O417" s="141">
        <f>O$397*Scenarios!$E$37</f>
        <v>0</v>
      </c>
      <c r="P417" s="141">
        <f>P$397*Scenarios!$E$37</f>
        <v>0</v>
      </c>
      <c r="Q417" s="141">
        <f>Q$397*Scenarios!$E$37</f>
        <v>0</v>
      </c>
      <c r="R417" s="141">
        <f>R$397*Scenarios!$E$37</f>
        <v>0</v>
      </c>
      <c r="S417" s="141">
        <f>S$397*Scenarios!$E$37</f>
        <v>0</v>
      </c>
      <c r="T417" s="141">
        <f>T$397*Scenarios!$E$37</f>
        <v>0</v>
      </c>
      <c r="U417" s="141">
        <f>U$397*Scenarios!$E$37</f>
        <v>0</v>
      </c>
      <c r="V417" s="141">
        <f>V$397*Scenarios!$E$37</f>
        <v>0</v>
      </c>
      <c r="W417" s="141">
        <f>W$397*Scenarios!$E$37</f>
        <v>0</v>
      </c>
      <c r="X417" s="141">
        <f>X$397*Scenarios!$E$37</f>
        <v>0</v>
      </c>
      <c r="Y417" s="141">
        <f>Y$397*Scenarios!$E$37</f>
        <v>0</v>
      </c>
      <c r="Z417" s="141">
        <f>Z$397*Scenarios!$E$37</f>
        <v>0</v>
      </c>
      <c r="AA417" s="141">
        <f>AA$397*Scenarios!$E$37</f>
        <v>0</v>
      </c>
      <c r="AB417" s="141">
        <f>AB$397*Scenarios!$E$37</f>
        <v>0</v>
      </c>
      <c r="AC417" s="141">
        <f>AC$397*Scenarios!$E$37</f>
        <v>0</v>
      </c>
      <c r="AD417" s="141">
        <f>AD$397*Scenarios!$E$37</f>
        <v>0</v>
      </c>
      <c r="AE417" s="141">
        <f>AE$397*Scenarios!$E$37</f>
        <v>0</v>
      </c>
      <c r="AF417" s="142"/>
      <c r="AG417" s="142"/>
      <c r="AH417" s="142"/>
      <c r="AI417" s="142"/>
    </row>
    <row r="418" spans="2:35" customFormat="1" ht="14.25" x14ac:dyDescent="0.45">
      <c r="B418" s="14" t="s">
        <v>69</v>
      </c>
      <c r="C418" s="14" t="s">
        <v>4</v>
      </c>
      <c r="D418" s="15" t="s">
        <v>2887</v>
      </c>
      <c r="E418" s="16" t="s">
        <v>71</v>
      </c>
      <c r="F418" s="14" t="s">
        <v>2879</v>
      </c>
      <c r="G418" s="17"/>
      <c r="H418" s="129" t="str">
        <f>Settings!$B$3&amp;".mit.shpf.ren.ind.2"</f>
        <v>egy.mit.shpf.ren.ind.2</v>
      </c>
      <c r="K418" s="141"/>
      <c r="L418" s="141">
        <f>L$397*Scenarios!$E$38</f>
        <v>0</v>
      </c>
      <c r="M418" s="141">
        <f>M$397*Scenarios!$E$38</f>
        <v>0</v>
      </c>
      <c r="N418" s="141">
        <f>N$397*Scenarios!$E$38</f>
        <v>0</v>
      </c>
      <c r="O418" s="141">
        <f>O$397*Scenarios!$E$38</f>
        <v>0</v>
      </c>
      <c r="P418" s="141">
        <f>P$397*Scenarios!$E$38</f>
        <v>0</v>
      </c>
      <c r="Q418" s="141">
        <f>Q$397*Scenarios!$E$38</f>
        <v>0</v>
      </c>
      <c r="R418" s="141">
        <f>R$397*Scenarios!$E$38</f>
        <v>0</v>
      </c>
      <c r="S418" s="141">
        <f>S$397*Scenarios!$E$38</f>
        <v>0</v>
      </c>
      <c r="T418" s="141">
        <f>T$397*Scenarios!$E$38</f>
        <v>0</v>
      </c>
      <c r="U418" s="141">
        <f>U$397*Scenarios!$E$38</f>
        <v>0</v>
      </c>
      <c r="V418" s="141">
        <f>V$397*Scenarios!$E$38</f>
        <v>0</v>
      </c>
      <c r="W418" s="141">
        <f>W$397*Scenarios!$E$38</f>
        <v>0</v>
      </c>
      <c r="X418" s="141">
        <f>X$397*Scenarios!$E$38</f>
        <v>0</v>
      </c>
      <c r="Y418" s="141">
        <f>Y$397*Scenarios!$E$38</f>
        <v>0</v>
      </c>
      <c r="Z418" s="141">
        <f>Z$397*Scenarios!$E$38</f>
        <v>0</v>
      </c>
      <c r="AA418" s="141">
        <f>AA$397*Scenarios!$E$38</f>
        <v>0</v>
      </c>
      <c r="AB418" s="141">
        <f>AB$397*Scenarios!$E$38</f>
        <v>0</v>
      </c>
      <c r="AC418" s="141">
        <f>AC$397*Scenarios!$E$38</f>
        <v>0</v>
      </c>
      <c r="AD418" s="141">
        <f>AD$397*Scenarios!$E$38</f>
        <v>0</v>
      </c>
      <c r="AE418" s="141">
        <f>AE$397*Scenarios!$E$38</f>
        <v>0</v>
      </c>
      <c r="AF418" s="142"/>
      <c r="AG418" s="142"/>
      <c r="AH418" s="142"/>
      <c r="AI418" s="142"/>
    </row>
    <row r="419" spans="2:35" x14ac:dyDescent="0.35"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</row>
    <row r="420" spans="2:35" x14ac:dyDescent="0.35"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</row>
    <row r="421" spans="2:35" x14ac:dyDescent="0.35"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</row>
    <row r="422" spans="2:35" x14ac:dyDescent="0.35"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33.7304687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31.2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3154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1504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6" t="s">
        <v>3156</v>
      </c>
      <c r="C6" s="116" t="s">
        <v>3157</v>
      </c>
      <c r="D6" s="116" t="s">
        <v>3158</v>
      </c>
      <c r="E6" s="116" t="s">
        <v>1868</v>
      </c>
      <c r="F6" s="116" t="s">
        <v>3159</v>
      </c>
      <c r="H6" s="120" t="str">
        <f>Settings!$B$3&amp;".mit.ghg.ipr.co2.1"</f>
        <v>egy.mit.ghg.ipr.co2.1</v>
      </c>
      <c r="I6" s="116" t="s">
        <v>3160</v>
      </c>
      <c r="L6" s="123">
        <v>39.407980795454698</v>
      </c>
      <c r="M6" s="123">
        <v>43.585000918797398</v>
      </c>
      <c r="N6" s="123">
        <v>50.912804098383539</v>
      </c>
      <c r="O6" s="123">
        <v>56.757414027053628</v>
      </c>
      <c r="P6" s="123">
        <v>55.1773166677362</v>
      </c>
      <c r="Q6" s="123">
        <v>60.177140336361155</v>
      </c>
      <c r="R6" s="123">
        <v>62.592850889257889</v>
      </c>
      <c r="S6" s="123">
        <v>64.932582697226763</v>
      </c>
      <c r="T6" s="123">
        <v>67.146957884204539</v>
      </c>
      <c r="U6" s="123">
        <v>69.397003093875313</v>
      </c>
      <c r="V6" s="123">
        <v>71.660468477644955</v>
      </c>
      <c r="W6" s="123">
        <v>73.966810189848204</v>
      </c>
      <c r="X6" s="123">
        <v>76.315807722191707</v>
      </c>
      <c r="Y6" s="123">
        <v>78.707211855040825</v>
      </c>
      <c r="Z6" s="123">
        <v>81.140744118134904</v>
      </c>
      <c r="AA6" s="123">
        <v>83.616096165537925</v>
      </c>
      <c r="AB6" s="123">
        <v>86.13292906095532</v>
      </c>
      <c r="AC6" s="123">
        <v>88.690872469710754</v>
      </c>
      <c r="AD6" s="123">
        <v>91.289523753836292</v>
      </c>
      <c r="AE6" s="123">
        <v>93.928446966871803</v>
      </c>
    </row>
    <row r="7" spans="1:35" x14ac:dyDescent="0.35">
      <c r="B7" s="116" t="s">
        <v>3161</v>
      </c>
      <c r="C7" s="116" t="s">
        <v>3157</v>
      </c>
      <c r="D7" s="116" t="s">
        <v>3162</v>
      </c>
      <c r="E7" s="116" t="s">
        <v>1868</v>
      </c>
      <c r="F7" s="116" t="s">
        <v>3163</v>
      </c>
      <c r="H7" s="120" t="str">
        <f>Settings!$B$3&amp;".mit.ghg.ipr.ch4.1"</f>
        <v>egy.mit.ghg.ipr.ch4.1</v>
      </c>
      <c r="I7" s="116" t="s">
        <v>3160</v>
      </c>
      <c r="L7" s="123">
        <v>0.1657182072</v>
      </c>
      <c r="M7" s="123">
        <v>0.16588942488057401</v>
      </c>
      <c r="N7" s="123">
        <v>0.19377986951689197</v>
      </c>
      <c r="O7" s="123">
        <v>0.21602511350632642</v>
      </c>
      <c r="P7" s="123">
        <v>0.21001108490321049</v>
      </c>
      <c r="Q7" s="123">
        <v>0.22904097719202224</v>
      </c>
      <c r="R7" s="123">
        <v>0.23823544377112332</v>
      </c>
      <c r="S7" s="123">
        <v>0.24714072668535048</v>
      </c>
      <c r="T7" s="123">
        <v>0.25556888817425227</v>
      </c>
      <c r="U7" s="123">
        <v>0.26413281378900649</v>
      </c>
      <c r="V7" s="123">
        <v>0.27274781809863574</v>
      </c>
      <c r="W7" s="123">
        <v>0.28152601454581</v>
      </c>
      <c r="X7" s="123">
        <v>0.29046656385111685</v>
      </c>
      <c r="Y7" s="123">
        <v>0.29956851745654345</v>
      </c>
      <c r="Z7" s="123">
        <v>0.30883081547289826</v>
      </c>
      <c r="AA7" s="123">
        <v>0.31825228430080271</v>
      </c>
      <c r="AB7" s="123">
        <v>0.32783163391052672</v>
      </c>
      <c r="AC7" s="123">
        <v>0.33756745476656086</v>
      </c>
      <c r="AD7" s="123">
        <v>0.34745821438342783</v>
      </c>
      <c r="AE7" s="123">
        <v>0.35750225349977566</v>
      </c>
    </row>
    <row r="8" spans="1:35" x14ac:dyDescent="0.35">
      <c r="B8" s="116" t="s">
        <v>3164</v>
      </c>
      <c r="C8" s="116" t="s">
        <v>3157</v>
      </c>
      <c r="D8" s="116" t="s">
        <v>3165</v>
      </c>
      <c r="E8" s="116" t="s">
        <v>1868</v>
      </c>
      <c r="F8" s="116" t="s">
        <v>3166</v>
      </c>
      <c r="H8" s="120" t="str">
        <f>Settings!$B$3&amp;".mit.ghg.ipr.n2o.1"</f>
        <v>egy.mit.ghg.ipr.n2o.1</v>
      </c>
      <c r="I8" s="116" t="s">
        <v>3160</v>
      </c>
      <c r="L8" s="123">
        <v>0.92749999999999999</v>
      </c>
      <c r="M8" s="123">
        <v>0.92749999999999999</v>
      </c>
      <c r="N8" s="123">
        <v>1.0834375313936251</v>
      </c>
      <c r="O8" s="123">
        <v>1.2078123299382222</v>
      </c>
      <c r="P8" s="123">
        <v>1.1741874528045189</v>
      </c>
      <c r="Q8" s="123">
        <v>1.2805849830303275</v>
      </c>
      <c r="R8" s="123">
        <v>1.3319919232753465</v>
      </c>
      <c r="S8" s="123">
        <v>1.381782016338192</v>
      </c>
      <c r="T8" s="123">
        <v>1.428904488349799</v>
      </c>
      <c r="U8" s="123">
        <v>1.4767860275944065</v>
      </c>
      <c r="V8" s="123">
        <v>1.5249531515863879</v>
      </c>
      <c r="W8" s="123">
        <v>1.5740326948460954</v>
      </c>
      <c r="X8" s="123">
        <v>1.6240199649004818</v>
      </c>
      <c r="Y8" s="123">
        <v>1.6749096582917917</v>
      </c>
      <c r="Z8" s="123">
        <v>1.7266958491014452</v>
      </c>
      <c r="AA8" s="123">
        <v>1.7793719756488264</v>
      </c>
      <c r="AB8" s="123">
        <v>1.8329308252826433</v>
      </c>
      <c r="AC8" s="123">
        <v>1.8873645171859845</v>
      </c>
      <c r="AD8" s="123">
        <v>1.9426644831196078</v>
      </c>
      <c r="AE8" s="123">
        <v>1.9988214460310123</v>
      </c>
    </row>
    <row r="9" spans="1:35" x14ac:dyDescent="0.35">
      <c r="B9" s="116" t="s">
        <v>3167</v>
      </c>
      <c r="C9" s="116" t="s">
        <v>3157</v>
      </c>
      <c r="D9" s="116" t="s">
        <v>3168</v>
      </c>
      <c r="E9" s="116" t="s">
        <v>1868</v>
      </c>
      <c r="F9" s="116" t="s">
        <v>3169</v>
      </c>
      <c r="H9" s="120" t="str">
        <f>Settings!$B$3&amp;".mit.ghg.ipr.fga.1"</f>
        <v>egy.mit.ghg.ipr.fga.1</v>
      </c>
      <c r="I9" s="116" t="s">
        <v>3160</v>
      </c>
      <c r="L9" s="123">
        <v>11.699150757821901</v>
      </c>
      <c r="M9" s="123">
        <v>12.2250407871263</v>
      </c>
      <c r="N9" s="123">
        <v>14.280396777995145</v>
      </c>
      <c r="O9" s="123">
        <v>15.919735845486592</v>
      </c>
      <c r="P9" s="123">
        <v>15.476538546918793</v>
      </c>
      <c r="Q9" s="123">
        <v>16.878925767037405</v>
      </c>
      <c r="R9" s="123">
        <v>17.556501984004221</v>
      </c>
      <c r="S9" s="123">
        <v>18.212767125231281</v>
      </c>
      <c r="T9" s="123">
        <v>18.833871321815767</v>
      </c>
      <c r="U9" s="123">
        <v>19.46498050803217</v>
      </c>
      <c r="V9" s="123">
        <v>20.099853883127096</v>
      </c>
      <c r="W9" s="123">
        <v>20.746753525351846</v>
      </c>
      <c r="X9" s="123">
        <v>21.405617584922702</v>
      </c>
      <c r="Y9" s="123">
        <v>22.076376158888326</v>
      </c>
      <c r="Z9" s="123">
        <v>22.758951139867214</v>
      </c>
      <c r="AA9" s="123">
        <v>23.453256040729276</v>
      </c>
      <c r="AB9" s="123">
        <v>24.159195794136256</v>
      </c>
      <c r="AC9" s="123">
        <v>24.876666525901445</v>
      </c>
      <c r="AD9" s="123">
        <v>25.60555530117394</v>
      </c>
      <c r="AE9" s="123">
        <v>26.345739842492602</v>
      </c>
    </row>
    <row r="10" spans="1:35" x14ac:dyDescent="0.35">
      <c r="B10" s="116" t="s">
        <v>110</v>
      </c>
      <c r="C10" s="116" t="s">
        <v>3157</v>
      </c>
      <c r="D10" s="116" t="s">
        <v>3170</v>
      </c>
      <c r="E10" s="116" t="s">
        <v>1868</v>
      </c>
      <c r="F10" s="116" t="s">
        <v>3171</v>
      </c>
      <c r="H10" s="120" t="str">
        <f>Settings!$B$3&amp;".mit.ghg.ipr.tot.1"</f>
        <v>egy.mit.ghg.ipr.tot.1</v>
      </c>
      <c r="I10" s="116" t="s">
        <v>3172</v>
      </c>
      <c r="L10" s="122">
        <f t="shared" ref="L10:AE10" si="0">SUM(L6:L9)</f>
        <v>52.200349760476598</v>
      </c>
      <c r="M10" s="122">
        <f t="shared" si="0"/>
        <v>56.903431130804279</v>
      </c>
      <c r="N10" s="122">
        <f t="shared" si="0"/>
        <v>66.470418277289212</v>
      </c>
      <c r="O10" s="122">
        <f t="shared" si="0"/>
        <v>74.100987315984767</v>
      </c>
      <c r="P10" s="122">
        <f t="shared" si="0"/>
        <v>72.038053752362714</v>
      </c>
      <c r="Q10" s="122">
        <f t="shared" si="0"/>
        <v>78.565692063620915</v>
      </c>
      <c r="R10" s="122">
        <f t="shared" si="0"/>
        <v>81.719580240308574</v>
      </c>
      <c r="S10" s="122">
        <f t="shared" si="0"/>
        <v>84.774272565481581</v>
      </c>
      <c r="T10" s="122">
        <f t="shared" si="0"/>
        <v>87.665302582544356</v>
      </c>
      <c r="U10" s="122">
        <f t="shared" si="0"/>
        <v>90.602902443290887</v>
      </c>
      <c r="V10" s="122">
        <f t="shared" si="0"/>
        <v>93.558023330457075</v>
      </c>
      <c r="W10" s="122">
        <f t="shared" si="0"/>
        <v>96.569122424591953</v>
      </c>
      <c r="X10" s="122">
        <f t="shared" si="0"/>
        <v>99.635911835866011</v>
      </c>
      <c r="Y10" s="122">
        <f t="shared" si="0"/>
        <v>102.75806618967749</v>
      </c>
      <c r="Z10" s="122">
        <f t="shared" si="0"/>
        <v>105.93522192257646</v>
      </c>
      <c r="AA10" s="122">
        <f t="shared" si="0"/>
        <v>109.16697646621682</v>
      </c>
      <c r="AB10" s="122">
        <f t="shared" si="0"/>
        <v>112.45288731428474</v>
      </c>
      <c r="AC10" s="122">
        <f t="shared" si="0"/>
        <v>115.79247096756474</v>
      </c>
      <c r="AD10" s="122">
        <f t="shared" si="0"/>
        <v>119.18520175251327</v>
      </c>
      <c r="AE10" s="122">
        <f t="shared" si="0"/>
        <v>122.6305105088952</v>
      </c>
    </row>
    <row r="11" spans="1:35" x14ac:dyDescent="0.35">
      <c r="B11" s="116" t="s">
        <v>110</v>
      </c>
      <c r="C11" s="116" t="s">
        <v>4</v>
      </c>
      <c r="D11" s="116" t="s">
        <v>3173</v>
      </c>
      <c r="E11" s="116" t="s">
        <v>2094</v>
      </c>
      <c r="F11" s="116" t="s">
        <v>3174</v>
      </c>
      <c r="H11" s="120" t="str">
        <f>Settings!$B$3&amp;".mit.co2.ind.1"</f>
        <v>egy.mit.co2.ind.1</v>
      </c>
      <c r="I11" s="116" t="s">
        <v>3175</v>
      </c>
      <c r="L11" s="123">
        <v>59.804205879849356</v>
      </c>
      <c r="M11" s="123">
        <v>48.931828957170424</v>
      </c>
      <c r="N11" s="123">
        <v>57.158576789144817</v>
      </c>
      <c r="O11" s="123">
        <v>63.720179343286866</v>
      </c>
      <c r="P11" s="123">
        <v>61.946242160955606</v>
      </c>
      <c r="Q11" s="123">
        <v>67.559423563084593</v>
      </c>
      <c r="R11" s="123">
        <v>70.271483517026113</v>
      </c>
      <c r="S11" s="123">
        <v>72.898243967174636</v>
      </c>
      <c r="T11" s="123">
        <v>75.384269563412914</v>
      </c>
      <c r="U11" s="123">
        <v>77.910341033518762</v>
      </c>
      <c r="V11" s="123">
        <v>80.451479009297159</v>
      </c>
      <c r="W11" s="123">
        <v>83.040753204531725</v>
      </c>
      <c r="X11" s="123">
        <v>85.677916059881724</v>
      </c>
      <c r="Y11" s="123">
        <v>88.362687782476257</v>
      </c>
      <c r="Z11" s="123">
        <v>91.094755740472323</v>
      </c>
      <c r="AA11" s="123">
        <v>93.873773761327016</v>
      </c>
      <c r="AB11" s="123">
        <v>96.699361329439938</v>
      </c>
      <c r="AC11" s="123">
        <v>99.571102679005023</v>
      </c>
      <c r="AD11" s="123">
        <v>102.4885457780901</v>
      </c>
      <c r="AE11" s="123">
        <v>105.45120120012244</v>
      </c>
    </row>
    <row r="14" spans="1:35" customFormat="1" ht="18" customHeight="1" x14ac:dyDescent="0.45">
      <c r="A14" s="8"/>
      <c r="B14" s="9" t="s">
        <v>3176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1504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6" t="s">
        <v>110</v>
      </c>
      <c r="C17" s="116" t="s">
        <v>3177</v>
      </c>
      <c r="D17" s="116" t="s">
        <v>3178</v>
      </c>
      <c r="E17" s="116" t="s">
        <v>2094</v>
      </c>
      <c r="F17" s="116" t="s">
        <v>3179</v>
      </c>
      <c r="H17" s="120" t="str">
        <f>Settings!$B$3&amp;".mit.eco2.kern.tot.e.1"</f>
        <v>egy.mit.eco2.kern.tot.e.1</v>
      </c>
      <c r="I17" s="116" t="s">
        <v>3180</v>
      </c>
      <c r="L17" s="122">
        <f>Emissions_Industry!L15+Emissions_Industry!L27+Emissions_Industry!L39+Emissions_Industry!L51</f>
        <v>14.019740964534272</v>
      </c>
      <c r="M17" s="122">
        <f>Emissions_Industry!M15+Emissions_Industry!M27+Emissions_Industry!M39+Emissions_Industry!M51</f>
        <v>11.739301230035998</v>
      </c>
      <c r="N17" s="122">
        <f>Emissions_Industry!N15+Emissions_Industry!N27+Emissions_Industry!N39+Emissions_Industry!N51</f>
        <v>13.303124518863104</v>
      </c>
      <c r="O17" s="122">
        <f>Emissions_Industry!O15+Emissions_Industry!O27+Emissions_Industry!O39+Emissions_Industry!O51</f>
        <v>14.156899598427017</v>
      </c>
      <c r="P17" s="122">
        <f>Emissions_Industry!P15+Emissions_Industry!P27+Emissions_Industry!P39+Emissions_Industry!P51</f>
        <v>14.286244741983563</v>
      </c>
      <c r="Q17" s="122">
        <f>Emissions_Industry!Q15+Emissions_Industry!Q27+Emissions_Industry!Q39+Emissions_Industry!Q51</f>
        <v>14.694127249831887</v>
      </c>
      <c r="R17" s="122">
        <f>Emissions_Industry!R15+Emissions_Industry!R27+Emissions_Industry!R39+Emissions_Industry!R51</f>
        <v>15.27697183467752</v>
      </c>
      <c r="S17" s="122">
        <f>Emissions_Industry!S15+Emissions_Industry!S27+Emissions_Industry!S39+Emissions_Industry!S51</f>
        <v>15.844069878250156</v>
      </c>
      <c r="T17" s="122">
        <f>Emissions_Industry!T15+Emissions_Industry!T27+Emissions_Industry!T39+Emissions_Industry!T51</f>
        <v>16.383896414290213</v>
      </c>
      <c r="U17" s="122">
        <f>Emissions_Industry!U15+Emissions_Industry!U27+Emissions_Industry!U39+Emissions_Industry!U51</f>
        <v>16.932091247027692</v>
      </c>
      <c r="V17" s="122">
        <f>Emissions_Industry!V15+Emissions_Industry!V27+Emissions_Industry!V39+Emissions_Industry!V51</f>
        <v>17.456721897287899</v>
      </c>
      <c r="W17" s="122">
        <f>Emissions_Industry!W15+Emissions_Industry!W27+Emissions_Industry!W39+Emissions_Industry!W51</f>
        <v>17.991034633776298</v>
      </c>
      <c r="X17" s="122">
        <f>Emissions_Industry!X15+Emissions_Industry!X27+Emissions_Industry!X39+Emissions_Industry!X51</f>
        <v>18.534983575594026</v>
      </c>
      <c r="Y17" s="122">
        <f>Emissions_Industry!Y15+Emissions_Industry!Y27+Emissions_Industry!Y39+Emissions_Industry!Y51</f>
        <v>19.08851611045521</v>
      </c>
      <c r="Z17" s="122">
        <f>Emissions_Industry!Z15+Emissions_Industry!Z27+Emissions_Industry!Z39+Emissions_Industry!Z51</f>
        <v>19.651572741430424</v>
      </c>
      <c r="AA17" s="122">
        <f>Emissions_Industry!AA15+Emissions_Industry!AA27+Emissions_Industry!AA39+Emissions_Industry!AA51</f>
        <v>20.224086914529249</v>
      </c>
      <c r="AB17" s="122">
        <f>Emissions_Industry!AB15+Emissions_Industry!AB27+Emissions_Industry!AB39+Emissions_Industry!AB51</f>
        <v>20.80598482616989</v>
      </c>
      <c r="AC17" s="122">
        <f>Emissions_Industry!AC15+Emissions_Industry!AC27+Emissions_Industry!AC39+Emissions_Industry!AC51</f>
        <v>21.397185209616836</v>
      </c>
      <c r="AD17" s="122">
        <f>Emissions_Industry!AD15+Emissions_Industry!AD27+Emissions_Industry!AD39+Emissions_Industry!AD51</f>
        <v>21.997599099500416</v>
      </c>
      <c r="AE17" s="122">
        <f>Emissions_Industry!AE15+Emissions_Industry!AE27+Emissions_Industry!AE39+Emissions_Industry!AE51</f>
        <v>22.607129573562297</v>
      </c>
    </row>
    <row r="18" spans="1:35" x14ac:dyDescent="0.35">
      <c r="B18" s="116" t="s">
        <v>110</v>
      </c>
      <c r="C18" s="116" t="s">
        <v>4</v>
      </c>
      <c r="D18" s="116" t="s">
        <v>3181</v>
      </c>
      <c r="E18" s="116" t="s">
        <v>2094</v>
      </c>
      <c r="F18" s="116" t="s">
        <v>3182</v>
      </c>
      <c r="H18" s="120" t="str">
        <f>Settings!$B$3&amp;".mit.co2.ind.k.1"</f>
        <v>egy.mit.co2.ind.k.1</v>
      </c>
      <c r="I18" s="116" t="s">
        <v>3183</v>
      </c>
      <c r="L18" s="122">
        <f t="shared" ref="L18:AE18" si="1">L11+L17-L17</f>
        <v>59.804205879849356</v>
      </c>
      <c r="M18" s="122">
        <f t="shared" si="1"/>
        <v>48.931828957170424</v>
      </c>
      <c r="N18" s="122">
        <f t="shared" si="1"/>
        <v>57.158576789144817</v>
      </c>
      <c r="O18" s="122">
        <f t="shared" si="1"/>
        <v>63.720179343286858</v>
      </c>
      <c r="P18" s="122">
        <f t="shared" si="1"/>
        <v>61.946242160955606</v>
      </c>
      <c r="Q18" s="122">
        <f t="shared" si="1"/>
        <v>67.559423563084579</v>
      </c>
      <c r="R18" s="122">
        <f t="shared" si="1"/>
        <v>70.271483517026113</v>
      </c>
      <c r="S18" s="122">
        <f t="shared" si="1"/>
        <v>72.898243967174636</v>
      </c>
      <c r="T18" s="122">
        <f t="shared" si="1"/>
        <v>75.384269563412914</v>
      </c>
      <c r="U18" s="122">
        <f t="shared" si="1"/>
        <v>77.910341033518762</v>
      </c>
      <c r="V18" s="122">
        <f t="shared" si="1"/>
        <v>80.451479009297145</v>
      </c>
      <c r="W18" s="122">
        <f t="shared" si="1"/>
        <v>83.040753204531725</v>
      </c>
      <c r="X18" s="122">
        <f t="shared" si="1"/>
        <v>85.677916059881724</v>
      </c>
      <c r="Y18" s="122">
        <f t="shared" si="1"/>
        <v>88.362687782476257</v>
      </c>
      <c r="Z18" s="122">
        <f t="shared" si="1"/>
        <v>91.094755740472323</v>
      </c>
      <c r="AA18" s="122">
        <f t="shared" si="1"/>
        <v>93.873773761327016</v>
      </c>
      <c r="AB18" s="122">
        <f t="shared" si="1"/>
        <v>96.699361329439938</v>
      </c>
      <c r="AC18" s="122">
        <f t="shared" si="1"/>
        <v>99.571102679005023</v>
      </c>
      <c r="AD18" s="122">
        <f t="shared" si="1"/>
        <v>102.4885457780901</v>
      </c>
      <c r="AE18" s="122">
        <f t="shared" si="1"/>
        <v>105.45120120012243</v>
      </c>
    </row>
    <row r="19" spans="1:35" x14ac:dyDescent="0.35">
      <c r="B19" s="116" t="s">
        <v>110</v>
      </c>
      <c r="C19" s="116" t="s">
        <v>3157</v>
      </c>
      <c r="D19" s="116" t="s">
        <v>3184</v>
      </c>
      <c r="E19" s="116" t="s">
        <v>1868</v>
      </c>
      <c r="F19" s="116" t="s">
        <v>3185</v>
      </c>
      <c r="H19" s="120" t="str">
        <f>Settings!$B$3&amp;".mit.ghg.iprc.tot.1"</f>
        <v>egy.mit.ghg.iprc.tot.1</v>
      </c>
      <c r="I19" s="116" t="s">
        <v>3186</v>
      </c>
      <c r="L19" s="122">
        <f>L10</f>
        <v>52.200349760476598</v>
      </c>
      <c r="M19" s="122">
        <f>M10</f>
        <v>56.903431130804279</v>
      </c>
      <c r="N19" s="122">
        <f t="shared" ref="N19:AE19" si="2">IF(M18=0,0,M19*N18/M18)</f>
        <v>66.470418277289212</v>
      </c>
      <c r="O19" s="122">
        <f t="shared" si="2"/>
        <v>74.100987315984753</v>
      </c>
      <c r="P19" s="122">
        <f t="shared" si="2"/>
        <v>72.038053752362728</v>
      </c>
      <c r="Q19" s="122">
        <f t="shared" si="2"/>
        <v>78.565692063620887</v>
      </c>
      <c r="R19" s="122">
        <f t="shared" si="2"/>
        <v>81.719580240308588</v>
      </c>
      <c r="S19" s="122">
        <f t="shared" si="2"/>
        <v>84.774272565481596</v>
      </c>
      <c r="T19" s="122">
        <f t="shared" si="2"/>
        <v>87.665302582544385</v>
      </c>
      <c r="U19" s="122">
        <f t="shared" si="2"/>
        <v>90.60290244329093</v>
      </c>
      <c r="V19" s="122">
        <f t="shared" si="2"/>
        <v>93.558023330457104</v>
      </c>
      <c r="W19" s="122">
        <f t="shared" si="2"/>
        <v>96.569122424591995</v>
      </c>
      <c r="X19" s="122">
        <f t="shared" si="2"/>
        <v>99.635911835866054</v>
      </c>
      <c r="Y19" s="122">
        <f t="shared" si="2"/>
        <v>102.75806618967755</v>
      </c>
      <c r="Z19" s="122">
        <f t="shared" si="2"/>
        <v>105.93522192257653</v>
      </c>
      <c r="AA19" s="122">
        <f t="shared" si="2"/>
        <v>109.16697646621689</v>
      </c>
      <c r="AB19" s="122">
        <f t="shared" si="2"/>
        <v>112.45288731428481</v>
      </c>
      <c r="AC19" s="122">
        <f t="shared" si="2"/>
        <v>115.79247096756482</v>
      </c>
      <c r="AD19" s="122">
        <f t="shared" si="2"/>
        <v>119.18520175251335</v>
      </c>
      <c r="AE19" s="122">
        <f t="shared" si="2"/>
        <v>122.63051050889524</v>
      </c>
    </row>
    <row r="20" spans="1:35" x14ac:dyDescent="0.35">
      <c r="B20" s="116" t="s">
        <v>2701</v>
      </c>
      <c r="C20" s="116" t="s">
        <v>3157</v>
      </c>
      <c r="D20" s="116" t="s">
        <v>3187</v>
      </c>
      <c r="E20" s="116" t="s">
        <v>1868</v>
      </c>
      <c r="F20" s="116" t="s">
        <v>3188</v>
      </c>
      <c r="H20" s="120" t="str">
        <f>Settings!$B$3&amp;".mit.ghg.ipr.blknp.1"</f>
        <v>egy.mit.ghg.ipr.blknp.1</v>
      </c>
      <c r="I20" s="116" t="s">
        <v>3189</v>
      </c>
      <c r="L20" s="122">
        <f>Mitigation_Industry!L260</f>
        <v>25.304020994313927</v>
      </c>
      <c r="M20" s="122">
        <f>Mitigation_Industry!M260</f>
        <v>26.150733850694163</v>
      </c>
      <c r="N20" s="122">
        <f>Mitigation_Industry!N260</f>
        <v>27.026</v>
      </c>
      <c r="O20" s="122">
        <f>Mitigation_Industry!O260</f>
        <v>27.930793999999999</v>
      </c>
      <c r="P20" s="122">
        <f>Mitigation_Industry!P260</f>
        <v>28.866124285999998</v>
      </c>
      <c r="Q20" s="122">
        <f>Mitigation_Industry!Q260</f>
        <v>29.833034380633993</v>
      </c>
      <c r="R20" s="122">
        <f>Mitigation_Industry!R260</f>
        <v>30.832604148514033</v>
      </c>
      <c r="S20" s="122">
        <f>Mitigation_Industry!S260</f>
        <v>31.865951097485905</v>
      </c>
      <c r="T20" s="122">
        <f>Mitigation_Industry!T260</f>
        <v>32.934231728309406</v>
      </c>
      <c r="U20" s="122">
        <f>Mitigation_Industry!U260</f>
        <v>34.038642934657467</v>
      </c>
      <c r="V20" s="122">
        <f>Mitigation_Industry!V260</f>
        <v>35.180423455406483</v>
      </c>
      <c r="W20" s="122">
        <f>Mitigation_Industry!W260</f>
        <v>36.360855381272707</v>
      </c>
      <c r="X20" s="122">
        <f>Mitigation_Industry!X260</f>
        <v>37.581265717934848</v>
      </c>
      <c r="Y20" s="122">
        <f>Mitigation_Industry!Y260</f>
        <v>38.843028007872746</v>
      </c>
      <c r="Z20" s="122">
        <f>Mitigation_Industry!Z260</f>
        <v>40.147564013244924</v>
      </c>
      <c r="AA20" s="122">
        <f>Mitigation_Industry!AA260</f>
        <v>41.496345462226081</v>
      </c>
      <c r="AB20" s="122">
        <f>Mitigation_Industry!AB260</f>
        <v>42.890895861326747</v>
      </c>
      <c r="AC20" s="122">
        <f>Mitigation_Industry!AC260</f>
        <v>44.332792376324456</v>
      </c>
      <c r="AD20" s="122">
        <f>Mitigation_Industry!AD260</f>
        <v>45.823667784546537</v>
      </c>
      <c r="AE20" s="122">
        <f>Mitigation_Industry!AE260</f>
        <v>47.365212501361292</v>
      </c>
    </row>
    <row r="21" spans="1:35" x14ac:dyDescent="0.35">
      <c r="B21" s="116" t="s">
        <v>2701</v>
      </c>
      <c r="C21" s="116" t="s">
        <v>3157</v>
      </c>
      <c r="D21" s="116" t="s">
        <v>3190</v>
      </c>
      <c r="E21" s="116" t="s">
        <v>1868</v>
      </c>
      <c r="F21" s="116" t="s">
        <v>3191</v>
      </c>
      <c r="H21" s="120" t="str">
        <f>Settings!$B$3&amp;".mit.ghg.ipr.blkno.1"</f>
        <v>egy.mit.ghg.ipr.blkno.1</v>
      </c>
      <c r="I21" s="116" t="s">
        <v>3192</v>
      </c>
      <c r="L21" s="122">
        <f>Mitigation_Industry!L261</f>
        <v>0.78631830560210647</v>
      </c>
      <c r="M21" s="122">
        <f>Mitigation_Industry!M261</f>
        <v>0.81117778540358554</v>
      </c>
      <c r="N21" s="122">
        <f>Mitigation_Industry!N261</f>
        <v>0.83699999999999997</v>
      </c>
      <c r="O21" s="122">
        <f>Mitigation_Industry!O261</f>
        <v>0.86382899999999996</v>
      </c>
      <c r="P21" s="122">
        <f>Mitigation_Industry!P261</f>
        <v>0.89171106299999991</v>
      </c>
      <c r="Q21" s="122">
        <f>Mitigation_Industry!Q261</f>
        <v>0.92069481176099999</v>
      </c>
      <c r="R21" s="122">
        <f>Mitigation_Industry!R261</f>
        <v>0.95083133879036696</v>
      </c>
      <c r="S21" s="122">
        <f>Mitigation_Industry!S261</f>
        <v>0.98217433767876439</v>
      </c>
      <c r="T21" s="122">
        <f>Mitigation_Industry!T261</f>
        <v>1.014780241561632</v>
      </c>
      <c r="U21" s="122">
        <f>Mitigation_Industry!U261</f>
        <v>1.0487083690948893</v>
      </c>
      <c r="V21" s="122">
        <f>Mitigation_Industry!V261</f>
        <v>1.0840210783559179</v>
      </c>
      <c r="W21" s="122">
        <f>Mitigation_Industry!W261</f>
        <v>1.1207839291034405</v>
      </c>
      <c r="X21" s="122">
        <f>Mitigation_Industry!X261</f>
        <v>1.1590658538537117</v>
      </c>
      <c r="Y21" s="122">
        <f>Mitigation_Industry!Y261</f>
        <v>1.1989393382555391</v>
      </c>
      <c r="Z21" s="122">
        <f>Mitigation_Industry!Z261</f>
        <v>1.2404806112731439</v>
      </c>
      <c r="AA21" s="122">
        <f>Mitigation_Industry!AA261</f>
        <v>1.2837698457138151</v>
      </c>
      <c r="AB21" s="122">
        <f>Mitigation_Industry!AB261</f>
        <v>1.3288913696667772</v>
      </c>
      <c r="AC21" s="122">
        <f>Mitigation_Industry!AC261</f>
        <v>1.3759338894508042</v>
      </c>
      <c r="AD21" s="122">
        <f>Mitigation_Industry!AD261</f>
        <v>1.4249907247009042</v>
      </c>
      <c r="AE21" s="122">
        <f>Mitigation_Industry!AE261</f>
        <v>1.4761600562590265</v>
      </c>
    </row>
    <row r="22" spans="1:35" x14ac:dyDescent="0.35">
      <c r="B22" s="116" t="s">
        <v>2701</v>
      </c>
      <c r="C22" s="116" t="s">
        <v>3157</v>
      </c>
      <c r="D22" s="116" t="s">
        <v>3193</v>
      </c>
      <c r="E22" s="116" t="s">
        <v>1868</v>
      </c>
      <c r="F22" s="116" t="s">
        <v>3194</v>
      </c>
      <c r="H22" s="120" t="str">
        <f>Settings!$B$3&amp;".mit.ghg.ipr.blkproc.1"</f>
        <v>egy.mit.ghg.ipr.blkproc.1</v>
      </c>
      <c r="I22" s="116" t="s">
        <v>3195</v>
      </c>
      <c r="L22" s="122">
        <f>Mitigation_Industry!L390</f>
        <v>26.090339299916035</v>
      </c>
      <c r="M22" s="122">
        <f>Mitigation_Industry!M390</f>
        <v>26.961911636097749</v>
      </c>
      <c r="N22" s="122">
        <f>Mitigation_Industry!N390</f>
        <v>27.863</v>
      </c>
      <c r="O22" s="122">
        <f>Mitigation_Industry!O390</f>
        <v>28.794623000000001</v>
      </c>
      <c r="P22" s="122">
        <f>Mitigation_Industry!P390</f>
        <v>29.757835348999997</v>
      </c>
      <c r="Q22" s="122">
        <f>Mitigation_Industry!Q390</f>
        <v>30.753729192394992</v>
      </c>
      <c r="R22" s="122">
        <f>Mitigation_Industry!R390</f>
        <v>31.783435487304406</v>
      </c>
      <c r="S22" s="122">
        <f>Mitigation_Industry!S390</f>
        <v>32.848125435164661</v>
      </c>
      <c r="T22" s="122">
        <f>Mitigation_Industry!T390</f>
        <v>33.949011969871037</v>
      </c>
      <c r="U22" s="122">
        <f>Mitigation_Industry!U390</f>
        <v>35.087351303752357</v>
      </c>
      <c r="V22" s="122">
        <f>Mitigation_Industry!V390</f>
        <v>36.264444533762401</v>
      </c>
      <c r="W22" s="122">
        <f>Mitigation_Industry!W390</f>
        <v>37.481639310376153</v>
      </c>
      <c r="X22" s="122">
        <f>Mitigation_Industry!X390</f>
        <v>38.740331571788559</v>
      </c>
      <c r="Y22" s="122">
        <f>Mitigation_Industry!Y390</f>
        <v>40.041967346128288</v>
      </c>
      <c r="Z22" s="122">
        <f>Mitigation_Industry!Z390</f>
        <v>41.388044624518066</v>
      </c>
      <c r="AA22" s="122">
        <f>Mitigation_Industry!AA390</f>
        <v>42.780115307939894</v>
      </c>
      <c r="AB22" s="122">
        <f>Mitigation_Industry!AB390</f>
        <v>44.219787230993525</v>
      </c>
      <c r="AC22" s="122">
        <f>Mitigation_Industry!AC390</f>
        <v>45.708726265775255</v>
      </c>
      <c r="AD22" s="122">
        <f>Mitigation_Industry!AD390</f>
        <v>47.248658509247441</v>
      </c>
      <c r="AE22" s="122">
        <f>Mitigation_Industry!AE390</f>
        <v>48.841372557620318</v>
      </c>
    </row>
    <row r="23" spans="1:35" x14ac:dyDescent="0.35">
      <c r="B23" s="116" t="s">
        <v>2701</v>
      </c>
      <c r="C23" s="116" t="s">
        <v>3157</v>
      </c>
      <c r="D23" s="116" t="s">
        <v>3196</v>
      </c>
      <c r="E23" s="116" t="s">
        <v>1868</v>
      </c>
      <c r="F23" s="116" t="s">
        <v>3197</v>
      </c>
      <c r="H23" s="120" t="str">
        <f>Settings!$B$3&amp;".mit.ghg.ipr.blkfp.1"</f>
        <v>egy.mit.ghg.ipr.blkfp.1</v>
      </c>
      <c r="I23" s="116" t="s">
        <v>3198</v>
      </c>
      <c r="L23" s="122">
        <f>SUMPRODUCT((Mitigation_Industry!L330:L337+Mitigation_Industry!L352:L359)*Mitigation_Industry!$I$264:$I$271/(Mitigation_Industry!$F$330:$F$337+(Mitigation_Industry!$F$330:$F$337=0))*'Manual inputs'!$E$88:$E$95)</f>
        <v>2.4927150631316515</v>
      </c>
      <c r="M23" s="122">
        <f>SUMPRODUCT((Mitigation_Industry!M330:M337+Mitigation_Industry!M352:M359)*Mitigation_Industry!$I$264:$I$271/(Mitigation_Industry!$F$330:$F$337+(Mitigation_Industry!$F$330:$F$337=0))*'Manual inputs'!$E$88:$E$95)</f>
        <v>2.5475547945205479</v>
      </c>
      <c r="N23" s="122">
        <f>SUMPRODUCT((Mitigation_Industry!N330:N337+Mitigation_Industry!N352:N359)*Mitigation_Industry!$I$264:$I$271/(Mitigation_Industry!$F$330:$F$337+(Mitigation_Industry!$F$330:$F$337=0))*'Manual inputs'!$E$88:$E$95)</f>
        <v>2.6036009999999998</v>
      </c>
      <c r="O23" s="122">
        <f>SUMPRODUCT((Mitigation_Industry!O330:O337+Mitigation_Industry!O352:O359)*Mitigation_Industry!$I$264:$I$271/(Mitigation_Industry!$F$330:$F$337+(Mitigation_Industry!$F$330:$F$337=0))*'Manual inputs'!$E$88:$E$95)</f>
        <v>2.6608802219999994</v>
      </c>
      <c r="P23" s="122">
        <f>SUMPRODUCT((Mitigation_Industry!P330:P337+Mitigation_Industry!P352:P359)*Mitigation_Industry!$I$264:$I$271/(Mitigation_Industry!$F$330:$F$337+(Mitigation_Industry!$F$330:$F$337=0))*'Manual inputs'!$E$88:$E$95)</f>
        <v>2.7194195868839994</v>
      </c>
      <c r="Q23" s="122">
        <f>SUMPRODUCT((Mitigation_Industry!Q330:Q337+Mitigation_Industry!Q352:Q359)*Mitigation_Industry!$I$264:$I$271/(Mitigation_Industry!$F$330:$F$337+(Mitigation_Industry!$F$330:$F$337=0))*'Manual inputs'!$E$88:$E$95)</f>
        <v>2.7792468177954479</v>
      </c>
      <c r="R23" s="122">
        <f>SUMPRODUCT((Mitigation_Industry!R330:R337+Mitigation_Industry!R352:R359)*Mitigation_Industry!$I$264:$I$271/(Mitigation_Industry!$F$330:$F$337+(Mitigation_Industry!$F$330:$F$337=0))*'Manual inputs'!$E$88:$E$95)</f>
        <v>2.8403902477869476</v>
      </c>
      <c r="S23" s="122">
        <f>SUMPRODUCT((Mitigation_Industry!S330:S337+Mitigation_Industry!S352:S359)*Mitigation_Industry!$I$264:$I$271/(Mitigation_Industry!$F$330:$F$337+(Mitigation_Industry!$F$330:$F$337=0))*'Manual inputs'!$E$88:$E$95)</f>
        <v>2.9028788332382609</v>
      </c>
      <c r="T23" s="122">
        <f>SUMPRODUCT((Mitigation_Industry!T330:T337+Mitigation_Industry!T352:T359)*Mitigation_Industry!$I$264:$I$271/(Mitigation_Industry!$F$330:$F$337+(Mitigation_Industry!$F$330:$F$337=0))*'Manual inputs'!$E$88:$E$95)</f>
        <v>2.9667421675695023</v>
      </c>
      <c r="U23" s="122">
        <f>SUMPRODUCT((Mitigation_Industry!U330:U337+Mitigation_Industry!U352:U359)*Mitigation_Industry!$I$264:$I$271/(Mitigation_Industry!$F$330:$F$337+(Mitigation_Industry!$F$330:$F$337=0))*'Manual inputs'!$E$88:$E$95)</f>
        <v>3.0320104952560314</v>
      </c>
      <c r="V23" s="122">
        <f>SUMPRODUCT((Mitigation_Industry!V330:V337+Mitigation_Industry!V352:V359)*Mitigation_Industry!$I$264:$I$271/(Mitigation_Industry!$F$330:$F$337+(Mitigation_Industry!$F$330:$F$337=0))*'Manual inputs'!$E$88:$E$95)</f>
        <v>3.0987147261516643</v>
      </c>
      <c r="W23" s="122">
        <f>SUMPRODUCT((Mitigation_Industry!W330:W337+Mitigation_Industry!W352:W359)*Mitigation_Industry!$I$264:$I$271/(Mitigation_Industry!$F$330:$F$337+(Mitigation_Industry!$F$330:$F$337=0))*'Manual inputs'!$E$88:$E$95)</f>
        <v>3.1668864501270009</v>
      </c>
      <c r="X23" s="122">
        <f>SUMPRODUCT((Mitigation_Industry!X330:X337+Mitigation_Industry!X352:X359)*Mitigation_Industry!$I$264:$I$271/(Mitigation_Industry!$F$330:$F$337+(Mitigation_Industry!$F$330:$F$337=0))*'Manual inputs'!$E$88:$E$95)</f>
        <v>3.2365579520297949</v>
      </c>
      <c r="Y23" s="122">
        <f>SUMPRODUCT((Mitigation_Industry!Y330:Y337+Mitigation_Industry!Y352:Y359)*Mitigation_Industry!$I$264:$I$271/(Mitigation_Industry!$F$330:$F$337+(Mitigation_Industry!$F$330:$F$337=0))*'Manual inputs'!$E$88:$E$95)</f>
        <v>3.3077622269744507</v>
      </c>
      <c r="Z23" s="122">
        <f>SUMPRODUCT((Mitigation_Industry!Z330:Z337+Mitigation_Industry!Z352:Z359)*Mitigation_Industry!$I$264:$I$271/(Mitigation_Industry!$F$330:$F$337+(Mitigation_Industry!$F$330:$F$337=0))*'Manual inputs'!$E$88:$E$95)</f>
        <v>3.3805329959678887</v>
      </c>
      <c r="AA23" s="122">
        <f>SUMPRODUCT((Mitigation_Industry!AA330:AA337+Mitigation_Industry!AA352:AA359)*Mitigation_Industry!$I$264:$I$271/(Mitigation_Industry!$F$330:$F$337+(Mitigation_Industry!$F$330:$F$337=0))*'Manual inputs'!$E$88:$E$95)</f>
        <v>3.4549047218791817</v>
      </c>
      <c r="AB23" s="122">
        <f>SUMPRODUCT((Mitigation_Industry!AB330:AB337+Mitigation_Industry!AB352:AB359)*Mitigation_Industry!$I$264:$I$271/(Mitigation_Industry!$F$330:$F$337+(Mitigation_Industry!$F$330:$F$337=0))*'Manual inputs'!$E$88:$E$95)</f>
        <v>3.5309126257605232</v>
      </c>
      <c r="AC23" s="122">
        <f>SUMPRODUCT((Mitigation_Industry!AC330:AC337+Mitigation_Industry!AC352:AC359)*Mitigation_Industry!$I$264:$I$271/(Mitigation_Industry!$F$330:$F$337+(Mitigation_Industry!$F$330:$F$337=0))*'Manual inputs'!$E$88:$E$95)</f>
        <v>3.6085927035272558</v>
      </c>
      <c r="AD23" s="122">
        <f>SUMPRODUCT((Mitigation_Industry!AD330:AD337+Mitigation_Industry!AD352:AD359)*Mitigation_Industry!$I$264:$I$271/(Mitigation_Industry!$F$330:$F$337+(Mitigation_Industry!$F$330:$F$337=0))*'Manual inputs'!$E$88:$E$95)</f>
        <v>3.6879817430048547</v>
      </c>
      <c r="AE23" s="122">
        <f>SUMPRODUCT((Mitigation_Industry!AE330:AE337+Mitigation_Industry!AE352:AE359)*Mitigation_Industry!$I$264:$I$271/(Mitigation_Industry!$F$330:$F$337+(Mitigation_Industry!$F$330:$F$337=0))*'Manual inputs'!$E$88:$E$95)</f>
        <v>3.7691173413509618</v>
      </c>
    </row>
    <row r="24" spans="1:35" x14ac:dyDescent="0.35">
      <c r="B24" s="116" t="s">
        <v>2701</v>
      </c>
      <c r="C24" s="116" t="s">
        <v>3157</v>
      </c>
      <c r="D24" s="116" t="s">
        <v>3199</v>
      </c>
      <c r="E24" s="116" t="s">
        <v>1868</v>
      </c>
      <c r="H24" s="120" t="str">
        <f>Settings!$B$3&amp;".mit.ghg.ipr.blk.1"</f>
        <v>egy.mit.ghg.ipr.blk.1</v>
      </c>
      <c r="L24" s="122">
        <f t="shared" ref="L24:AE24" si="3">L22+L23</f>
        <v>28.583054363047687</v>
      </c>
      <c r="M24" s="122">
        <f t="shared" si="3"/>
        <v>29.509466430618296</v>
      </c>
      <c r="N24" s="122">
        <f t="shared" si="3"/>
        <v>30.466601000000001</v>
      </c>
      <c r="O24" s="122">
        <f t="shared" si="3"/>
        <v>31.455503222000001</v>
      </c>
      <c r="P24" s="122">
        <f t="shared" si="3"/>
        <v>32.477254935883998</v>
      </c>
      <c r="Q24" s="122">
        <f t="shared" si="3"/>
        <v>33.532976010190438</v>
      </c>
      <c r="R24" s="122">
        <f t="shared" si="3"/>
        <v>34.623825735091351</v>
      </c>
      <c r="S24" s="122">
        <f t="shared" si="3"/>
        <v>35.751004268402923</v>
      </c>
      <c r="T24" s="122">
        <f t="shared" si="3"/>
        <v>36.915754137440537</v>
      </c>
      <c r="U24" s="122">
        <f t="shared" si="3"/>
        <v>38.119361799008388</v>
      </c>
      <c r="V24" s="122">
        <f t="shared" si="3"/>
        <v>39.363159259914063</v>
      </c>
      <c r="W24" s="122">
        <f t="shared" si="3"/>
        <v>40.648525760503155</v>
      </c>
      <c r="X24" s="122">
        <f t="shared" si="3"/>
        <v>41.976889523818357</v>
      </c>
      <c r="Y24" s="122">
        <f t="shared" si="3"/>
        <v>43.349729573102742</v>
      </c>
      <c r="Z24" s="122">
        <f t="shared" si="3"/>
        <v>44.768577620485956</v>
      </c>
      <c r="AA24" s="122">
        <f t="shared" si="3"/>
        <v>46.235020029819076</v>
      </c>
      <c r="AB24" s="122">
        <f t="shared" si="3"/>
        <v>47.750699856754046</v>
      </c>
      <c r="AC24" s="122">
        <f t="shared" si="3"/>
        <v>49.317318969302512</v>
      </c>
      <c r="AD24" s="122">
        <f t="shared" si="3"/>
        <v>50.936640252252296</v>
      </c>
      <c r="AE24" s="122">
        <f t="shared" si="3"/>
        <v>52.610489898971281</v>
      </c>
    </row>
    <row r="25" spans="1:35" x14ac:dyDescent="0.35">
      <c r="B25" s="116" t="s">
        <v>3200</v>
      </c>
      <c r="C25" s="116" t="s">
        <v>3157</v>
      </c>
      <c r="D25" s="116" t="s">
        <v>3201</v>
      </c>
      <c r="E25" s="116" t="s">
        <v>1868</v>
      </c>
      <c r="H25" s="120" t="str">
        <f>Settings!$B$3&amp;".mit.ghg.ipr.oth.1"</f>
        <v>egy.mit.ghg.ipr.oth.1</v>
      </c>
      <c r="I25" s="116" t="s">
        <v>3202</v>
      </c>
      <c r="L25" s="122">
        <f t="shared" ref="L25:AE25" si="4">L19-L24</f>
        <v>23.617295397428911</v>
      </c>
      <c r="M25" s="122">
        <f t="shared" si="4"/>
        <v>27.393964700185983</v>
      </c>
      <c r="N25" s="122">
        <f t="shared" si="4"/>
        <v>36.003817277289215</v>
      </c>
      <c r="O25" s="122">
        <f t="shared" si="4"/>
        <v>42.645484093984749</v>
      </c>
      <c r="P25" s="122">
        <f t="shared" si="4"/>
        <v>39.56079881647873</v>
      </c>
      <c r="Q25" s="122">
        <f t="shared" si="4"/>
        <v>45.032716053430448</v>
      </c>
      <c r="R25" s="122">
        <f t="shared" si="4"/>
        <v>47.095754505217236</v>
      </c>
      <c r="S25" s="122">
        <f t="shared" si="4"/>
        <v>49.023268297078673</v>
      </c>
      <c r="T25" s="122">
        <f t="shared" si="4"/>
        <v>50.749548445103848</v>
      </c>
      <c r="U25" s="122">
        <f t="shared" si="4"/>
        <v>52.483540644282542</v>
      </c>
      <c r="V25" s="122">
        <f t="shared" si="4"/>
        <v>54.194864070543041</v>
      </c>
      <c r="W25" s="122">
        <f t="shared" si="4"/>
        <v>55.920596664088841</v>
      </c>
      <c r="X25" s="122">
        <f t="shared" si="4"/>
        <v>57.659022312047696</v>
      </c>
      <c r="Y25" s="122">
        <f t="shared" si="4"/>
        <v>59.408336616574807</v>
      </c>
      <c r="Z25" s="122">
        <f t="shared" si="4"/>
        <v>61.166644302090575</v>
      </c>
      <c r="AA25" s="122">
        <f t="shared" si="4"/>
        <v>62.931956436397819</v>
      </c>
      <c r="AB25" s="122">
        <f t="shared" si="4"/>
        <v>64.702187457530755</v>
      </c>
      <c r="AC25" s="122">
        <f t="shared" si="4"/>
        <v>66.475151998262305</v>
      </c>
      <c r="AD25" s="122">
        <f t="shared" si="4"/>
        <v>68.248561500261047</v>
      </c>
      <c r="AE25" s="122">
        <f t="shared" si="4"/>
        <v>70.020020609923961</v>
      </c>
    </row>
    <row r="26" spans="1:35" ht="13.9" x14ac:dyDescent="0.4">
      <c r="B26" s="125" t="s">
        <v>110</v>
      </c>
      <c r="C26" s="125" t="s">
        <v>3157</v>
      </c>
      <c r="D26" s="125" t="s">
        <v>3203</v>
      </c>
      <c r="E26" s="125" t="s">
        <v>1868</v>
      </c>
      <c r="F26" s="125"/>
      <c r="G26" s="125"/>
      <c r="H26" s="146" t="str">
        <f>Settings!$B$3&amp;".mit.ghg.iprk.tot.1"</f>
        <v>egy.mit.ghg.iprk.tot.1</v>
      </c>
      <c r="I26" s="125" t="s">
        <v>3204</v>
      </c>
      <c r="J26" s="125"/>
      <c r="K26" s="125"/>
      <c r="L26" s="147">
        <f t="shared" ref="L26:AE26" si="5">L24+L25</f>
        <v>52.200349760476598</v>
      </c>
      <c r="M26" s="147">
        <f t="shared" si="5"/>
        <v>56.903431130804279</v>
      </c>
      <c r="N26" s="147">
        <f t="shared" si="5"/>
        <v>66.470418277289212</v>
      </c>
      <c r="O26" s="147">
        <f t="shared" si="5"/>
        <v>74.100987315984753</v>
      </c>
      <c r="P26" s="147">
        <f t="shared" si="5"/>
        <v>72.038053752362728</v>
      </c>
      <c r="Q26" s="147">
        <f t="shared" si="5"/>
        <v>78.565692063620887</v>
      </c>
      <c r="R26" s="147">
        <f t="shared" si="5"/>
        <v>81.719580240308588</v>
      </c>
      <c r="S26" s="147">
        <f t="shared" si="5"/>
        <v>84.774272565481596</v>
      </c>
      <c r="T26" s="147">
        <f t="shared" si="5"/>
        <v>87.665302582544385</v>
      </c>
      <c r="U26" s="147">
        <f t="shared" si="5"/>
        <v>90.60290244329093</v>
      </c>
      <c r="V26" s="147">
        <f t="shared" si="5"/>
        <v>93.558023330457104</v>
      </c>
      <c r="W26" s="147">
        <f t="shared" si="5"/>
        <v>96.569122424591995</v>
      </c>
      <c r="X26" s="147">
        <f t="shared" si="5"/>
        <v>99.635911835866054</v>
      </c>
      <c r="Y26" s="147">
        <f t="shared" si="5"/>
        <v>102.75806618967755</v>
      </c>
      <c r="Z26" s="147">
        <f t="shared" si="5"/>
        <v>105.93522192257653</v>
      </c>
      <c r="AA26" s="147">
        <f t="shared" si="5"/>
        <v>109.16697646621689</v>
      </c>
      <c r="AB26" s="147">
        <f t="shared" si="5"/>
        <v>112.45288731428479</v>
      </c>
      <c r="AC26" s="147">
        <f t="shared" si="5"/>
        <v>115.79247096756481</v>
      </c>
      <c r="AD26" s="147">
        <f t="shared" si="5"/>
        <v>119.18520175251334</v>
      </c>
      <c r="AE26" s="147">
        <f t="shared" si="5"/>
        <v>122.63051050889524</v>
      </c>
      <c r="AF26" s="125"/>
      <c r="AG26" s="125"/>
      <c r="AH26" s="125"/>
      <c r="AI26" s="125"/>
    </row>
    <row r="27" spans="1:35" x14ac:dyDescent="0.35">
      <c r="B27" s="116" t="s">
        <v>110</v>
      </c>
      <c r="C27" s="116" t="s">
        <v>3157</v>
      </c>
      <c r="D27" s="116" t="s">
        <v>3205</v>
      </c>
      <c r="E27" s="116" t="s">
        <v>1868</v>
      </c>
      <c r="H27" s="120" t="str">
        <f>Settings!$B$3&amp;".mit.ghg.iprdc.tot.1"</f>
        <v>egy.mit.ghg.iprdc.tot.1</v>
      </c>
      <c r="I27" s="116" t="s">
        <v>3206</v>
      </c>
      <c r="L27" s="122">
        <f t="shared" ref="L27:AE27" si="6">L26-L19</f>
        <v>0</v>
      </c>
      <c r="M27" s="122">
        <f t="shared" si="6"/>
        <v>0</v>
      </c>
      <c r="N27" s="122">
        <f t="shared" si="6"/>
        <v>0</v>
      </c>
      <c r="O27" s="122">
        <f t="shared" si="6"/>
        <v>0</v>
      </c>
      <c r="P27" s="122">
        <f t="shared" si="6"/>
        <v>0</v>
      </c>
      <c r="Q27" s="122">
        <f t="shared" si="6"/>
        <v>0</v>
      </c>
      <c r="R27" s="122">
        <f t="shared" si="6"/>
        <v>0</v>
      </c>
      <c r="S27" s="122">
        <f t="shared" si="6"/>
        <v>0</v>
      </c>
      <c r="T27" s="122">
        <f t="shared" si="6"/>
        <v>0</v>
      </c>
      <c r="U27" s="122">
        <f t="shared" si="6"/>
        <v>0</v>
      </c>
      <c r="V27" s="122">
        <f t="shared" si="6"/>
        <v>0</v>
      </c>
      <c r="W27" s="122">
        <f t="shared" si="6"/>
        <v>0</v>
      </c>
      <c r="X27" s="122">
        <f t="shared" si="6"/>
        <v>0</v>
      </c>
      <c r="Y27" s="122">
        <f t="shared" si="6"/>
        <v>0</v>
      </c>
      <c r="Z27" s="122">
        <f t="shared" si="6"/>
        <v>0</v>
      </c>
      <c r="AA27" s="122">
        <f t="shared" si="6"/>
        <v>0</v>
      </c>
      <c r="AB27" s="122">
        <f t="shared" si="6"/>
        <v>0</v>
      </c>
      <c r="AC27" s="122">
        <f t="shared" si="6"/>
        <v>0</v>
      </c>
      <c r="AD27" s="122">
        <f t="shared" si="6"/>
        <v>0</v>
      </c>
      <c r="AE27" s="122">
        <f t="shared" si="6"/>
        <v>0</v>
      </c>
    </row>
    <row r="28" spans="1:35" x14ac:dyDescent="0.35">
      <c r="B28" s="116" t="s">
        <v>3207</v>
      </c>
      <c r="C28" s="116" t="s">
        <v>3157</v>
      </c>
      <c r="D28" s="116" t="s">
        <v>3208</v>
      </c>
      <c r="E28" s="116" t="s">
        <v>79</v>
      </c>
      <c r="H28" s="120" t="str">
        <f>Settings!$B$3&amp;".mit.ghg.iprshb.tot.1"</f>
        <v>egy.mit.ghg.iprshb.tot.1</v>
      </c>
      <c r="L28" s="148">
        <f t="shared" ref="L28:AE28" si="7">IF(L19=0,0,L24/L19)</f>
        <v>0.54756442234970037</v>
      </c>
      <c r="M28" s="148">
        <f t="shared" si="7"/>
        <v>0.51858852522943122</v>
      </c>
      <c r="N28" s="148">
        <f t="shared" si="7"/>
        <v>0.45834826663652051</v>
      </c>
      <c r="O28" s="148">
        <f t="shared" si="7"/>
        <v>0.42449506222995431</v>
      </c>
      <c r="P28" s="148">
        <f t="shared" si="7"/>
        <v>0.4508347081047952</v>
      </c>
      <c r="Q28" s="148">
        <f t="shared" si="7"/>
        <v>0.42681449280732003</v>
      </c>
      <c r="R28" s="148">
        <f t="shared" si="7"/>
        <v>0.42369069485274935</v>
      </c>
      <c r="S28" s="148">
        <f t="shared" si="7"/>
        <v>0.42171997690440843</v>
      </c>
      <c r="T28" s="148">
        <f t="shared" si="7"/>
        <v>0.42109880477149092</v>
      </c>
      <c r="U28" s="148">
        <f t="shared" si="7"/>
        <v>0.42073002929312997</v>
      </c>
      <c r="V28" s="148">
        <f t="shared" si="7"/>
        <v>0.42073525988123017</v>
      </c>
      <c r="W28" s="148">
        <f t="shared" si="7"/>
        <v>0.42092673869170139</v>
      </c>
      <c r="X28" s="148">
        <f t="shared" si="7"/>
        <v>0.42130280890055433</v>
      </c>
      <c r="Y28" s="148">
        <f t="shared" si="7"/>
        <v>0.42186206086328037</v>
      </c>
      <c r="Z28" s="148">
        <f t="shared" si="7"/>
        <v>0.4226033306769808</v>
      </c>
      <c r="AA28" s="148">
        <f t="shared" si="7"/>
        <v>0.4235256991305158</v>
      </c>
      <c r="AB28" s="148">
        <f t="shared" si="7"/>
        <v>0.42462849107021827</v>
      </c>
      <c r="AC28" s="148">
        <f t="shared" si="7"/>
        <v>0.42591127520818706</v>
      </c>
      <c r="AD28" s="148">
        <f t="shared" si="7"/>
        <v>0.42737386439989106</v>
      </c>
      <c r="AE28" s="148">
        <f t="shared" si="7"/>
        <v>0.42901631641788751</v>
      </c>
    </row>
    <row r="31" spans="1:35" customFormat="1" ht="18" customHeight="1" x14ac:dyDescent="0.45">
      <c r="A31" s="8"/>
      <c r="B31" s="9" t="s">
        <v>3209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1504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6" t="s">
        <v>110</v>
      </c>
      <c r="C34" s="116" t="s">
        <v>3177</v>
      </c>
      <c r="D34" s="116" t="s">
        <v>3178</v>
      </c>
      <c r="E34" s="116" t="s">
        <v>2094</v>
      </c>
      <c r="F34" s="116" t="s">
        <v>3179</v>
      </c>
      <c r="H34" s="120" t="str">
        <f>Settings!$B$3&amp;".mit.eco2.kern.tot.e.2"</f>
        <v>egy.mit.eco2.kern.tot.e.2</v>
      </c>
      <c r="I34" s="116" t="s">
        <v>3180</v>
      </c>
      <c r="L34" s="122">
        <f>Emissions_Industry!L66+Emissions_Industry!L78+Emissions_Industry!L90+Emissions_Industry!L102</f>
        <v>14.019740964534272</v>
      </c>
      <c r="M34" s="122">
        <f>Emissions_Industry!M66+Emissions_Industry!M78+Emissions_Industry!M90+Emissions_Industry!M102</f>
        <v>11.739301230035998</v>
      </c>
      <c r="N34" s="122">
        <f>Emissions_Industry!N66+Emissions_Industry!N78+Emissions_Industry!N90+Emissions_Industry!N102</f>
        <v>13.303124518863104</v>
      </c>
      <c r="O34" s="122">
        <f>Emissions_Industry!O66+Emissions_Industry!O78+Emissions_Industry!O90+Emissions_Industry!O102</f>
        <v>14.156899598427017</v>
      </c>
      <c r="P34" s="122">
        <f>Emissions_Industry!P66+Emissions_Industry!P78+Emissions_Industry!P90+Emissions_Industry!P102</f>
        <v>14.286244741983563</v>
      </c>
      <c r="Q34" s="122">
        <f>Emissions_Industry!Q66+Emissions_Industry!Q78+Emissions_Industry!Q90+Emissions_Industry!Q102</f>
        <v>13.482479789369556</v>
      </c>
      <c r="R34" s="122">
        <f>Emissions_Industry!R66+Emissions_Industry!R78+Emissions_Industry!R90+Emissions_Industry!R102</f>
        <v>12.983250913859607</v>
      </c>
      <c r="S34" s="122">
        <f>Emissions_Industry!S66+Emissions_Industry!S78+Emissions_Industry!S90+Emissions_Industry!S102</f>
        <v>12.560793362152866</v>
      </c>
      <c r="T34" s="122">
        <f>Emissions_Industry!T66+Emissions_Industry!T78+Emissions_Industry!T90+Emissions_Industry!T102</f>
        <v>12.187957412625254</v>
      </c>
      <c r="U34" s="122">
        <f>Emissions_Industry!U66+Emissions_Industry!U78+Emissions_Industry!U90+Emissions_Industry!U102</f>
        <v>11.875632686552137</v>
      </c>
      <c r="V34" s="122">
        <f>Emissions_Industry!V66+Emissions_Industry!V78+Emissions_Industry!V90+Emissions_Industry!V102</f>
        <v>11.602689599741135</v>
      </c>
      <c r="W34" s="122">
        <f>Emissions_Industry!W66+Emissions_Industry!W78+Emissions_Industry!W90+Emissions_Industry!W102</f>
        <v>11.378519970656047</v>
      </c>
      <c r="X34" s="122">
        <f>Emissions_Industry!X66+Emissions_Industry!X78+Emissions_Industry!X90+Emissions_Industry!X102</f>
        <v>11.19706469003696</v>
      </c>
      <c r="Y34" s="122">
        <f>Emissions_Industry!Y66+Emissions_Industry!Y78+Emissions_Industry!Y90+Emissions_Industry!Y102</f>
        <v>11.054589877296367</v>
      </c>
      <c r="Z34" s="122">
        <f>Emissions_Industry!Z66+Emissions_Industry!Z78+Emissions_Industry!Z90+Emissions_Industry!Z102</f>
        <v>10.949977353134972</v>
      </c>
      <c r="AA34" s="122">
        <f>Emissions_Industry!AA66+Emissions_Industry!AA78+Emissions_Industry!AA90+Emissions_Industry!AA102</f>
        <v>10.880837147763879</v>
      </c>
      <c r="AB34" s="122">
        <f>Emissions_Industry!AB66+Emissions_Industry!AB78+Emissions_Industry!AB90+Emissions_Industry!AB102</f>
        <v>10.844737007963213</v>
      </c>
      <c r="AC34" s="122">
        <f>Emissions_Industry!AC66+Emissions_Industry!AC78+Emissions_Industry!AC90+Emissions_Industry!AC102</f>
        <v>10.837962619219041</v>
      </c>
      <c r="AD34" s="122">
        <f>Emissions_Industry!AD66+Emissions_Industry!AD78+Emissions_Industry!AD90+Emissions_Industry!AD102</f>
        <v>10.857412419871189</v>
      </c>
      <c r="AE34" s="122">
        <f>Emissions_Industry!AE66+Emissions_Industry!AE78+Emissions_Industry!AE90+Emissions_Industry!AE102</f>
        <v>10.900735380545399</v>
      </c>
    </row>
    <row r="35" spans="1:35" x14ac:dyDescent="0.35">
      <c r="B35" s="116" t="s">
        <v>110</v>
      </c>
      <c r="C35" s="116" t="s">
        <v>4</v>
      </c>
      <c r="D35" s="116" t="s">
        <v>3181</v>
      </c>
      <c r="E35" s="116" t="s">
        <v>2094</v>
      </c>
      <c r="F35" s="116" t="s">
        <v>3182</v>
      </c>
      <c r="H35" s="120" t="str">
        <f>Settings!$B$3&amp;".mit.co2.ind.k.2"</f>
        <v>egy.mit.co2.ind.k.2</v>
      </c>
      <c r="I35" s="116" t="s">
        <v>3183</v>
      </c>
      <c r="L35" s="122">
        <f t="shared" ref="L35:AE35" si="8">L11+L34-L17</f>
        <v>59.804205879849356</v>
      </c>
      <c r="M35" s="122">
        <f t="shared" si="8"/>
        <v>48.931828957170424</v>
      </c>
      <c r="N35" s="122">
        <f t="shared" si="8"/>
        <v>57.158576789144817</v>
      </c>
      <c r="O35" s="122">
        <f t="shared" si="8"/>
        <v>63.720179343286858</v>
      </c>
      <c r="P35" s="122">
        <f t="shared" si="8"/>
        <v>61.946242160955606</v>
      </c>
      <c r="Q35" s="122">
        <f t="shared" si="8"/>
        <v>66.347776102622248</v>
      </c>
      <c r="R35" s="122">
        <f t="shared" si="8"/>
        <v>67.977762596208194</v>
      </c>
      <c r="S35" s="122">
        <f t="shared" si="8"/>
        <v>69.614967451077348</v>
      </c>
      <c r="T35" s="122">
        <f t="shared" si="8"/>
        <v>71.188330561747961</v>
      </c>
      <c r="U35" s="122">
        <f t="shared" si="8"/>
        <v>72.8538824730432</v>
      </c>
      <c r="V35" s="122">
        <f t="shared" si="8"/>
        <v>74.597446711750393</v>
      </c>
      <c r="W35" s="122">
        <f t="shared" si="8"/>
        <v>76.428238541411474</v>
      </c>
      <c r="X35" s="122">
        <f t="shared" si="8"/>
        <v>78.339997174324651</v>
      </c>
      <c r="Y35" s="122">
        <f t="shared" si="8"/>
        <v>80.32876154931742</v>
      </c>
      <c r="Z35" s="122">
        <f t="shared" si="8"/>
        <v>82.393160352176864</v>
      </c>
      <c r="AA35" s="122">
        <f t="shared" si="8"/>
        <v>84.530523994561648</v>
      </c>
      <c r="AB35" s="122">
        <f t="shared" si="8"/>
        <v>86.738113511233266</v>
      </c>
      <c r="AC35" s="122">
        <f t="shared" si="8"/>
        <v>89.011880088607228</v>
      </c>
      <c r="AD35" s="122">
        <f t="shared" si="8"/>
        <v>91.348359098460875</v>
      </c>
      <c r="AE35" s="122">
        <f t="shared" si="8"/>
        <v>93.74480700710555</v>
      </c>
    </row>
    <row r="36" spans="1:35" x14ac:dyDescent="0.35">
      <c r="B36" s="116" t="s">
        <v>110</v>
      </c>
      <c r="C36" s="116" t="s">
        <v>3157</v>
      </c>
      <c r="D36" s="116" t="s">
        <v>3184</v>
      </c>
      <c r="E36" s="116" t="s">
        <v>1868</v>
      </c>
      <c r="F36" s="116" t="s">
        <v>3185</v>
      </c>
      <c r="H36" s="120" t="str">
        <f>Settings!$B$3&amp;".mit.ghg.iprc.tot.2"</f>
        <v>egy.mit.ghg.iprc.tot.2</v>
      </c>
      <c r="I36" s="116" t="s">
        <v>3186</v>
      </c>
      <c r="L36" s="122">
        <f>L10</f>
        <v>52.200349760476598</v>
      </c>
      <c r="M36" s="122">
        <f>M10</f>
        <v>56.903431130804279</v>
      </c>
      <c r="N36" s="122">
        <f t="shared" ref="N36:AE36" si="9">IF(M35=0,0,M36*N35/M35)</f>
        <v>66.470418277289212</v>
      </c>
      <c r="O36" s="122">
        <f t="shared" si="9"/>
        <v>74.100987315984753</v>
      </c>
      <c r="P36" s="122">
        <f t="shared" si="9"/>
        <v>72.038053752362728</v>
      </c>
      <c r="Q36" s="122">
        <f t="shared" si="9"/>
        <v>77.156652195489656</v>
      </c>
      <c r="R36" s="122">
        <f t="shared" si="9"/>
        <v>79.05218371676375</v>
      </c>
      <c r="S36" s="122">
        <f t="shared" si="9"/>
        <v>80.956109559952836</v>
      </c>
      <c r="T36" s="122">
        <f t="shared" si="9"/>
        <v>82.78579304654717</v>
      </c>
      <c r="U36" s="122">
        <f t="shared" si="9"/>
        <v>84.722684033436792</v>
      </c>
      <c r="V36" s="122">
        <f t="shared" si="9"/>
        <v>86.750296523994834</v>
      </c>
      <c r="W36" s="122">
        <f t="shared" si="9"/>
        <v>88.879347062554189</v>
      </c>
      <c r="X36" s="122">
        <f t="shared" si="9"/>
        <v>91.102554901401064</v>
      </c>
      <c r="Y36" s="122">
        <f t="shared" si="9"/>
        <v>93.415313673341771</v>
      </c>
      <c r="Z36" s="122">
        <f t="shared" si="9"/>
        <v>95.816028660060311</v>
      </c>
      <c r="AA36" s="122">
        <f t="shared" si="9"/>
        <v>98.301595364145371</v>
      </c>
      <c r="AB36" s="122">
        <f t="shared" si="9"/>
        <v>100.86882860893093</v>
      </c>
      <c r="AC36" s="122">
        <f t="shared" si="9"/>
        <v>103.51301997885444</v>
      </c>
      <c r="AD36" s="122">
        <f t="shared" si="9"/>
        <v>106.23014041476027</v>
      </c>
      <c r="AE36" s="122">
        <f t="shared" si="9"/>
        <v>109.01699942727505</v>
      </c>
    </row>
    <row r="37" spans="1:35" x14ac:dyDescent="0.35">
      <c r="B37" s="116" t="s">
        <v>2701</v>
      </c>
      <c r="C37" s="116" t="s">
        <v>3157</v>
      </c>
      <c r="D37" s="116" t="s">
        <v>3187</v>
      </c>
      <c r="E37" s="116" t="s">
        <v>1868</v>
      </c>
      <c r="F37" s="116" t="s">
        <v>3210</v>
      </c>
      <c r="H37" s="120" t="str">
        <f>Settings!$B$3&amp;".mit.ghg.ipr.blknp.2"</f>
        <v>egy.mit.ghg.ipr.blknp.2</v>
      </c>
      <c r="I37" s="116" t="s">
        <v>3211</v>
      </c>
      <c r="L37" s="122">
        <f>Mitigation_Industry!L659</f>
        <v>25.304020994313927</v>
      </c>
      <c r="M37" s="122">
        <f>Mitigation_Industry!M659</f>
        <v>26.150733850694163</v>
      </c>
      <c r="N37" s="122">
        <f>Mitigation_Industry!N659</f>
        <v>27.026</v>
      </c>
      <c r="O37" s="122">
        <f>Mitigation_Industry!O659</f>
        <v>27.930793999999999</v>
      </c>
      <c r="P37" s="122">
        <f>Mitigation_Industry!P659</f>
        <v>28.866124285999998</v>
      </c>
      <c r="Q37" s="122">
        <f>Mitigation_Industry!Q659</f>
        <v>29.833034380633993</v>
      </c>
      <c r="R37" s="122">
        <f>Mitigation_Industry!R659</f>
        <v>30.832604148514033</v>
      </c>
      <c r="S37" s="122">
        <f>Mitigation_Industry!S659</f>
        <v>31.865951097485905</v>
      </c>
      <c r="T37" s="122">
        <f>Mitigation_Industry!T659</f>
        <v>32.934231728309406</v>
      </c>
      <c r="U37" s="122">
        <f>Mitigation_Industry!U659</f>
        <v>34.038642934657467</v>
      </c>
      <c r="V37" s="122">
        <f>Mitigation_Industry!V659</f>
        <v>35.180423455406483</v>
      </c>
      <c r="W37" s="122">
        <f>Mitigation_Industry!W659</f>
        <v>36.360855381272707</v>
      </c>
      <c r="X37" s="122">
        <f>Mitigation_Industry!X659</f>
        <v>37.581265717934848</v>
      </c>
      <c r="Y37" s="122">
        <f>Mitigation_Industry!Y659</f>
        <v>38.843028007872746</v>
      </c>
      <c r="Z37" s="122">
        <f>Mitigation_Industry!Z659</f>
        <v>40.147564013244924</v>
      </c>
      <c r="AA37" s="122">
        <f>Mitigation_Industry!AA659</f>
        <v>41.496345462226081</v>
      </c>
      <c r="AB37" s="122">
        <f>Mitigation_Industry!AB659</f>
        <v>42.890895861326747</v>
      </c>
      <c r="AC37" s="122">
        <f>Mitigation_Industry!AC659</f>
        <v>44.332792376324456</v>
      </c>
      <c r="AD37" s="122">
        <f>Mitigation_Industry!AD659</f>
        <v>45.823667784546537</v>
      </c>
      <c r="AE37" s="122">
        <f>Mitigation_Industry!AE659</f>
        <v>47.365212501361292</v>
      </c>
    </row>
    <row r="38" spans="1:35" x14ac:dyDescent="0.35">
      <c r="B38" s="116" t="s">
        <v>2701</v>
      </c>
      <c r="C38" s="116" t="s">
        <v>3157</v>
      </c>
      <c r="D38" s="116" t="s">
        <v>3190</v>
      </c>
      <c r="E38" s="116" t="s">
        <v>1868</v>
      </c>
      <c r="F38" s="116" t="s">
        <v>3212</v>
      </c>
      <c r="H38" s="120" t="str">
        <f>Settings!$B$3&amp;".mit.ghg.ipr.blkno.2"</f>
        <v>egy.mit.ghg.ipr.blkno.2</v>
      </c>
      <c r="I38" s="116" t="s">
        <v>3213</v>
      </c>
      <c r="L38" s="122">
        <f>Mitigation_Industry!L660</f>
        <v>0.78631830560210647</v>
      </c>
      <c r="M38" s="122">
        <f>Mitigation_Industry!M660</f>
        <v>0.81117778540358554</v>
      </c>
      <c r="N38" s="122">
        <f>Mitigation_Industry!N660</f>
        <v>0.83699999999999997</v>
      </c>
      <c r="O38" s="122">
        <f>Mitigation_Industry!O660</f>
        <v>0.86382899999999996</v>
      </c>
      <c r="P38" s="122">
        <f>Mitigation_Industry!P660</f>
        <v>0.89171106299999991</v>
      </c>
      <c r="Q38" s="122">
        <f>Mitigation_Industry!Q660</f>
        <v>0.92069481176099999</v>
      </c>
      <c r="R38" s="122">
        <f>Mitigation_Industry!R660</f>
        <v>0.95083133879036696</v>
      </c>
      <c r="S38" s="122">
        <f>Mitigation_Industry!S660</f>
        <v>0.98217433767876439</v>
      </c>
      <c r="T38" s="122">
        <f>Mitigation_Industry!T660</f>
        <v>1.014780241561632</v>
      </c>
      <c r="U38" s="122">
        <f>Mitigation_Industry!U660</f>
        <v>1.0487083690948893</v>
      </c>
      <c r="V38" s="122">
        <f>Mitigation_Industry!V660</f>
        <v>1.0840210783559179</v>
      </c>
      <c r="W38" s="122">
        <f>Mitigation_Industry!W660</f>
        <v>1.1207839291034405</v>
      </c>
      <c r="X38" s="122">
        <f>Mitigation_Industry!X660</f>
        <v>1.1590658538537117</v>
      </c>
      <c r="Y38" s="122">
        <f>Mitigation_Industry!Y660</f>
        <v>1.1989393382555391</v>
      </c>
      <c r="Z38" s="122">
        <f>Mitigation_Industry!Z660</f>
        <v>1.2404806112731439</v>
      </c>
      <c r="AA38" s="122">
        <f>Mitigation_Industry!AA660</f>
        <v>1.2837698457138151</v>
      </c>
      <c r="AB38" s="122">
        <f>Mitigation_Industry!AB660</f>
        <v>1.3288913696667772</v>
      </c>
      <c r="AC38" s="122">
        <f>Mitigation_Industry!AC660</f>
        <v>1.3759338894508042</v>
      </c>
      <c r="AD38" s="122">
        <f>Mitigation_Industry!AD660</f>
        <v>1.4249907247009042</v>
      </c>
      <c r="AE38" s="122">
        <f>Mitigation_Industry!AE660</f>
        <v>1.4761600562590265</v>
      </c>
    </row>
    <row r="39" spans="1:35" x14ac:dyDescent="0.35">
      <c r="B39" s="116" t="s">
        <v>2701</v>
      </c>
      <c r="C39" s="116" t="s">
        <v>3157</v>
      </c>
      <c r="D39" s="116" t="s">
        <v>3193</v>
      </c>
      <c r="E39" s="116" t="s">
        <v>1868</v>
      </c>
      <c r="F39" s="116" t="s">
        <v>3214</v>
      </c>
      <c r="H39" s="120" t="str">
        <f>Settings!$B$3&amp;".mit.ghg.ipr.blkproc.2"</f>
        <v>egy.mit.ghg.ipr.blkproc.2</v>
      </c>
      <c r="I39" s="116" t="s">
        <v>3215</v>
      </c>
      <c r="L39" s="122">
        <f>Mitigation_Industry!L789</f>
        <v>26.090339299916035</v>
      </c>
      <c r="M39" s="122">
        <f>Mitigation_Industry!M789</f>
        <v>26.961911636097749</v>
      </c>
      <c r="N39" s="122">
        <f>Mitigation_Industry!N789</f>
        <v>27.863</v>
      </c>
      <c r="O39" s="122">
        <f>Mitigation_Industry!O789</f>
        <v>28.794623000000001</v>
      </c>
      <c r="P39" s="122">
        <f>Mitigation_Industry!P789</f>
        <v>29.757835348999997</v>
      </c>
      <c r="Q39" s="122">
        <f>Mitigation_Industry!Q789</f>
        <v>30.753729192394992</v>
      </c>
      <c r="R39" s="122">
        <f>Mitigation_Industry!R789</f>
        <v>31.783435487304406</v>
      </c>
      <c r="S39" s="122">
        <f>Mitigation_Industry!S789</f>
        <v>32.848125435164661</v>
      </c>
      <c r="T39" s="122">
        <f>Mitigation_Industry!T789</f>
        <v>33.949011969871037</v>
      </c>
      <c r="U39" s="122">
        <f>Mitigation_Industry!U789</f>
        <v>35.087351303752357</v>
      </c>
      <c r="V39" s="122">
        <f>Mitigation_Industry!V789</f>
        <v>36.264444533762401</v>
      </c>
      <c r="W39" s="122">
        <f>Mitigation_Industry!W789</f>
        <v>37.481639310376153</v>
      </c>
      <c r="X39" s="122">
        <f>Mitigation_Industry!X789</f>
        <v>38.740331571788559</v>
      </c>
      <c r="Y39" s="122">
        <f>Mitigation_Industry!Y789</f>
        <v>40.041967346128288</v>
      </c>
      <c r="Z39" s="122">
        <f>Mitigation_Industry!Z789</f>
        <v>41.388044624518066</v>
      </c>
      <c r="AA39" s="122">
        <f>Mitigation_Industry!AA789</f>
        <v>42.780115307939894</v>
      </c>
      <c r="AB39" s="122">
        <f>Mitigation_Industry!AB789</f>
        <v>44.219787230993525</v>
      </c>
      <c r="AC39" s="122">
        <f>Mitigation_Industry!AC789</f>
        <v>45.708726265775255</v>
      </c>
      <c r="AD39" s="122">
        <f>Mitigation_Industry!AD789</f>
        <v>47.248658509247441</v>
      </c>
      <c r="AE39" s="122">
        <f>Mitigation_Industry!AE789</f>
        <v>48.841372557620318</v>
      </c>
    </row>
    <row r="40" spans="1:35" x14ac:dyDescent="0.35">
      <c r="B40" s="116" t="s">
        <v>2701</v>
      </c>
      <c r="C40" s="116" t="s">
        <v>3157</v>
      </c>
      <c r="D40" s="116" t="s">
        <v>3196</v>
      </c>
      <c r="E40" s="116" t="s">
        <v>1868</v>
      </c>
      <c r="F40" s="116" t="s">
        <v>3197</v>
      </c>
      <c r="H40" s="120" t="str">
        <f>Settings!$B$3&amp;".mit.ghg.ipr.blkfp.2"</f>
        <v>egy.mit.ghg.ipr.blkfp.2</v>
      </c>
      <c r="I40" s="116" t="s">
        <v>3198</v>
      </c>
      <c r="L40" s="122">
        <f>SUMPRODUCT((Mitigation_Industry!L729:L736+Mitigation_Industry!L751:L758)*Mitigation_Industry!$I$663:$I$670/(Mitigation_Industry!$F$729:$F$736+(Mitigation_Industry!$F$729:$F$736=0))*'Manual inputs'!$E$88:$E$95)</f>
        <v>2.4927150631316515</v>
      </c>
      <c r="M40" s="122">
        <f>SUMPRODUCT((Mitigation_Industry!M729:M736+Mitigation_Industry!M751:M758)*Mitigation_Industry!$I$663:$I$670/(Mitigation_Industry!$F$729:$F$736+(Mitigation_Industry!$F$729:$F$736=0))*'Manual inputs'!$E$88:$E$95)</f>
        <v>2.5475547945205479</v>
      </c>
      <c r="N40" s="122">
        <f>SUMPRODUCT((Mitigation_Industry!N729:N736+Mitigation_Industry!N751:N758)*Mitigation_Industry!$I$663:$I$670/(Mitigation_Industry!$F$729:$F$736+(Mitigation_Industry!$F$729:$F$736=0))*'Manual inputs'!$E$88:$E$95)</f>
        <v>2.6036009999999998</v>
      </c>
      <c r="O40" s="122">
        <f>SUMPRODUCT((Mitigation_Industry!O729:O736+Mitigation_Industry!O751:O758)*Mitigation_Industry!$I$663:$I$670/(Mitigation_Industry!$F$729:$F$736+(Mitigation_Industry!$F$729:$F$736=0))*'Manual inputs'!$E$88:$E$95)</f>
        <v>2.6608802219999994</v>
      </c>
      <c r="P40" s="122">
        <f>SUMPRODUCT((Mitigation_Industry!P729:P736+Mitigation_Industry!P751:P758)*Mitigation_Industry!$I$663:$I$670/(Mitigation_Industry!$F$729:$F$736+(Mitigation_Industry!$F$729:$F$736=0))*'Manual inputs'!$E$88:$E$95)</f>
        <v>2.7194195868839994</v>
      </c>
      <c r="Q40" s="122">
        <f>SUMPRODUCT((Mitigation_Industry!Q729:Q736+Mitigation_Industry!Q751:Q758)*Mitigation_Industry!$I$663:$I$670/(Mitigation_Industry!$F$729:$F$736+(Mitigation_Industry!$F$729:$F$736=0))*'Manual inputs'!$E$88:$E$95)</f>
        <v>2.7792468177954479</v>
      </c>
      <c r="R40" s="122">
        <f>SUMPRODUCT((Mitigation_Industry!R729:R736+Mitigation_Industry!R751:R758)*Mitigation_Industry!$I$663:$I$670/(Mitigation_Industry!$F$729:$F$736+(Mitigation_Industry!$F$729:$F$736=0))*'Manual inputs'!$E$88:$E$95)</f>
        <v>2.8403902477869476</v>
      </c>
      <c r="S40" s="122">
        <f>SUMPRODUCT((Mitigation_Industry!S729:S736+Mitigation_Industry!S751:S758)*Mitigation_Industry!$I$663:$I$670/(Mitigation_Industry!$F$729:$F$736+(Mitigation_Industry!$F$729:$F$736=0))*'Manual inputs'!$E$88:$E$95)</f>
        <v>2.9028788332382609</v>
      </c>
      <c r="T40" s="122">
        <f>SUMPRODUCT((Mitigation_Industry!T729:T736+Mitigation_Industry!T751:T758)*Mitigation_Industry!$I$663:$I$670/(Mitigation_Industry!$F$729:$F$736+(Mitigation_Industry!$F$729:$F$736=0))*'Manual inputs'!$E$88:$E$95)</f>
        <v>2.9667421675695023</v>
      </c>
      <c r="U40" s="122">
        <f>SUMPRODUCT((Mitigation_Industry!U729:U736+Mitigation_Industry!U751:U758)*Mitigation_Industry!$I$663:$I$670/(Mitigation_Industry!$F$729:$F$736+(Mitigation_Industry!$F$729:$F$736=0))*'Manual inputs'!$E$88:$E$95)</f>
        <v>3.0320104952560314</v>
      </c>
      <c r="V40" s="122">
        <f>SUMPRODUCT((Mitigation_Industry!V729:V736+Mitigation_Industry!V751:V758)*Mitigation_Industry!$I$663:$I$670/(Mitigation_Industry!$F$729:$F$736+(Mitigation_Industry!$F$729:$F$736=0))*'Manual inputs'!$E$88:$E$95)</f>
        <v>3.0987147261516643</v>
      </c>
      <c r="W40" s="122">
        <f>SUMPRODUCT((Mitigation_Industry!W729:W736+Mitigation_Industry!W751:W758)*Mitigation_Industry!$I$663:$I$670/(Mitigation_Industry!$F$729:$F$736+(Mitigation_Industry!$F$729:$F$736=0))*'Manual inputs'!$E$88:$E$95)</f>
        <v>3.1668864501270009</v>
      </c>
      <c r="X40" s="122">
        <f>SUMPRODUCT((Mitigation_Industry!X729:X736+Mitigation_Industry!X751:X758)*Mitigation_Industry!$I$663:$I$670/(Mitigation_Industry!$F$729:$F$736+(Mitigation_Industry!$F$729:$F$736=0))*'Manual inputs'!$E$88:$E$95)</f>
        <v>3.2365579520297949</v>
      </c>
      <c r="Y40" s="122">
        <f>SUMPRODUCT((Mitigation_Industry!Y729:Y736+Mitigation_Industry!Y751:Y758)*Mitigation_Industry!$I$663:$I$670/(Mitigation_Industry!$F$729:$F$736+(Mitigation_Industry!$F$729:$F$736=0))*'Manual inputs'!$E$88:$E$95)</f>
        <v>3.3077622269744507</v>
      </c>
      <c r="Z40" s="122">
        <f>SUMPRODUCT((Mitigation_Industry!Z729:Z736+Mitigation_Industry!Z751:Z758)*Mitigation_Industry!$I$663:$I$670/(Mitigation_Industry!$F$729:$F$736+(Mitigation_Industry!$F$729:$F$736=0))*'Manual inputs'!$E$88:$E$95)</f>
        <v>3.3805329959678887</v>
      </c>
      <c r="AA40" s="122">
        <f>SUMPRODUCT((Mitigation_Industry!AA729:AA736+Mitigation_Industry!AA751:AA758)*Mitigation_Industry!$I$663:$I$670/(Mitigation_Industry!$F$729:$F$736+(Mitigation_Industry!$F$729:$F$736=0))*'Manual inputs'!$E$88:$E$95)</f>
        <v>3.4549047218791817</v>
      </c>
      <c r="AB40" s="122">
        <f>SUMPRODUCT((Mitigation_Industry!AB729:AB736+Mitigation_Industry!AB751:AB758)*Mitigation_Industry!$I$663:$I$670/(Mitigation_Industry!$F$729:$F$736+(Mitigation_Industry!$F$729:$F$736=0))*'Manual inputs'!$E$88:$E$95)</f>
        <v>3.5309126257605232</v>
      </c>
      <c r="AC40" s="122">
        <f>SUMPRODUCT((Mitigation_Industry!AC729:AC736+Mitigation_Industry!AC751:AC758)*Mitigation_Industry!$I$663:$I$670/(Mitigation_Industry!$F$729:$F$736+(Mitigation_Industry!$F$729:$F$736=0))*'Manual inputs'!$E$88:$E$95)</f>
        <v>3.6085927035272558</v>
      </c>
      <c r="AD40" s="122">
        <f>SUMPRODUCT((Mitigation_Industry!AD729:AD736+Mitigation_Industry!AD751:AD758)*Mitigation_Industry!$I$663:$I$670/(Mitigation_Industry!$F$729:$F$736+(Mitigation_Industry!$F$729:$F$736=0))*'Manual inputs'!$E$88:$E$95)</f>
        <v>3.6879817430048547</v>
      </c>
      <c r="AE40" s="122">
        <f>SUMPRODUCT((Mitigation_Industry!AE729:AE736+Mitigation_Industry!AE751:AE758)*Mitigation_Industry!$I$663:$I$670/(Mitigation_Industry!$F$729:$F$736+(Mitigation_Industry!$F$729:$F$736=0))*'Manual inputs'!$E$88:$E$95)</f>
        <v>3.7691173413509618</v>
      </c>
    </row>
    <row r="41" spans="1:35" x14ac:dyDescent="0.35">
      <c r="B41" s="116" t="s">
        <v>2701</v>
      </c>
      <c r="C41" s="116" t="s">
        <v>3157</v>
      </c>
      <c r="D41" s="116" t="s">
        <v>3199</v>
      </c>
      <c r="E41" s="116" t="s">
        <v>1868</v>
      </c>
      <c r="H41" s="120" t="str">
        <f>Settings!$B$3&amp;".mit.ghg.ipr.blk.2"</f>
        <v>egy.mit.ghg.ipr.blk.2</v>
      </c>
      <c r="L41" s="122">
        <f t="shared" ref="L41:AE41" si="10">L39+L40</f>
        <v>28.583054363047687</v>
      </c>
      <c r="M41" s="122">
        <f t="shared" si="10"/>
        <v>29.509466430618296</v>
      </c>
      <c r="N41" s="122">
        <f t="shared" si="10"/>
        <v>30.466601000000001</v>
      </c>
      <c r="O41" s="122">
        <f t="shared" si="10"/>
        <v>31.455503222000001</v>
      </c>
      <c r="P41" s="122">
        <f t="shared" si="10"/>
        <v>32.477254935883998</v>
      </c>
      <c r="Q41" s="122">
        <f t="shared" si="10"/>
        <v>33.532976010190438</v>
      </c>
      <c r="R41" s="122">
        <f t="shared" si="10"/>
        <v>34.623825735091351</v>
      </c>
      <c r="S41" s="122">
        <f t="shared" si="10"/>
        <v>35.751004268402923</v>
      </c>
      <c r="T41" s="122">
        <f t="shared" si="10"/>
        <v>36.915754137440537</v>
      </c>
      <c r="U41" s="122">
        <f t="shared" si="10"/>
        <v>38.119361799008388</v>
      </c>
      <c r="V41" s="122">
        <f t="shared" si="10"/>
        <v>39.363159259914063</v>
      </c>
      <c r="W41" s="122">
        <f t="shared" si="10"/>
        <v>40.648525760503155</v>
      </c>
      <c r="X41" s="122">
        <f t="shared" si="10"/>
        <v>41.976889523818357</v>
      </c>
      <c r="Y41" s="122">
        <f t="shared" si="10"/>
        <v>43.349729573102742</v>
      </c>
      <c r="Z41" s="122">
        <f t="shared" si="10"/>
        <v>44.768577620485956</v>
      </c>
      <c r="AA41" s="122">
        <f t="shared" si="10"/>
        <v>46.235020029819076</v>
      </c>
      <c r="AB41" s="122">
        <f t="shared" si="10"/>
        <v>47.750699856754046</v>
      </c>
      <c r="AC41" s="122">
        <f t="shared" si="10"/>
        <v>49.317318969302512</v>
      </c>
      <c r="AD41" s="122">
        <f t="shared" si="10"/>
        <v>50.936640252252296</v>
      </c>
      <c r="AE41" s="122">
        <f t="shared" si="10"/>
        <v>52.610489898971281</v>
      </c>
    </row>
    <row r="42" spans="1:35" x14ac:dyDescent="0.35">
      <c r="B42" s="116" t="s">
        <v>3200</v>
      </c>
      <c r="C42" s="116" t="s">
        <v>3157</v>
      </c>
      <c r="D42" s="116" t="s">
        <v>3201</v>
      </c>
      <c r="E42" s="116" t="s">
        <v>1868</v>
      </c>
      <c r="H42" s="120" t="str">
        <f>Settings!$B$3&amp;".mit.ghg.ipr.oth.2"</f>
        <v>egy.mit.ghg.ipr.oth.2</v>
      </c>
      <c r="I42" s="116" t="s">
        <v>3216</v>
      </c>
      <c r="L42" s="122">
        <f>IF('Manual inputs'!$E$85="CPAT",IF(L19=0,0,L25*L36/L19),L25)</f>
        <v>23.617295397428911</v>
      </c>
      <c r="M42" s="122">
        <f>IF('Manual inputs'!$E$85="CPAT",IF(M19=0,0,M25*M36/M19),M25)</f>
        <v>27.393964700185983</v>
      </c>
      <c r="N42" s="122">
        <f>IF('Manual inputs'!$E$85="CPAT",IF(N19=0,0,N25*N36/N19),N25)</f>
        <v>36.003817277289215</v>
      </c>
      <c r="O42" s="122">
        <f>IF('Manual inputs'!$E$85="CPAT",IF(O19=0,0,O25*O36/O19),O25)</f>
        <v>42.645484093984749</v>
      </c>
      <c r="P42" s="122">
        <f>IF('Manual inputs'!$E$85="CPAT",IF(P19=0,0,P25*P36/P19),P25)</f>
        <v>39.56079881647873</v>
      </c>
      <c r="Q42" s="122">
        <f>IF('Manual inputs'!$E$85="CPAT",IF(Q19=0,0,Q25*Q36/Q19),Q25)</f>
        <v>45.032716053430448</v>
      </c>
      <c r="R42" s="122">
        <f>IF('Manual inputs'!$E$85="CPAT",IF(R19=0,0,R25*R36/R19),R25)</f>
        <v>47.095754505217236</v>
      </c>
      <c r="S42" s="122">
        <f>IF('Manual inputs'!$E$85="CPAT",IF(S19=0,0,S25*S36/S19),S25)</f>
        <v>49.023268297078673</v>
      </c>
      <c r="T42" s="122">
        <f>IF('Manual inputs'!$E$85="CPAT",IF(T19=0,0,T25*T36/T19),T25)</f>
        <v>50.749548445103848</v>
      </c>
      <c r="U42" s="122">
        <f>IF('Manual inputs'!$E$85="CPAT",IF(U19=0,0,U25*U36/U19),U25)</f>
        <v>52.483540644282542</v>
      </c>
      <c r="V42" s="122">
        <f>IF('Manual inputs'!$E$85="CPAT",IF(V19=0,0,V25*V36/V19),V25)</f>
        <v>54.194864070543041</v>
      </c>
      <c r="W42" s="122">
        <f>IF('Manual inputs'!$E$85="CPAT",IF(W19=0,0,W25*W36/W19),W25)</f>
        <v>55.920596664088841</v>
      </c>
      <c r="X42" s="122">
        <f>IF('Manual inputs'!$E$85="CPAT",IF(X19=0,0,X25*X36/X19),X25)</f>
        <v>57.659022312047696</v>
      </c>
      <c r="Y42" s="122">
        <f>IF('Manual inputs'!$E$85="CPAT",IF(Y19=0,0,Y25*Y36/Y19),Y25)</f>
        <v>59.408336616574807</v>
      </c>
      <c r="Z42" s="122">
        <f>IF('Manual inputs'!$E$85="CPAT",IF(Z19=0,0,Z25*Z36/Z19),Z25)</f>
        <v>61.166644302090575</v>
      </c>
      <c r="AA42" s="122">
        <f>IF('Manual inputs'!$E$85="CPAT",IF(AA19=0,0,AA25*AA36/AA19),AA25)</f>
        <v>62.931956436397819</v>
      </c>
      <c r="AB42" s="122">
        <f>IF('Manual inputs'!$E$85="CPAT",IF(AB19=0,0,AB25*AB36/AB19),AB25)</f>
        <v>64.702187457530755</v>
      </c>
      <c r="AC42" s="122">
        <f>IF('Manual inputs'!$E$85="CPAT",IF(AC19=0,0,AC25*AC36/AC19),AC25)</f>
        <v>66.475151998262305</v>
      </c>
      <c r="AD42" s="122">
        <f>IF('Manual inputs'!$E$85="CPAT",IF(AD19=0,0,AD25*AD36/AD19),AD25)</f>
        <v>68.248561500261047</v>
      </c>
      <c r="AE42" s="122">
        <f>IF('Manual inputs'!$E$85="CPAT",IF(AE19=0,0,AE25*AE36/AE19),AE25)</f>
        <v>70.020020609923961</v>
      </c>
    </row>
    <row r="43" spans="1:35" ht="13.9" x14ac:dyDescent="0.4">
      <c r="B43" s="125" t="s">
        <v>110</v>
      </c>
      <c r="C43" s="125" t="s">
        <v>3157</v>
      </c>
      <c r="D43" s="125" t="s">
        <v>3203</v>
      </c>
      <c r="E43" s="125" t="s">
        <v>1868</v>
      </c>
      <c r="F43" s="125"/>
      <c r="G43" s="125"/>
      <c r="H43" s="146" t="str">
        <f>Settings!$B$3&amp;".mit.ghg.iprk.tot.2"</f>
        <v>egy.mit.ghg.iprk.tot.2</v>
      </c>
      <c r="I43" s="125" t="s">
        <v>3217</v>
      </c>
      <c r="J43" s="125"/>
      <c r="K43" s="125"/>
      <c r="L43" s="147">
        <f t="shared" ref="L43:AE43" si="11">L41+L42</f>
        <v>52.200349760476598</v>
      </c>
      <c r="M43" s="147">
        <f t="shared" si="11"/>
        <v>56.903431130804279</v>
      </c>
      <c r="N43" s="147">
        <f t="shared" si="11"/>
        <v>66.470418277289212</v>
      </c>
      <c r="O43" s="147">
        <f t="shared" si="11"/>
        <v>74.100987315984753</v>
      </c>
      <c r="P43" s="147">
        <f t="shared" si="11"/>
        <v>72.038053752362728</v>
      </c>
      <c r="Q43" s="147">
        <f t="shared" si="11"/>
        <v>78.565692063620887</v>
      </c>
      <c r="R43" s="147">
        <f t="shared" si="11"/>
        <v>81.719580240308588</v>
      </c>
      <c r="S43" s="147">
        <f t="shared" si="11"/>
        <v>84.774272565481596</v>
      </c>
      <c r="T43" s="147">
        <f t="shared" si="11"/>
        <v>87.665302582544385</v>
      </c>
      <c r="U43" s="147">
        <f t="shared" si="11"/>
        <v>90.60290244329093</v>
      </c>
      <c r="V43" s="147">
        <f t="shared" si="11"/>
        <v>93.558023330457104</v>
      </c>
      <c r="W43" s="147">
        <f t="shared" si="11"/>
        <v>96.569122424591995</v>
      </c>
      <c r="X43" s="147">
        <f t="shared" si="11"/>
        <v>99.635911835866054</v>
      </c>
      <c r="Y43" s="147">
        <f t="shared" si="11"/>
        <v>102.75806618967755</v>
      </c>
      <c r="Z43" s="147">
        <f t="shared" si="11"/>
        <v>105.93522192257653</v>
      </c>
      <c r="AA43" s="147">
        <f t="shared" si="11"/>
        <v>109.16697646621689</v>
      </c>
      <c r="AB43" s="147">
        <f t="shared" si="11"/>
        <v>112.45288731428479</v>
      </c>
      <c r="AC43" s="147">
        <f t="shared" si="11"/>
        <v>115.79247096756481</v>
      </c>
      <c r="AD43" s="147">
        <f t="shared" si="11"/>
        <v>119.18520175251334</v>
      </c>
      <c r="AE43" s="147">
        <f t="shared" si="11"/>
        <v>122.63051050889524</v>
      </c>
      <c r="AF43" s="125"/>
      <c r="AG43" s="125"/>
      <c r="AH43" s="125"/>
      <c r="AI43" s="125"/>
    </row>
    <row r="44" spans="1:35" x14ac:dyDescent="0.35">
      <c r="B44" s="116" t="s">
        <v>110</v>
      </c>
      <c r="C44" s="116" t="s">
        <v>3157</v>
      </c>
      <c r="D44" s="116" t="s">
        <v>3205</v>
      </c>
      <c r="E44" s="116" t="s">
        <v>1868</v>
      </c>
      <c r="H44" s="120" t="str">
        <f>Settings!$B$3&amp;".mit.ghg.iprdc.tot.2"</f>
        <v>egy.mit.ghg.iprdc.tot.2</v>
      </c>
      <c r="I44" s="116" t="s">
        <v>3206</v>
      </c>
      <c r="L44" s="122">
        <f t="shared" ref="L44:AE44" si="12">L43-L36</f>
        <v>0</v>
      </c>
      <c r="M44" s="122">
        <f t="shared" si="12"/>
        <v>0</v>
      </c>
      <c r="N44" s="122">
        <f t="shared" si="12"/>
        <v>0</v>
      </c>
      <c r="O44" s="122">
        <f t="shared" si="12"/>
        <v>0</v>
      </c>
      <c r="P44" s="122">
        <f t="shared" si="12"/>
        <v>0</v>
      </c>
      <c r="Q44" s="122">
        <f t="shared" si="12"/>
        <v>1.4090398681312308</v>
      </c>
      <c r="R44" s="122">
        <f t="shared" si="12"/>
        <v>2.6673965235448378</v>
      </c>
      <c r="S44" s="122">
        <f t="shared" si="12"/>
        <v>3.8181630055287599</v>
      </c>
      <c r="T44" s="122">
        <f t="shared" si="12"/>
        <v>4.8795095359972152</v>
      </c>
      <c r="U44" s="122">
        <f t="shared" si="12"/>
        <v>5.8802184098541375</v>
      </c>
      <c r="V44" s="122">
        <f t="shared" si="12"/>
        <v>6.80772680646227</v>
      </c>
      <c r="W44" s="122">
        <f t="shared" si="12"/>
        <v>7.6897753620378069</v>
      </c>
      <c r="X44" s="122">
        <f t="shared" si="12"/>
        <v>8.5333569344649902</v>
      </c>
      <c r="Y44" s="122">
        <f t="shared" si="12"/>
        <v>9.3427525163357785</v>
      </c>
      <c r="Z44" s="122">
        <f t="shared" si="12"/>
        <v>10.11919326251622</v>
      </c>
      <c r="AA44" s="122">
        <f t="shared" si="12"/>
        <v>10.865381102071524</v>
      </c>
      <c r="AB44" s="122">
        <f t="shared" si="12"/>
        <v>11.584058705353868</v>
      </c>
      <c r="AC44" s="122">
        <f t="shared" si="12"/>
        <v>12.279450988710366</v>
      </c>
      <c r="AD44" s="122">
        <f t="shared" si="12"/>
        <v>12.955061337753065</v>
      </c>
      <c r="AE44" s="122">
        <f t="shared" si="12"/>
        <v>13.613511081620189</v>
      </c>
    </row>
    <row r="45" spans="1:35" x14ac:dyDescent="0.35">
      <c r="B45" s="116" t="s">
        <v>3207</v>
      </c>
      <c r="C45" s="116" t="s">
        <v>3157</v>
      </c>
      <c r="D45" s="116" t="s">
        <v>3208</v>
      </c>
      <c r="E45" s="116" t="s">
        <v>79</v>
      </c>
      <c r="H45" s="120" t="str">
        <f>Settings!$B$3&amp;".mit.ghg.iprshb.tot.2"</f>
        <v>egy.mit.ghg.iprshb.tot.2</v>
      </c>
      <c r="L45" s="148">
        <f t="shared" ref="L45:AE45" si="13">IF(L36=0,0,L41/L36)</f>
        <v>0.54756442234970037</v>
      </c>
      <c r="M45" s="148">
        <f t="shared" si="13"/>
        <v>0.51858852522943122</v>
      </c>
      <c r="N45" s="148">
        <f t="shared" si="13"/>
        <v>0.45834826663652051</v>
      </c>
      <c r="O45" s="148">
        <f t="shared" si="13"/>
        <v>0.42449506222995431</v>
      </c>
      <c r="P45" s="148">
        <f t="shared" si="13"/>
        <v>0.4508347081047952</v>
      </c>
      <c r="Q45" s="148">
        <f t="shared" si="13"/>
        <v>0.43460900720820383</v>
      </c>
      <c r="R45" s="148">
        <f t="shared" si="13"/>
        <v>0.43798696136143611</v>
      </c>
      <c r="S45" s="148">
        <f t="shared" si="13"/>
        <v>0.44160971250634479</v>
      </c>
      <c r="T45" s="148">
        <f t="shared" si="13"/>
        <v>0.44591895274451587</v>
      </c>
      <c r="U45" s="148">
        <f t="shared" si="13"/>
        <v>0.44993099821960481</v>
      </c>
      <c r="V45" s="148">
        <f t="shared" si="13"/>
        <v>0.45375244624122235</v>
      </c>
      <c r="W45" s="148">
        <f t="shared" si="13"/>
        <v>0.45734500875545708</v>
      </c>
      <c r="X45" s="148">
        <f t="shared" si="13"/>
        <v>0.4607652284751983</v>
      </c>
      <c r="Y45" s="148">
        <f t="shared" si="13"/>
        <v>0.46405378163894762</v>
      </c>
      <c r="Z45" s="148">
        <f t="shared" si="13"/>
        <v>0.46723474398336412</v>
      </c>
      <c r="AA45" s="148">
        <f t="shared" si="13"/>
        <v>0.47033845034302352</v>
      </c>
      <c r="AB45" s="148">
        <f t="shared" si="13"/>
        <v>0.47339401592422381</v>
      </c>
      <c r="AC45" s="148">
        <f t="shared" si="13"/>
        <v>0.47643590129412722</v>
      </c>
      <c r="AD45" s="148">
        <f t="shared" si="13"/>
        <v>0.47949329684943959</v>
      </c>
      <c r="AE45" s="148">
        <f t="shared" si="13"/>
        <v>0.48258978118424178</v>
      </c>
    </row>
    <row r="48" spans="1:35" customFormat="1" ht="18" customHeight="1" x14ac:dyDescent="0.45">
      <c r="A48" s="8"/>
      <c r="B48" s="9" t="s">
        <v>3218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1504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6" t="s">
        <v>3219</v>
      </c>
      <c r="C51" s="116" t="s">
        <v>43</v>
      </c>
      <c r="D51" s="116" t="s">
        <v>3220</v>
      </c>
      <c r="E51" s="116" t="s">
        <v>2094</v>
      </c>
      <c r="F51" s="116" t="s">
        <v>3221</v>
      </c>
      <c r="H51" s="120" t="str">
        <f>Settings!$B$3&amp;".mit.eco2.blk.irn.1"</f>
        <v>egy.mit.eco2.blk.irn.1</v>
      </c>
      <c r="I51" s="116" t="s">
        <v>2280</v>
      </c>
      <c r="L51" s="122">
        <f>Mitigation_Industry!L375-SUMPRODUCT((Mitigation_Industry!L330:L332+Mitigation_Industry!L352:L354)*Mitigation_Industry!$I$264:$I$266/(Mitigation_Industry!$F$330:$F$332+(Mitigation_Industry!$F$330:$F$332=0))*'Manual inputs'!$E$88:$E$90)</f>
        <v>3.8464212577619237</v>
      </c>
      <c r="M51" s="122">
        <f>Mitigation_Industry!M375-SUMPRODUCT((Mitigation_Industry!M330:M332+Mitigation_Industry!M352:M354)*Mitigation_Industry!$I$264:$I$266/(Mitigation_Industry!$F$330:$F$332+(Mitigation_Industry!$F$330:$F$332=0))*'Manual inputs'!$E$88:$E$90)</f>
        <v>4.0156637931034478</v>
      </c>
      <c r="N51" s="122">
        <f>Mitigation_Industry!N375-SUMPRODUCT((Mitigation_Industry!N330:N332+Mitigation_Industry!N352:N354)*Mitigation_Industry!$I$264:$I$266/(Mitigation_Industry!$F$330:$F$332+(Mitigation_Industry!$F$330:$F$332=0))*'Manual inputs'!$E$88:$E$90)</f>
        <v>4.1923530000000007</v>
      </c>
      <c r="O51" s="122">
        <f>Mitigation_Industry!O375-SUMPRODUCT((Mitigation_Industry!O330:O332+Mitigation_Industry!O352:O354)*Mitigation_Industry!$I$264:$I$266/(Mitigation_Industry!$F$330:$F$332+(Mitigation_Industry!$F$330:$F$332=0))*'Manual inputs'!$E$88:$E$90)</f>
        <v>4.3768165320000012</v>
      </c>
      <c r="P51" s="122">
        <f>Mitigation_Industry!P375-SUMPRODUCT((Mitigation_Industry!P330:P332+Mitigation_Industry!P352:P354)*Mitigation_Industry!$I$264:$I$266/(Mitigation_Industry!$F$330:$F$332+(Mitigation_Industry!$F$330:$F$332=0))*'Manual inputs'!$E$88:$E$90)</f>
        <v>4.5693964594080008</v>
      </c>
      <c r="Q51" s="122">
        <f>Mitigation_Industry!Q375-SUMPRODUCT((Mitigation_Industry!Q330:Q332+Mitigation_Industry!Q352:Q354)*Mitigation_Industry!$I$264:$I$266/(Mitigation_Industry!$F$330:$F$332+(Mitigation_Industry!$F$330:$F$332=0))*'Manual inputs'!$E$88:$E$90)</f>
        <v>4.7704499036219534</v>
      </c>
      <c r="R51" s="122">
        <f>Mitigation_Industry!R375-SUMPRODUCT((Mitigation_Industry!R330:R332+Mitigation_Industry!R352:R354)*Mitigation_Industry!$I$264:$I$266/(Mitigation_Industry!$F$330:$F$332+(Mitigation_Industry!$F$330:$F$332=0))*'Manual inputs'!$E$88:$E$90)</f>
        <v>4.9803496993813186</v>
      </c>
      <c r="S51" s="122">
        <f>Mitigation_Industry!S375-SUMPRODUCT((Mitigation_Industry!S330:S332+Mitigation_Industry!S352:S354)*Mitigation_Industry!$I$264:$I$266/(Mitigation_Industry!$F$330:$F$332+(Mitigation_Industry!$F$330:$F$332=0))*'Manual inputs'!$E$88:$E$90)</f>
        <v>5.1994850861540964</v>
      </c>
      <c r="T51" s="122">
        <f>Mitigation_Industry!T375-SUMPRODUCT((Mitigation_Industry!T330:T332+Mitigation_Industry!T352:T354)*Mitigation_Industry!$I$264:$I$266/(Mitigation_Industry!$F$330:$F$332+(Mitigation_Industry!$F$330:$F$332=0))*'Manual inputs'!$E$88:$E$90)</f>
        <v>5.4282624299448763</v>
      </c>
      <c r="U51" s="122">
        <f>Mitigation_Industry!U375-SUMPRODUCT((Mitigation_Industry!U330:U332+Mitigation_Industry!U352:U354)*Mitigation_Industry!$I$264:$I$266/(Mitigation_Industry!$F$330:$F$332+(Mitigation_Industry!$F$330:$F$332=0))*'Manual inputs'!$E$88:$E$90)</f>
        <v>5.6671059768624517</v>
      </c>
      <c r="V51" s="122">
        <f>Mitigation_Industry!V375-SUMPRODUCT((Mitigation_Industry!V330:V332+Mitigation_Industry!V352:V354)*Mitigation_Industry!$I$264:$I$266/(Mitigation_Industry!$F$330:$F$332+(Mitigation_Industry!$F$330:$F$332=0))*'Manual inputs'!$E$88:$E$90)</f>
        <v>5.9164586398444001</v>
      </c>
      <c r="W51" s="122">
        <f>Mitigation_Industry!W375-SUMPRODUCT((Mitigation_Industry!W330:W332+Mitigation_Industry!W352:W354)*Mitigation_Industry!$I$264:$I$266/(Mitigation_Industry!$F$330:$F$332+(Mitigation_Industry!$F$330:$F$332=0))*'Manual inputs'!$E$88:$E$90)</f>
        <v>6.1767828199975536</v>
      </c>
      <c r="X51" s="122">
        <f>Mitigation_Industry!X375-SUMPRODUCT((Mitigation_Industry!X330:X332+Mitigation_Industry!X352:X354)*Mitigation_Industry!$I$264:$I$266/(Mitigation_Industry!$F$330:$F$332+(Mitigation_Industry!$F$330:$F$332=0))*'Manual inputs'!$E$88:$E$90)</f>
        <v>6.4485612640774468</v>
      </c>
      <c r="Y51" s="122">
        <f>Mitigation_Industry!Y375-SUMPRODUCT((Mitigation_Industry!Y330:Y332+Mitigation_Industry!Y352:Y354)*Mitigation_Industry!$I$264:$I$266/(Mitigation_Industry!$F$330:$F$332+(Mitigation_Industry!$F$330:$F$332=0))*'Manual inputs'!$E$88:$E$90)</f>
        <v>6.7322979596968544</v>
      </c>
      <c r="Z51" s="122">
        <f>Mitigation_Industry!Z375-SUMPRODUCT((Mitigation_Industry!Z330:Z332+Mitigation_Industry!Z352:Z354)*Mitigation_Industry!$I$264:$I$266/(Mitigation_Industry!$F$330:$F$332+(Mitigation_Industry!$F$330:$F$332=0))*'Manual inputs'!$E$88:$E$90)</f>
        <v>7.0285190699235152</v>
      </c>
      <c r="AA51" s="122">
        <f>Mitigation_Industry!AA375-SUMPRODUCT((Mitigation_Industry!AA330:AA332+Mitigation_Industry!AA352:AA354)*Mitigation_Industry!$I$264:$I$266/(Mitigation_Industry!$F$330:$F$332+(Mitigation_Industry!$F$330:$F$332=0))*'Manual inputs'!$E$88:$E$90)</f>
        <v>7.3377739090001493</v>
      </c>
      <c r="AB51" s="122">
        <f>Mitigation_Industry!AB375-SUMPRODUCT((Mitigation_Industry!AB330:AB332+Mitigation_Industry!AB352:AB354)*Mitigation_Industry!$I$264:$I$266/(Mitigation_Industry!$F$330:$F$332+(Mitigation_Industry!$F$330:$F$332=0))*'Manual inputs'!$E$88:$E$90)</f>
        <v>7.6606359609961574</v>
      </c>
      <c r="AC51" s="122">
        <f>Mitigation_Industry!AC375-SUMPRODUCT((Mitigation_Industry!AC330:AC332+Mitigation_Industry!AC352:AC354)*Mitigation_Industry!$I$264:$I$266/(Mitigation_Industry!$F$330:$F$332+(Mitigation_Industry!$F$330:$F$332=0))*'Manual inputs'!$E$88:$E$90)</f>
        <v>7.9977039432799879</v>
      </c>
      <c r="AD51" s="122">
        <f>Mitigation_Industry!AD375-SUMPRODUCT((Mitigation_Industry!AD330:AD332+Mitigation_Industry!AD352:AD354)*Mitigation_Industry!$I$264:$I$266/(Mitigation_Industry!$F$330:$F$332+(Mitigation_Industry!$F$330:$F$332=0))*'Manual inputs'!$E$88:$E$90)</f>
        <v>8.3496029167843062</v>
      </c>
      <c r="AE51" s="122">
        <f>Mitigation_Industry!AE375-SUMPRODUCT((Mitigation_Industry!AE330:AE332+Mitigation_Industry!AE352:AE354)*Mitigation_Industry!$I$264:$I$266/(Mitigation_Industry!$F$330:$F$332+(Mitigation_Industry!$F$330:$F$332=0))*'Manual inputs'!$E$88:$E$90)</f>
        <v>8.7169854451228161</v>
      </c>
    </row>
    <row r="52" spans="1:35" x14ac:dyDescent="0.35">
      <c r="B52" s="116" t="s">
        <v>110</v>
      </c>
      <c r="C52" s="116" t="s">
        <v>43</v>
      </c>
      <c r="D52" s="116" t="s">
        <v>3222</v>
      </c>
      <c r="E52" s="116" t="s">
        <v>2094</v>
      </c>
      <c r="F52" s="116" t="s">
        <v>3223</v>
      </c>
      <c r="I52" s="116" t="s">
        <v>2183</v>
      </c>
      <c r="L52" s="122">
        <f>Emissions_Industry!L15</f>
        <v>4.5303835184019645</v>
      </c>
      <c r="M52" s="122">
        <f>Emissions_Industry!M15</f>
        <v>3.8469033618625206</v>
      </c>
      <c r="N52" s="122">
        <f>Emissions_Industry!N15</f>
        <v>4.3290746208215198</v>
      </c>
      <c r="O52" s="122">
        <f>Emissions_Industry!O15</f>
        <v>4.5451606543512009</v>
      </c>
      <c r="P52" s="122">
        <f>Emissions_Industry!P15</f>
        <v>4.6606527233890995</v>
      </c>
      <c r="Q52" s="122">
        <f>Emissions_Industry!Q15</f>
        <v>4.8330795942744347</v>
      </c>
      <c r="R52" s="122">
        <f>Emissions_Industry!R15</f>
        <v>5.0529306123252606</v>
      </c>
      <c r="S52" s="122">
        <f>Emissions_Industry!S15</f>
        <v>5.2667916999615381</v>
      </c>
      <c r="T52" s="122">
        <f>Emissions_Industry!T15</f>
        <v>5.4699790897750464</v>
      </c>
      <c r="U52" s="122">
        <f>Emissions_Industry!U15</f>
        <v>5.6771103604276671</v>
      </c>
      <c r="V52" s="122">
        <f>Emissions_Industry!V15</f>
        <v>5.8842858461533165</v>
      </c>
      <c r="W52" s="122">
        <f>Emissions_Industry!W15</f>
        <v>6.0960674143926461</v>
      </c>
      <c r="X52" s="122">
        <f>Emissions_Industry!X15</f>
        <v>6.3124466882788575</v>
      </c>
      <c r="Y52" s="122">
        <f>Emissions_Industry!Y15</f>
        <v>6.5334118787127196</v>
      </c>
      <c r="Z52" s="122">
        <f>Emissions_Industry!Z15</f>
        <v>6.7589477212745512</v>
      </c>
      <c r="AA52" s="122">
        <f>Emissions_Industry!AA15</f>
        <v>6.9890354050403589</v>
      </c>
      <c r="AB52" s="122">
        <f>Emissions_Industry!AB15</f>
        <v>7.2236524927720804</v>
      </c>
      <c r="AC52" s="122">
        <f>Emissions_Industry!AC15</f>
        <v>7.4627728319721847</v>
      </c>
      <c r="AD52" s="122">
        <f>Emissions_Industry!AD15</f>
        <v>7.7063664563130869</v>
      </c>
      <c r="AE52" s="122">
        <f>Emissions_Industry!AE15</f>
        <v>7.9543994769708668</v>
      </c>
    </row>
    <row r="53" spans="1:35" x14ac:dyDescent="0.35">
      <c r="B53" s="116" t="s">
        <v>3224</v>
      </c>
      <c r="C53" s="116" t="s">
        <v>43</v>
      </c>
      <c r="D53" s="116" t="s">
        <v>3225</v>
      </c>
      <c r="E53" s="116" t="s">
        <v>2094</v>
      </c>
      <c r="H53" s="120" t="str">
        <f>Settings!$B$3&amp;".mit.eco2.gap.irn.1"</f>
        <v>egy.mit.eco2.gap.irn.1</v>
      </c>
      <c r="I53" s="116" t="s">
        <v>3226</v>
      </c>
      <c r="L53" s="122">
        <f t="shared" ref="L53:AE53" si="14">L52-L51</f>
        <v>0.68396226064004084</v>
      </c>
      <c r="M53" s="122">
        <f t="shared" si="14"/>
        <v>-0.16876043124092721</v>
      </c>
      <c r="N53" s="122">
        <f t="shared" si="14"/>
        <v>0.13672162082151917</v>
      </c>
      <c r="O53" s="122">
        <f t="shared" si="14"/>
        <v>0.16834412235119967</v>
      </c>
      <c r="P53" s="122">
        <f t="shared" si="14"/>
        <v>9.1256263981098762E-2</v>
      </c>
      <c r="Q53" s="122">
        <f t="shared" si="14"/>
        <v>6.2629690652481251E-2</v>
      </c>
      <c r="R53" s="122">
        <f t="shared" si="14"/>
        <v>7.2580912943942089E-2</v>
      </c>
      <c r="S53" s="122">
        <f t="shared" si="14"/>
        <v>6.7306613807441629E-2</v>
      </c>
      <c r="T53" s="122">
        <f t="shared" si="14"/>
        <v>4.1716659830170144E-2</v>
      </c>
      <c r="U53" s="122">
        <f t="shared" si="14"/>
        <v>1.0004383565215491E-2</v>
      </c>
      <c r="V53" s="122">
        <f t="shared" si="14"/>
        <v>-3.2172793691083612E-2</v>
      </c>
      <c r="W53" s="122">
        <f t="shared" si="14"/>
        <v>-8.0715405604907531E-2</v>
      </c>
      <c r="X53" s="122">
        <f t="shared" si="14"/>
        <v>-0.13611457579858932</v>
      </c>
      <c r="Y53" s="122">
        <f t="shared" si="14"/>
        <v>-0.19888608098413485</v>
      </c>
      <c r="Z53" s="122">
        <f t="shared" si="14"/>
        <v>-0.26957134864896393</v>
      </c>
      <c r="AA53" s="122">
        <f t="shared" si="14"/>
        <v>-0.34873850395979034</v>
      </c>
      <c r="AB53" s="122">
        <f t="shared" si="14"/>
        <v>-0.43698346822407697</v>
      </c>
      <c r="AC53" s="122">
        <f t="shared" si="14"/>
        <v>-0.53493111130780324</v>
      </c>
      <c r="AD53" s="122">
        <f t="shared" si="14"/>
        <v>-0.6432364604712193</v>
      </c>
      <c r="AE53" s="122">
        <f t="shared" si="14"/>
        <v>-0.76258596815194934</v>
      </c>
    </row>
    <row r="54" spans="1:35" x14ac:dyDescent="0.35">
      <c r="B54" s="116" t="s">
        <v>3227</v>
      </c>
      <c r="C54" s="116" t="s">
        <v>43</v>
      </c>
      <c r="D54" s="116" t="s">
        <v>3228</v>
      </c>
      <c r="E54" s="116" t="s">
        <v>87</v>
      </c>
      <c r="H54" s="120" t="str">
        <f>Settings!$B$3&amp;".mit.eco2.rblk.irn.1"</f>
        <v>egy.mit.eco2.rblk.irn.1</v>
      </c>
      <c r="I54" s="116" t="s">
        <v>3229</v>
      </c>
      <c r="L54" s="148">
        <f t="shared" ref="L54:AE54" si="15">IF(L52=0,0,L51/L52)</f>
        <v>0.84902773509972063</v>
      </c>
      <c r="M54" s="148">
        <f t="shared" si="15"/>
        <v>1.0438691631596433</v>
      </c>
      <c r="N54" s="148">
        <f t="shared" si="15"/>
        <v>0.96841781840305308</v>
      </c>
      <c r="O54" s="148">
        <f t="shared" si="15"/>
        <v>0.96296189834565271</v>
      </c>
      <c r="P54" s="148">
        <f t="shared" si="15"/>
        <v>0.98041985331300552</v>
      </c>
      <c r="Q54" s="148">
        <f t="shared" si="15"/>
        <v>0.98704145267405152</v>
      </c>
      <c r="R54" s="148">
        <f t="shared" si="15"/>
        <v>0.98563587776825978</v>
      </c>
      <c r="S54" s="148">
        <f t="shared" si="15"/>
        <v>0.98722056659124502</v>
      </c>
      <c r="T54" s="148">
        <f t="shared" si="15"/>
        <v>0.99237352480777297</v>
      </c>
      <c r="U54" s="148">
        <f t="shared" si="15"/>
        <v>0.99823776834867417</v>
      </c>
      <c r="V54" s="148">
        <f t="shared" si="15"/>
        <v>1.005467578314897</v>
      </c>
      <c r="W54" s="148">
        <f t="shared" si="15"/>
        <v>1.0132405697178382</v>
      </c>
      <c r="X54" s="148">
        <f t="shared" si="15"/>
        <v>1.0215628871846683</v>
      </c>
      <c r="Y54" s="148">
        <f t="shared" si="15"/>
        <v>1.0304413811154549</v>
      </c>
      <c r="Z54" s="148">
        <f t="shared" si="15"/>
        <v>1.0398836268255867</v>
      </c>
      <c r="AA54" s="148">
        <f t="shared" si="15"/>
        <v>1.0498979449593697</v>
      </c>
      <c r="AB54" s="148">
        <f t="shared" si="15"/>
        <v>1.0604934233286165</v>
      </c>
      <c r="AC54" s="148">
        <f t="shared" si="15"/>
        <v>1.0716799403321027</v>
      </c>
      <c r="AD54" s="148">
        <f t="shared" si="15"/>
        <v>1.0834681901149765</v>
      </c>
      <c r="AE54" s="148">
        <f t="shared" si="15"/>
        <v>1.0958697096317258</v>
      </c>
    </row>
    <row r="56" spans="1:35" x14ac:dyDescent="0.35">
      <c r="B56" s="116" t="s">
        <v>3219</v>
      </c>
      <c r="C56" s="116" t="s">
        <v>113</v>
      </c>
      <c r="D56" s="116" t="s">
        <v>3230</v>
      </c>
      <c r="E56" s="116" t="s">
        <v>2094</v>
      </c>
      <c r="F56" s="116" t="s">
        <v>3231</v>
      </c>
      <c r="H56" s="120" t="str">
        <f>Settings!$B$3&amp;".mit.eco2.blk.cem.1"</f>
        <v>egy.mit.eco2.blk.cem.1</v>
      </c>
      <c r="I56" s="116" t="s">
        <v>2305</v>
      </c>
      <c r="L56" s="122">
        <f>Mitigation_Industry!L378-SUMPRODUCT((Mitigation_Industry!L333:L333+Mitigation_Industry!L355:L355)*Mitigation_Industry!$I$267:$I$267/(Mitigation_Industry!$F$333:$F$333+(Mitigation_Industry!$F$333:$F$333=0))*'Manual inputs'!$E$91:$E$91)</f>
        <v>13.508713893592759</v>
      </c>
      <c r="M56" s="122">
        <f>Mitigation_Industry!M378-SUMPRODUCT((Mitigation_Industry!M333:M333+Mitigation_Industry!M355:M355)*Mitigation_Industry!$I$267:$I$267/(Mitigation_Industry!$F$333:$F$333+(Mitigation_Industry!$F$333:$F$333=0))*'Manual inputs'!$E$91:$E$91)</f>
        <v>13.954501452081319</v>
      </c>
      <c r="N56" s="122">
        <f>Mitigation_Industry!N378-SUMPRODUCT((Mitigation_Industry!N333:N333+Mitigation_Industry!N355:N355)*Mitigation_Industry!$I$267:$I$267/(Mitigation_Industry!$F$333:$F$333+(Mitigation_Industry!$F$333:$F$333=0))*'Manual inputs'!$E$91:$E$91)</f>
        <v>14.414999999999999</v>
      </c>
      <c r="O56" s="122">
        <f>Mitigation_Industry!O378-SUMPRODUCT((Mitigation_Industry!O333:O333+Mitigation_Industry!O355:O355)*Mitigation_Industry!$I$267:$I$267/(Mitigation_Industry!$F$333:$F$333+(Mitigation_Industry!$F$333:$F$333=0))*'Manual inputs'!$E$91:$E$91)</f>
        <v>14.890694999999997</v>
      </c>
      <c r="P56" s="122">
        <f>Mitigation_Industry!P378-SUMPRODUCT((Mitigation_Industry!P333:P333+Mitigation_Industry!P355:P355)*Mitigation_Industry!$I$267:$I$267/(Mitigation_Industry!$F$333:$F$333+(Mitigation_Industry!$F$333:$F$333=0))*'Manual inputs'!$E$91:$E$91)</f>
        <v>15.382087934999998</v>
      </c>
      <c r="Q56" s="122">
        <f>Mitigation_Industry!Q378-SUMPRODUCT((Mitigation_Industry!Q333:Q333+Mitigation_Industry!Q355:Q355)*Mitigation_Industry!$I$267:$I$267/(Mitigation_Industry!$F$333:$F$333+(Mitigation_Industry!$F$333:$F$333=0))*'Manual inputs'!$E$91:$E$91)</f>
        <v>15.889696836854995</v>
      </c>
      <c r="R56" s="122">
        <f>Mitigation_Industry!R378-SUMPRODUCT((Mitigation_Industry!R333:R333+Mitigation_Industry!R355:R355)*Mitigation_Industry!$I$267:$I$267/(Mitigation_Industry!$F$333:$F$333+(Mitigation_Industry!$F$333:$F$333=0))*'Manual inputs'!$E$91:$E$91)</f>
        <v>16.414056832471207</v>
      </c>
      <c r="S56" s="122">
        <f>Mitigation_Industry!S378-SUMPRODUCT((Mitigation_Industry!S333:S333+Mitigation_Industry!S355:S355)*Mitigation_Industry!$I$267:$I$267/(Mitigation_Industry!$F$333:$F$333+(Mitigation_Industry!$F$333:$F$333=0))*'Manual inputs'!$E$91:$E$91)</f>
        <v>16.955720707942756</v>
      </c>
      <c r="T56" s="122">
        <f>Mitigation_Industry!T378-SUMPRODUCT((Mitigation_Industry!T333:T333+Mitigation_Industry!T355:T355)*Mitigation_Industry!$I$267:$I$267/(Mitigation_Industry!$F$333:$F$333+(Mitigation_Industry!$F$333:$F$333=0))*'Manual inputs'!$E$91:$E$91)</f>
        <v>17.515259491304867</v>
      </c>
      <c r="U56" s="122">
        <f>Mitigation_Industry!U378-SUMPRODUCT((Mitigation_Industry!U333:U333+Mitigation_Industry!U355:U355)*Mitigation_Industry!$I$267:$I$267/(Mitigation_Industry!$F$333:$F$333+(Mitigation_Industry!$F$333:$F$333=0))*'Manual inputs'!$E$91:$E$91)</f>
        <v>18.093263054517923</v>
      </c>
      <c r="V56" s="122">
        <f>Mitigation_Industry!V378-SUMPRODUCT((Mitigation_Industry!V333:V333+Mitigation_Industry!V355:V355)*Mitigation_Industry!$I$267:$I$267/(Mitigation_Industry!$F$333:$F$333+(Mitigation_Industry!$F$333:$F$333=0))*'Manual inputs'!$E$91:$E$91)</f>
        <v>18.690340735317012</v>
      </c>
      <c r="W56" s="122">
        <f>Mitigation_Industry!W378-SUMPRODUCT((Mitigation_Industry!W333:W333+Mitigation_Industry!W355:W355)*Mitigation_Industry!$I$267:$I$267/(Mitigation_Industry!$F$333:$F$333+(Mitigation_Industry!$F$333:$F$333=0))*'Manual inputs'!$E$91:$E$91)</f>
        <v>19.307121979582472</v>
      </c>
      <c r="X56" s="122">
        <f>Mitigation_Industry!X378-SUMPRODUCT((Mitigation_Industry!X333:X333+Mitigation_Industry!X355:X355)*Mitigation_Industry!$I$267:$I$267/(Mitigation_Industry!$F$333:$F$333+(Mitigation_Industry!$F$333:$F$333=0))*'Manual inputs'!$E$91:$E$91)</f>
        <v>19.944257004908685</v>
      </c>
      <c r="Y56" s="122">
        <f>Mitigation_Industry!Y378-SUMPRODUCT((Mitigation_Industry!Y333:Y333+Mitigation_Industry!Y355:Y355)*Mitigation_Industry!$I$267:$I$267/(Mitigation_Industry!$F$333:$F$333+(Mitigation_Industry!$F$333:$F$333=0))*'Manual inputs'!$E$91:$E$91)</f>
        <v>20.602417486070678</v>
      </c>
      <c r="Z56" s="122">
        <f>Mitigation_Industry!Z378-SUMPRODUCT((Mitigation_Industry!Z333:Z333+Mitigation_Industry!Z355:Z355)*Mitigation_Industry!$I$267:$I$267/(Mitigation_Industry!$F$333:$F$333+(Mitigation_Industry!$F$333:$F$333=0))*'Manual inputs'!$E$91:$E$91)</f>
        <v>21.282297263111005</v>
      </c>
      <c r="AA56" s="122">
        <f>Mitigation_Industry!AA378-SUMPRODUCT((Mitigation_Industry!AA333:AA333+Mitigation_Industry!AA355:AA355)*Mitigation_Industry!$I$267:$I$267/(Mitigation_Industry!$F$333:$F$333+(Mitigation_Industry!$F$333:$F$333=0))*'Manual inputs'!$E$91:$E$91)</f>
        <v>21.984613072793667</v>
      </c>
      <c r="AB56" s="122">
        <f>Mitigation_Industry!AB378-SUMPRODUCT((Mitigation_Industry!AB333:AB333+Mitigation_Industry!AB355:AB355)*Mitigation_Industry!$I$267:$I$267/(Mitigation_Industry!$F$333:$F$333+(Mitigation_Industry!$F$333:$F$333=0))*'Manual inputs'!$E$91:$E$91)</f>
        <v>22.710105304195856</v>
      </c>
      <c r="AC56" s="122">
        <f>Mitigation_Industry!AC378-SUMPRODUCT((Mitigation_Industry!AC333:AC333+Mitigation_Industry!AC355:AC355)*Mitigation_Industry!$I$267:$I$267/(Mitigation_Industry!$F$333:$F$333+(Mitigation_Industry!$F$333:$F$333=0))*'Manual inputs'!$E$91:$E$91)</f>
        <v>23.459538779234315</v>
      </c>
      <c r="AD56" s="122">
        <f>Mitigation_Industry!AD378-SUMPRODUCT((Mitigation_Industry!AD333:AD333+Mitigation_Industry!AD355:AD355)*Mitigation_Industry!$I$267:$I$267/(Mitigation_Industry!$F$333:$F$333+(Mitigation_Industry!$F$333:$F$333=0))*'Manual inputs'!$E$91:$E$91)</f>
        <v>24.233703558949045</v>
      </c>
      <c r="AE56" s="122">
        <f>Mitigation_Industry!AE378-SUMPRODUCT((Mitigation_Industry!AE333:AE333+Mitigation_Industry!AE355:AE355)*Mitigation_Industry!$I$267:$I$267/(Mitigation_Industry!$F$333:$F$333+(Mitigation_Industry!$F$333:$F$333=0))*'Manual inputs'!$E$91:$E$91)</f>
        <v>25.03341577639436</v>
      </c>
    </row>
    <row r="57" spans="1:35" x14ac:dyDescent="0.35">
      <c r="B57" s="116" t="s">
        <v>110</v>
      </c>
      <c r="C57" s="116" t="s">
        <v>113</v>
      </c>
      <c r="D57" s="116" t="s">
        <v>3232</v>
      </c>
      <c r="E57" s="116" t="s">
        <v>2094</v>
      </c>
      <c r="F57" s="116" t="s">
        <v>3233</v>
      </c>
      <c r="I57" s="116" t="s">
        <v>2186</v>
      </c>
      <c r="L57" s="122">
        <f>Emissions_Industry!L27</f>
        <v>9.4893574461323063</v>
      </c>
      <c r="M57" s="122">
        <f>Emissions_Industry!M27</f>
        <v>7.892397868173477</v>
      </c>
      <c r="N57" s="122">
        <f>Emissions_Industry!N27</f>
        <v>8.974049898041585</v>
      </c>
      <c r="O57" s="122">
        <f>Emissions_Industry!O27</f>
        <v>9.6117389440758174</v>
      </c>
      <c r="P57" s="122">
        <f>Emissions_Industry!P27</f>
        <v>9.6255920185944621</v>
      </c>
      <c r="Q57" s="122">
        <f>Emissions_Industry!Q27</f>
        <v>9.8610476555574511</v>
      </c>
      <c r="R57" s="122">
        <f>Emissions_Industry!R27</f>
        <v>10.224041222352259</v>
      </c>
      <c r="S57" s="122">
        <f>Emissions_Industry!S27</f>
        <v>10.577278178288619</v>
      </c>
      <c r="T57" s="122">
        <f>Emissions_Industry!T27</f>
        <v>10.913917324515168</v>
      </c>
      <c r="U57" s="122">
        <f>Emissions_Industry!U27</f>
        <v>11.254980886600027</v>
      </c>
      <c r="V57" s="122">
        <f>Emissions_Industry!V27</f>
        <v>11.572436051134584</v>
      </c>
      <c r="W57" s="122">
        <f>Emissions_Industry!W27</f>
        <v>11.894967219383652</v>
      </c>
      <c r="X57" s="122">
        <f>Emissions_Industry!X27</f>
        <v>12.222536887315171</v>
      </c>
      <c r="Y57" s="122">
        <f>Emissions_Industry!Y27</f>
        <v>12.55510423174249</v>
      </c>
      <c r="Z57" s="122">
        <f>Emissions_Industry!Z27</f>
        <v>12.892625020155874</v>
      </c>
      <c r="AA57" s="122">
        <f>Emissions_Industry!AA27</f>
        <v>13.235051509488891</v>
      </c>
      <c r="AB57" s="122">
        <f>Emissions_Industry!AB27</f>
        <v>13.582332333397812</v>
      </c>
      <c r="AC57" s="122">
        <f>Emissions_Industry!AC27</f>
        <v>13.934412377644653</v>
      </c>
      <c r="AD57" s="122">
        <f>Emissions_Industry!AD27</f>
        <v>14.291232643187328</v>
      </c>
      <c r="AE57" s="122">
        <f>Emissions_Industry!AE27</f>
        <v>14.652730096591428</v>
      </c>
    </row>
    <row r="58" spans="1:35" x14ac:dyDescent="0.35">
      <c r="B58" s="116" t="s">
        <v>3224</v>
      </c>
      <c r="C58" s="116" t="s">
        <v>113</v>
      </c>
      <c r="D58" s="116" t="s">
        <v>3234</v>
      </c>
      <c r="E58" s="116" t="s">
        <v>2094</v>
      </c>
      <c r="H58" s="120" t="str">
        <f>Settings!$B$3&amp;".mit.eco2.gap.cem.1"</f>
        <v>egy.mit.eco2.gap.cem.1</v>
      </c>
      <c r="I58" s="116" t="s">
        <v>3226</v>
      </c>
      <c r="L58" s="122">
        <f t="shared" ref="L58:AE58" si="16">L57-L56</f>
        <v>-4.0193564474604528</v>
      </c>
      <c r="M58" s="122">
        <f t="shared" si="16"/>
        <v>-6.0621035839078417</v>
      </c>
      <c r="N58" s="122">
        <f t="shared" si="16"/>
        <v>-5.4409501019584141</v>
      </c>
      <c r="O58" s="122">
        <f t="shared" si="16"/>
        <v>-5.2789560559241799</v>
      </c>
      <c r="P58" s="122">
        <f t="shared" si="16"/>
        <v>-5.7564959164055356</v>
      </c>
      <c r="Q58" s="122">
        <f t="shared" si="16"/>
        <v>-6.0286491812975438</v>
      </c>
      <c r="R58" s="122">
        <f t="shared" si="16"/>
        <v>-6.1900156101189481</v>
      </c>
      <c r="S58" s="122">
        <f t="shared" si="16"/>
        <v>-6.3784425296541372</v>
      </c>
      <c r="T58" s="122">
        <f t="shared" si="16"/>
        <v>-6.6013421667896992</v>
      </c>
      <c r="U58" s="122">
        <f t="shared" si="16"/>
        <v>-6.838282167917896</v>
      </c>
      <c r="V58" s="122">
        <f t="shared" si="16"/>
        <v>-7.1179046841824274</v>
      </c>
      <c r="W58" s="122">
        <f t="shared" si="16"/>
        <v>-7.4121547601988205</v>
      </c>
      <c r="X58" s="122">
        <f t="shared" si="16"/>
        <v>-7.7217201175935148</v>
      </c>
      <c r="Y58" s="122">
        <f t="shared" si="16"/>
        <v>-8.0473132543281878</v>
      </c>
      <c r="Z58" s="122">
        <f t="shared" si="16"/>
        <v>-8.3896722429551307</v>
      </c>
      <c r="AA58" s="122">
        <f t="shared" si="16"/>
        <v>-8.749561563304777</v>
      </c>
      <c r="AB58" s="122">
        <f t="shared" si="16"/>
        <v>-9.1277729707980448</v>
      </c>
      <c r="AC58" s="122">
        <f t="shared" si="16"/>
        <v>-9.5251264015896613</v>
      </c>
      <c r="AD58" s="122">
        <f t="shared" si="16"/>
        <v>-9.9424709157617173</v>
      </c>
      <c r="AE58" s="122">
        <f t="shared" si="16"/>
        <v>-10.380685679802932</v>
      </c>
    </row>
    <row r="59" spans="1:35" x14ac:dyDescent="0.35">
      <c r="B59" s="116" t="s">
        <v>3227</v>
      </c>
      <c r="C59" s="116" t="s">
        <v>113</v>
      </c>
      <c r="D59" s="116" t="s">
        <v>3235</v>
      </c>
      <c r="E59" s="116" t="s">
        <v>87</v>
      </c>
      <c r="H59" s="120" t="str">
        <f>Settings!$B$3&amp;".mit.eco2.rblk.cem.1"</f>
        <v>egy.mit.eco2.rblk.cem.1</v>
      </c>
      <c r="I59" s="116" t="s">
        <v>3229</v>
      </c>
      <c r="L59" s="148">
        <f t="shared" ref="L59:AE59" si="17">IF(L57=0,0,L56/L57)</f>
        <v>1.4235646586480597</v>
      </c>
      <c r="M59" s="148">
        <f t="shared" si="17"/>
        <v>1.7680940172002229</v>
      </c>
      <c r="N59" s="148">
        <f t="shared" si="17"/>
        <v>1.6062981779436949</v>
      </c>
      <c r="O59" s="148">
        <f t="shared" si="17"/>
        <v>1.5492196663516187</v>
      </c>
      <c r="P59" s="148">
        <f t="shared" si="17"/>
        <v>1.5980407132657701</v>
      </c>
      <c r="Q59" s="148">
        <f t="shared" si="17"/>
        <v>1.6113599073725133</v>
      </c>
      <c r="R59" s="148">
        <f t="shared" si="17"/>
        <v>1.6054372704000897</v>
      </c>
      <c r="S59" s="148">
        <f t="shared" si="17"/>
        <v>1.6030325025153263</v>
      </c>
      <c r="T59" s="148">
        <f t="shared" si="17"/>
        <v>1.6048554309607574</v>
      </c>
      <c r="U59" s="148">
        <f t="shared" si="17"/>
        <v>1.6075783012709892</v>
      </c>
      <c r="V59" s="148">
        <f t="shared" si="17"/>
        <v>1.6150740131750025</v>
      </c>
      <c r="W59" s="148">
        <f t="shared" si="17"/>
        <v>1.6231336853219918</v>
      </c>
      <c r="X59" s="148">
        <f t="shared" si="17"/>
        <v>1.6317608356418456</v>
      </c>
      <c r="Y59" s="148">
        <f t="shared" si="17"/>
        <v>1.6409594939070706</v>
      </c>
      <c r="Z59" s="148">
        <f t="shared" si="17"/>
        <v>1.6507342166423837</v>
      </c>
      <c r="AA59" s="148">
        <f t="shared" si="17"/>
        <v>1.6610901028251961</v>
      </c>
      <c r="AB59" s="148">
        <f t="shared" si="17"/>
        <v>1.6720328104734723</v>
      </c>
      <c r="AC59" s="148">
        <f t="shared" si="17"/>
        <v>1.6835685742206878</v>
      </c>
      <c r="AD59" s="148">
        <f t="shared" si="17"/>
        <v>1.6957042239810798</v>
      </c>
      <c r="AE59" s="148">
        <f t="shared" si="17"/>
        <v>1.7084472048125505</v>
      </c>
    </row>
    <row r="61" spans="1:35" x14ac:dyDescent="0.35">
      <c r="B61" s="116" t="s">
        <v>3219</v>
      </c>
      <c r="C61" s="116" t="s">
        <v>115</v>
      </c>
      <c r="D61" s="116" t="s">
        <v>3236</v>
      </c>
      <c r="E61" s="116" t="s">
        <v>2094</v>
      </c>
      <c r="F61" s="116" t="s">
        <v>3237</v>
      </c>
      <c r="H61" s="120" t="str">
        <f>Settings!$B$3&amp;".mit.eco2.blk.nfm.1"</f>
        <v>egy.mit.eco2.blk.nfm.1</v>
      </c>
      <c r="I61" s="116" t="s">
        <v>2315</v>
      </c>
      <c r="L61" s="122">
        <f>Mitigation_Industry!L376-SUMPRODUCT((Mitigation_Industry!L337:L337+Mitigation_Industry!L359:L359)*Mitigation_Industry!$I$271:$I$271/(Mitigation_Industry!$F$337:$F$337+(Mitigation_Industry!$F$337:$F$337=0))*'Manual inputs'!$E$95:$E$95)</f>
        <v>4.2047573055412055E-2</v>
      </c>
      <c r="M61" s="122">
        <f>Mitigation_Industry!M376-SUMPRODUCT((Mitigation_Industry!M337:M337+Mitigation_Industry!M359:M359)*Mitigation_Industry!$I$271:$I$271/(Mitigation_Industry!$F$337:$F$337+(Mitigation_Industry!$F$337:$F$337=0))*'Manual inputs'!$E$95:$E$95)</f>
        <v>4.4360189573459712E-2</v>
      </c>
      <c r="N61" s="122">
        <f>Mitigation_Industry!N376-SUMPRODUCT((Mitigation_Industry!N337:N337+Mitigation_Industry!N359:N359)*Mitigation_Industry!$I$271:$I$271/(Mitigation_Industry!$F$337:$F$337+(Mitigation_Industry!$F$337:$F$337=0))*'Manual inputs'!$E$95:$E$95)</f>
        <v>4.6799999999999994E-2</v>
      </c>
      <c r="O61" s="122">
        <f>Mitigation_Industry!O376-SUMPRODUCT((Mitigation_Industry!O337:O337+Mitigation_Industry!O359:O359)*Mitigation_Industry!$I$271:$I$271/(Mitigation_Industry!$F$337:$F$337+(Mitigation_Industry!$F$337:$F$337=0))*'Manual inputs'!$E$95:$E$95)</f>
        <v>4.9374000000000001E-2</v>
      </c>
      <c r="P61" s="122">
        <f>Mitigation_Industry!P376-SUMPRODUCT((Mitigation_Industry!P337:P337+Mitigation_Industry!P359:P359)*Mitigation_Industry!$I$271:$I$271/(Mitigation_Industry!$F$337:$F$337+(Mitigation_Industry!$F$337:$F$337=0))*'Manual inputs'!$E$95:$E$95)</f>
        <v>5.2089569999999995E-2</v>
      </c>
      <c r="Q61" s="122">
        <f>Mitigation_Industry!Q376-SUMPRODUCT((Mitigation_Industry!Q337:Q337+Mitigation_Industry!Q359:Q359)*Mitigation_Industry!$I$271:$I$271/(Mitigation_Industry!$F$337:$F$337+(Mitigation_Industry!$F$337:$F$337=0))*'Manual inputs'!$E$95:$E$95)</f>
        <v>5.4954496349999986E-2</v>
      </c>
      <c r="R61" s="122">
        <f>Mitigation_Industry!R376-SUMPRODUCT((Mitigation_Industry!R337:R337+Mitigation_Industry!R359:R359)*Mitigation_Industry!$I$271:$I$271/(Mitigation_Industry!$F$337:$F$337+(Mitigation_Industry!$F$337:$F$337=0))*'Manual inputs'!$E$95:$E$95)</f>
        <v>5.7976993649249998E-2</v>
      </c>
      <c r="S61" s="122">
        <f>Mitigation_Industry!S376-SUMPRODUCT((Mitigation_Industry!S337:S337+Mitigation_Industry!S359:S359)*Mitigation_Industry!$I$271:$I$271/(Mitigation_Industry!$F$337:$F$337+(Mitigation_Industry!$F$337:$F$337=0))*'Manual inputs'!$E$95:$E$95)</f>
        <v>6.1165728299958734E-2</v>
      </c>
      <c r="T61" s="122">
        <f>Mitigation_Industry!T376-SUMPRODUCT((Mitigation_Industry!T337:T337+Mitigation_Industry!T359:T359)*Mitigation_Industry!$I$271:$I$271/(Mitigation_Industry!$F$337:$F$337+(Mitigation_Industry!$F$337:$F$337=0))*'Manual inputs'!$E$95:$E$95)</f>
        <v>6.4529843356456465E-2</v>
      </c>
      <c r="U61" s="122">
        <f>Mitigation_Industry!U376-SUMPRODUCT((Mitigation_Industry!U337:U337+Mitigation_Industry!U359:U359)*Mitigation_Industry!$I$271:$I$271/(Mitigation_Industry!$F$337:$F$337+(Mitigation_Industry!$F$337:$F$337=0))*'Manual inputs'!$E$95:$E$95)</f>
        <v>6.8078984741061555E-2</v>
      </c>
      <c r="V61" s="122">
        <f>Mitigation_Industry!V376-SUMPRODUCT((Mitigation_Industry!V337:V337+Mitigation_Industry!V359:V359)*Mitigation_Industry!$I$271:$I$271/(Mitigation_Industry!$F$337:$F$337+(Mitigation_Industry!$F$337:$F$337=0))*'Manual inputs'!$E$95:$E$95)</f>
        <v>7.1823328901819944E-2</v>
      </c>
      <c r="W61" s="122">
        <f>Mitigation_Industry!W376-SUMPRODUCT((Mitigation_Industry!W337:W337+Mitigation_Industry!W359:W359)*Mitigation_Industry!$I$271:$I$271/(Mitigation_Industry!$F$337:$F$337+(Mitigation_Industry!$F$337:$F$337=0))*'Manual inputs'!$E$95:$E$95)</f>
        <v>7.5773611991420048E-2</v>
      </c>
      <c r="X61" s="122">
        <f>Mitigation_Industry!X376-SUMPRODUCT((Mitigation_Industry!X337:X337+Mitigation_Industry!X359:X359)*Mitigation_Industry!$I$271:$I$271/(Mitigation_Industry!$F$337:$F$337+(Mitigation_Industry!$F$337:$F$337=0))*'Manual inputs'!$E$95:$E$95)</f>
        <v>7.9941160650948154E-2</v>
      </c>
      <c r="Y61" s="122">
        <f>Mitigation_Industry!Y376-SUMPRODUCT((Mitigation_Industry!Y337:Y337+Mitigation_Industry!Y359:Y359)*Mitigation_Industry!$I$271:$I$271/(Mitigation_Industry!$F$337:$F$337+(Mitigation_Industry!$F$337:$F$337=0))*'Manual inputs'!$E$95:$E$95)</f>
        <v>8.4337924486750301E-2</v>
      </c>
      <c r="Z61" s="122">
        <f>Mitigation_Industry!Z376-SUMPRODUCT((Mitigation_Industry!Z337:Z337+Mitigation_Industry!Z359:Z359)*Mitigation_Industry!$I$271:$I$271/(Mitigation_Industry!$F$337:$F$337+(Mitigation_Industry!$F$337:$F$337=0))*'Manual inputs'!$E$95:$E$95)</f>
        <v>8.8976510333521566E-2</v>
      </c>
      <c r="AA61" s="122">
        <f>Mitigation_Industry!AA376-SUMPRODUCT((Mitigation_Industry!AA337:AA337+Mitigation_Industry!AA359:AA359)*Mitigation_Industry!$I$271:$I$271/(Mitigation_Industry!$F$337:$F$337+(Mitigation_Industry!$F$337:$F$337=0))*'Manual inputs'!$E$95:$E$95)</f>
        <v>9.3870218401865227E-2</v>
      </c>
      <c r="AB61" s="122">
        <f>Mitigation_Industry!AB376-SUMPRODUCT((Mitigation_Industry!AB337:AB337+Mitigation_Industry!AB359:AB359)*Mitigation_Industry!$I$271:$I$271/(Mitigation_Industry!$F$337:$F$337+(Mitigation_Industry!$F$337:$F$337=0))*'Manual inputs'!$E$95:$E$95)</f>
        <v>9.9033080413967828E-2</v>
      </c>
      <c r="AC61" s="122">
        <f>Mitigation_Industry!AC376-SUMPRODUCT((Mitigation_Industry!AC337:AC337+Mitigation_Industry!AC359:AC359)*Mitigation_Industry!$I$271:$I$271/(Mitigation_Industry!$F$337:$F$337+(Mitigation_Industry!$F$337:$F$337=0))*'Manual inputs'!$E$95:$E$95)</f>
        <v>0.10447989983673604</v>
      </c>
      <c r="AD61" s="122">
        <f>Mitigation_Industry!AD376-SUMPRODUCT((Mitigation_Industry!AD337:AD337+Mitigation_Industry!AD359:AD359)*Mitigation_Industry!$I$271:$I$271/(Mitigation_Industry!$F$337:$F$337+(Mitigation_Industry!$F$337:$F$337=0))*'Manual inputs'!$E$95:$E$95)</f>
        <v>0.11022629432775652</v>
      </c>
      <c r="AE61" s="122">
        <f>Mitigation_Industry!AE376-SUMPRODUCT((Mitigation_Industry!AE337:AE337+Mitigation_Industry!AE359:AE359)*Mitigation_Industry!$I$271:$I$271/(Mitigation_Industry!$F$337:$F$337+(Mitigation_Industry!$F$337:$F$337=0))*'Manual inputs'!$E$95:$E$95)</f>
        <v>0.11628874051578311</v>
      </c>
    </row>
    <row r="62" spans="1:35" x14ac:dyDescent="0.35">
      <c r="B62" s="116" t="s">
        <v>110</v>
      </c>
      <c r="C62" s="116" t="s">
        <v>115</v>
      </c>
      <c r="D62" s="116" t="s">
        <v>3238</v>
      </c>
      <c r="E62" s="116" t="s">
        <v>2094</v>
      </c>
      <c r="F62" s="116" t="s">
        <v>3239</v>
      </c>
      <c r="I62" s="116" t="s">
        <v>2189</v>
      </c>
      <c r="L62" s="122">
        <f>Emissions_Industry!L39</f>
        <v>0</v>
      </c>
      <c r="M62" s="122">
        <f>Emissions_Industry!M39</f>
        <v>0</v>
      </c>
      <c r="N62" s="122">
        <f>Emissions_Industry!N39</f>
        <v>0</v>
      </c>
      <c r="O62" s="122">
        <f>Emissions_Industry!O39</f>
        <v>0</v>
      </c>
      <c r="P62" s="122">
        <f>Emissions_Industry!P39</f>
        <v>0</v>
      </c>
      <c r="Q62" s="122">
        <f>Emissions_Industry!Q39</f>
        <v>0</v>
      </c>
      <c r="R62" s="122">
        <f>Emissions_Industry!R39</f>
        <v>0</v>
      </c>
      <c r="S62" s="122">
        <f>Emissions_Industry!S39</f>
        <v>0</v>
      </c>
      <c r="T62" s="122">
        <f>Emissions_Industry!T39</f>
        <v>0</v>
      </c>
      <c r="U62" s="122">
        <f>Emissions_Industry!U39</f>
        <v>0</v>
      </c>
      <c r="V62" s="122">
        <f>Emissions_Industry!V39</f>
        <v>0</v>
      </c>
      <c r="W62" s="122">
        <f>Emissions_Industry!W39</f>
        <v>0</v>
      </c>
      <c r="X62" s="122">
        <f>Emissions_Industry!X39</f>
        <v>0</v>
      </c>
      <c r="Y62" s="122">
        <f>Emissions_Industry!Y39</f>
        <v>0</v>
      </c>
      <c r="Z62" s="122">
        <f>Emissions_Industry!Z39</f>
        <v>0</v>
      </c>
      <c r="AA62" s="122">
        <f>Emissions_Industry!AA39</f>
        <v>0</v>
      </c>
      <c r="AB62" s="122">
        <f>Emissions_Industry!AB39</f>
        <v>0</v>
      </c>
      <c r="AC62" s="122">
        <f>Emissions_Industry!AC39</f>
        <v>0</v>
      </c>
      <c r="AD62" s="122">
        <f>Emissions_Industry!AD39</f>
        <v>0</v>
      </c>
      <c r="AE62" s="122">
        <f>Emissions_Industry!AE39</f>
        <v>0</v>
      </c>
    </row>
    <row r="63" spans="1:35" x14ac:dyDescent="0.35">
      <c r="B63" s="116" t="s">
        <v>3224</v>
      </c>
      <c r="C63" s="116" t="s">
        <v>115</v>
      </c>
      <c r="D63" s="116" t="s">
        <v>3240</v>
      </c>
      <c r="E63" s="116" t="s">
        <v>2094</v>
      </c>
      <c r="H63" s="120" t="str">
        <f>Settings!$B$3&amp;".mit.eco2.gap.nfm.1"</f>
        <v>egy.mit.eco2.gap.nfm.1</v>
      </c>
      <c r="I63" s="116" t="s">
        <v>3226</v>
      </c>
      <c r="L63" s="122">
        <f t="shared" ref="L63:AE63" si="18">L62-L61</f>
        <v>-4.2047573055412055E-2</v>
      </c>
      <c r="M63" s="122">
        <f t="shared" si="18"/>
        <v>-4.4360189573459712E-2</v>
      </c>
      <c r="N63" s="122">
        <f t="shared" si="18"/>
        <v>-4.6799999999999994E-2</v>
      </c>
      <c r="O63" s="122">
        <f t="shared" si="18"/>
        <v>-4.9374000000000001E-2</v>
      </c>
      <c r="P63" s="122">
        <f t="shared" si="18"/>
        <v>-5.2089569999999995E-2</v>
      </c>
      <c r="Q63" s="122">
        <f t="shared" si="18"/>
        <v>-5.4954496349999986E-2</v>
      </c>
      <c r="R63" s="122">
        <f t="shared" si="18"/>
        <v>-5.7976993649249998E-2</v>
      </c>
      <c r="S63" s="122">
        <f t="shared" si="18"/>
        <v>-6.1165728299958734E-2</v>
      </c>
      <c r="T63" s="122">
        <f t="shared" si="18"/>
        <v>-6.4529843356456465E-2</v>
      </c>
      <c r="U63" s="122">
        <f t="shared" si="18"/>
        <v>-6.8078984741061555E-2</v>
      </c>
      <c r="V63" s="122">
        <f t="shared" si="18"/>
        <v>-7.1823328901819944E-2</v>
      </c>
      <c r="W63" s="122">
        <f t="shared" si="18"/>
        <v>-7.5773611991420048E-2</v>
      </c>
      <c r="X63" s="122">
        <f t="shared" si="18"/>
        <v>-7.9941160650948154E-2</v>
      </c>
      <c r="Y63" s="122">
        <f t="shared" si="18"/>
        <v>-8.4337924486750301E-2</v>
      </c>
      <c r="Z63" s="122">
        <f t="shared" si="18"/>
        <v>-8.8976510333521566E-2</v>
      </c>
      <c r="AA63" s="122">
        <f t="shared" si="18"/>
        <v>-9.3870218401865227E-2</v>
      </c>
      <c r="AB63" s="122">
        <f t="shared" si="18"/>
        <v>-9.9033080413967828E-2</v>
      </c>
      <c r="AC63" s="122">
        <f t="shared" si="18"/>
        <v>-0.10447989983673604</v>
      </c>
      <c r="AD63" s="122">
        <f t="shared" si="18"/>
        <v>-0.11022629432775652</v>
      </c>
      <c r="AE63" s="122">
        <f t="shared" si="18"/>
        <v>-0.11628874051578311</v>
      </c>
    </row>
    <row r="64" spans="1:35" x14ac:dyDescent="0.35">
      <c r="B64" s="116" t="s">
        <v>3227</v>
      </c>
      <c r="C64" s="116" t="s">
        <v>115</v>
      </c>
      <c r="D64" s="116" t="s">
        <v>3241</v>
      </c>
      <c r="E64" s="116" t="s">
        <v>87</v>
      </c>
      <c r="H64" s="120" t="str">
        <f>Settings!$B$3&amp;".mit.eco2.rblk.nfm.1"</f>
        <v>egy.mit.eco2.rblk.nfm.1</v>
      </c>
      <c r="I64" s="116" t="s">
        <v>3229</v>
      </c>
      <c r="L64" s="148">
        <f t="shared" ref="L64:AE64" si="19">IF(L62=0,0,L61/L62)</f>
        <v>0</v>
      </c>
      <c r="M64" s="148">
        <f t="shared" si="19"/>
        <v>0</v>
      </c>
      <c r="N64" s="148">
        <f t="shared" si="19"/>
        <v>0</v>
      </c>
      <c r="O64" s="148">
        <f t="shared" si="19"/>
        <v>0</v>
      </c>
      <c r="P64" s="148">
        <f t="shared" si="19"/>
        <v>0</v>
      </c>
      <c r="Q64" s="148">
        <f t="shared" si="19"/>
        <v>0</v>
      </c>
      <c r="R64" s="148">
        <f t="shared" si="19"/>
        <v>0</v>
      </c>
      <c r="S64" s="148">
        <f t="shared" si="19"/>
        <v>0</v>
      </c>
      <c r="T64" s="148">
        <f t="shared" si="19"/>
        <v>0</v>
      </c>
      <c r="U64" s="148">
        <f t="shared" si="19"/>
        <v>0</v>
      </c>
      <c r="V64" s="148">
        <f t="shared" si="19"/>
        <v>0</v>
      </c>
      <c r="W64" s="148">
        <f t="shared" si="19"/>
        <v>0</v>
      </c>
      <c r="X64" s="148">
        <f t="shared" si="19"/>
        <v>0</v>
      </c>
      <c r="Y64" s="148">
        <f t="shared" si="19"/>
        <v>0</v>
      </c>
      <c r="Z64" s="148">
        <f t="shared" si="19"/>
        <v>0</v>
      </c>
      <c r="AA64" s="148">
        <f t="shared" si="19"/>
        <v>0</v>
      </c>
      <c r="AB64" s="148">
        <f t="shared" si="19"/>
        <v>0</v>
      </c>
      <c r="AC64" s="148">
        <f t="shared" si="19"/>
        <v>0</v>
      </c>
      <c r="AD64" s="148">
        <f t="shared" si="19"/>
        <v>0</v>
      </c>
      <c r="AE64" s="148">
        <f t="shared" si="19"/>
        <v>0</v>
      </c>
    </row>
    <row r="66" spans="1:35" x14ac:dyDescent="0.35">
      <c r="B66" s="116" t="s">
        <v>3219</v>
      </c>
      <c r="C66" s="116" t="s">
        <v>117</v>
      </c>
      <c r="D66" s="116" t="s">
        <v>3242</v>
      </c>
      <c r="E66" s="116" t="s">
        <v>2094</v>
      </c>
      <c r="F66" s="116" t="s">
        <v>3243</v>
      </c>
      <c r="H66" s="120" t="str">
        <f>Settings!$B$3&amp;".mit.eco2.blk.mch.1"</f>
        <v>egy.mit.eco2.blk.mch.1</v>
      </c>
      <c r="I66" s="116" t="s">
        <v>2325</v>
      </c>
      <c r="L66" s="122">
        <f>Mitigation_Industry!L374-SUMPRODUCT((Mitigation_Industry!L334:L336+Mitigation_Industry!L356:L358)*Mitigation_Industry!$I$268:$I$270/(Mitigation_Industry!$F$334:$F$336+(Mitigation_Industry!$F$334:$F$336=0))*'Manual inputs'!$E$92:$E$94)</f>
        <v>1.0363485702030859</v>
      </c>
      <c r="M66" s="122">
        <f>Mitigation_Industry!M374-SUMPRODUCT((Mitigation_Industry!M334:M336+Mitigation_Industry!M356:M358)*Mitigation_Industry!$I$268:$I$270/(Mitigation_Industry!$F$334:$F$336+(Mitigation_Industry!$F$334:$F$336=0))*'Manual inputs'!$E$92:$E$94)</f>
        <v>1.0591482387475537</v>
      </c>
      <c r="N66" s="122">
        <f>Mitigation_Industry!N374-SUMPRODUCT((Mitigation_Industry!N334:N336+Mitigation_Industry!N356:N358)*Mitigation_Industry!$I$268:$I$270/(Mitigation_Industry!$F$334:$F$336+(Mitigation_Industry!$F$334:$F$336=0))*'Manual inputs'!$E$92:$E$94)</f>
        <v>1.0824495000000001</v>
      </c>
      <c r="O66" s="122">
        <f>Mitigation_Industry!O374-SUMPRODUCT((Mitigation_Industry!O334:O336+Mitigation_Industry!O356:O358)*Mitigation_Industry!$I$268:$I$270/(Mitigation_Industry!$F$334:$F$336+(Mitigation_Industry!$F$334:$F$336=0))*'Manual inputs'!$E$92:$E$94)</f>
        <v>1.106263389</v>
      </c>
      <c r="P66" s="122">
        <f>Mitigation_Industry!P374-SUMPRODUCT((Mitigation_Industry!P334:P336+Mitigation_Industry!P356:P358)*Mitigation_Industry!$I$268:$I$270/(Mitigation_Industry!$F$334:$F$336+(Mitigation_Industry!$F$334:$F$336=0))*'Manual inputs'!$E$92:$E$94)</f>
        <v>1.1306011835579999</v>
      </c>
      <c r="Q66" s="122">
        <f>Mitigation_Industry!Q374-SUMPRODUCT((Mitigation_Industry!Q334:Q336+Mitigation_Industry!Q356:Q358)*Mitigation_Industry!$I$268:$I$270/(Mitigation_Industry!$F$334:$F$336+(Mitigation_Industry!$F$334:$F$336=0))*'Manual inputs'!$E$92:$E$94)</f>
        <v>1.1554744095962763</v>
      </c>
      <c r="R66" s="122">
        <f>Mitigation_Industry!R374-SUMPRODUCT((Mitigation_Industry!R334:R336+Mitigation_Industry!R356:R358)*Mitigation_Industry!$I$268:$I$270/(Mitigation_Industry!$F$334:$F$336+(Mitigation_Industry!$F$334:$F$336=0))*'Manual inputs'!$E$92:$E$94)</f>
        <v>1.1808948466073943</v>
      </c>
      <c r="S66" s="122">
        <f>Mitigation_Industry!S374-SUMPRODUCT((Mitigation_Industry!S334:S336+Mitigation_Industry!S356:S358)*Mitigation_Industry!$I$268:$I$270/(Mitigation_Industry!$F$334:$F$336+(Mitigation_Industry!$F$334:$F$336=0))*'Manual inputs'!$E$92:$E$94)</f>
        <v>1.2068745332327566</v>
      </c>
      <c r="T66" s="122">
        <f>Mitigation_Industry!T374-SUMPRODUCT((Mitigation_Industry!T334:T336+Mitigation_Industry!T356:T358)*Mitigation_Industry!$I$268:$I$270/(Mitigation_Industry!$F$334:$F$336+(Mitigation_Industry!$F$334:$F$336=0))*'Manual inputs'!$E$92:$E$94)</f>
        <v>1.2334257729638765</v>
      </c>
      <c r="U66" s="122">
        <f>Mitigation_Industry!U374-SUMPRODUCT((Mitigation_Industry!U334:U336+Mitigation_Industry!U356:U358)*Mitigation_Industry!$I$268:$I$270/(Mitigation_Industry!$F$334:$F$336+(Mitigation_Industry!$F$334:$F$336=0))*'Manual inputs'!$E$92:$E$94)</f>
        <v>1.2605611399690826</v>
      </c>
      <c r="V66" s="122">
        <f>Mitigation_Industry!V374-SUMPRODUCT((Mitigation_Industry!V334:V336+Mitigation_Industry!V356:V358)*Mitigation_Industry!$I$268:$I$270/(Mitigation_Industry!$F$334:$F$336+(Mitigation_Industry!$F$334:$F$336=0))*'Manual inputs'!$E$92:$E$94)</f>
        <v>1.2882934850484027</v>
      </c>
      <c r="W66" s="122">
        <f>Mitigation_Industry!W374-SUMPRODUCT((Mitigation_Industry!W334:W336+Mitigation_Industry!W356:W358)*Mitigation_Industry!$I$268:$I$270/(Mitigation_Industry!$F$334:$F$336+(Mitigation_Industry!$F$334:$F$336=0))*'Manual inputs'!$E$92:$E$94)</f>
        <v>1.3166359417194671</v>
      </c>
      <c r="X66" s="122">
        <f>Mitigation_Industry!X374-SUMPRODUCT((Mitigation_Industry!X334:X336+Mitigation_Industry!X356:X358)*Mitigation_Industry!$I$268:$I$270/(Mitigation_Industry!$F$334:$F$336+(Mitigation_Industry!$F$334:$F$336=0))*'Manual inputs'!$E$92:$E$94)</f>
        <v>1.3456019324372956</v>
      </c>
      <c r="Y66" s="122">
        <f>Mitigation_Industry!Y374-SUMPRODUCT((Mitigation_Industry!Y334:Y336+Mitigation_Industry!Y356:Y358)*Mitigation_Industry!$I$268:$I$270/(Mitigation_Industry!$F$334:$F$336+(Mitigation_Industry!$F$334:$F$336=0))*'Manual inputs'!$E$92:$E$94)</f>
        <v>1.3752051749509167</v>
      </c>
      <c r="Z66" s="122">
        <f>Mitigation_Industry!Z374-SUMPRODUCT((Mitigation_Industry!Z334:Z336+Mitigation_Industry!Z356:Z358)*Mitigation_Industry!$I$268:$I$270/(Mitigation_Industry!$F$334:$F$336+(Mitigation_Industry!$F$334:$F$336=0))*'Manual inputs'!$E$92:$E$94)</f>
        <v>1.4054596887998367</v>
      </c>
      <c r="AA66" s="122">
        <f>Mitigation_Industry!AA374-SUMPRODUCT((Mitigation_Industry!AA334:AA336+Mitigation_Industry!AA356:AA358)*Mitigation_Industry!$I$268:$I$270/(Mitigation_Industry!$F$334:$F$336+(Mitigation_Industry!$F$334:$F$336=0))*'Manual inputs'!$E$92:$E$94)</f>
        <v>1.4363798019534326</v>
      </c>
      <c r="AB66" s="122">
        <f>Mitigation_Industry!AB374-SUMPRODUCT((Mitigation_Industry!AB334:AB336+Mitigation_Industry!AB356:AB358)*Mitigation_Industry!$I$268:$I$270/(Mitigation_Industry!$F$334:$F$336+(Mitigation_Industry!$F$334:$F$336=0))*'Manual inputs'!$E$92:$E$94)</f>
        <v>1.4679801575964078</v>
      </c>
      <c r="AC66" s="122">
        <f>Mitigation_Industry!AC374-SUMPRODUCT((Mitigation_Industry!AC334:AC336+Mitigation_Industry!AC356:AC358)*Mitigation_Industry!$I$268:$I$270/(Mitigation_Industry!$F$334:$F$336+(Mitigation_Industry!$F$334:$F$336=0))*'Manual inputs'!$E$92:$E$94)</f>
        <v>1.50027572106353</v>
      </c>
      <c r="AD66" s="122">
        <f>Mitigation_Industry!AD374-SUMPRODUCT((Mitigation_Industry!AD334:AD336+Mitigation_Industry!AD356:AD358)*Mitigation_Industry!$I$268:$I$270/(Mitigation_Industry!$F$334:$F$336+(Mitigation_Industry!$F$334:$F$336=0))*'Manual inputs'!$E$92:$E$94)</f>
        <v>1.5332817869269277</v>
      </c>
      <c r="AE66" s="122">
        <f>Mitigation_Industry!AE374-SUMPRODUCT((Mitigation_Industry!AE334:AE336+Mitigation_Industry!AE356:AE358)*Mitigation_Industry!$I$268:$I$270/(Mitigation_Industry!$F$334:$F$336+(Mitigation_Industry!$F$334:$F$336=0))*'Manual inputs'!$E$92:$E$94)</f>
        <v>1.5670139862393202</v>
      </c>
    </row>
    <row r="67" spans="1:35" x14ac:dyDescent="0.35">
      <c r="B67" s="116" t="s">
        <v>110</v>
      </c>
      <c r="C67" s="116" t="s">
        <v>117</v>
      </c>
      <c r="D67" s="116" t="s">
        <v>3244</v>
      </c>
      <c r="E67" s="116" t="s">
        <v>2094</v>
      </c>
      <c r="F67" s="116" t="s">
        <v>3245</v>
      </c>
      <c r="I67" s="116" t="s">
        <v>2192</v>
      </c>
      <c r="L67" s="122">
        <f>Emissions_Industry!L51</f>
        <v>0</v>
      </c>
      <c r="M67" s="122">
        <f>Emissions_Industry!M51</f>
        <v>0</v>
      </c>
      <c r="N67" s="122">
        <f>Emissions_Industry!N51</f>
        <v>0</v>
      </c>
      <c r="O67" s="122">
        <f>Emissions_Industry!O51</f>
        <v>0</v>
      </c>
      <c r="P67" s="122">
        <f>Emissions_Industry!P51</f>
        <v>0</v>
      </c>
      <c r="Q67" s="122">
        <f>Emissions_Industry!Q51</f>
        <v>0</v>
      </c>
      <c r="R67" s="122">
        <f>Emissions_Industry!R51</f>
        <v>0</v>
      </c>
      <c r="S67" s="122">
        <f>Emissions_Industry!S51</f>
        <v>0</v>
      </c>
      <c r="T67" s="122">
        <f>Emissions_Industry!T51</f>
        <v>0</v>
      </c>
      <c r="U67" s="122">
        <f>Emissions_Industry!U51</f>
        <v>0</v>
      </c>
      <c r="V67" s="122">
        <f>Emissions_Industry!V51</f>
        <v>0</v>
      </c>
      <c r="W67" s="122">
        <f>Emissions_Industry!W51</f>
        <v>0</v>
      </c>
      <c r="X67" s="122">
        <f>Emissions_Industry!X51</f>
        <v>0</v>
      </c>
      <c r="Y67" s="122">
        <f>Emissions_Industry!Y51</f>
        <v>0</v>
      </c>
      <c r="Z67" s="122">
        <f>Emissions_Industry!Z51</f>
        <v>0</v>
      </c>
      <c r="AA67" s="122">
        <f>Emissions_Industry!AA51</f>
        <v>0</v>
      </c>
      <c r="AB67" s="122">
        <f>Emissions_Industry!AB51</f>
        <v>0</v>
      </c>
      <c r="AC67" s="122">
        <f>Emissions_Industry!AC51</f>
        <v>0</v>
      </c>
      <c r="AD67" s="122">
        <f>Emissions_Industry!AD51</f>
        <v>0</v>
      </c>
      <c r="AE67" s="122">
        <f>Emissions_Industry!AE51</f>
        <v>0</v>
      </c>
    </row>
    <row r="68" spans="1:35" x14ac:dyDescent="0.35">
      <c r="B68" s="116" t="s">
        <v>3224</v>
      </c>
      <c r="C68" s="116" t="s">
        <v>117</v>
      </c>
      <c r="D68" s="116" t="s">
        <v>3246</v>
      </c>
      <c r="E68" s="116" t="s">
        <v>2094</v>
      </c>
      <c r="H68" s="120" t="str">
        <f>Settings!$B$3&amp;".mit.eco2.gap.mch.1"</f>
        <v>egy.mit.eco2.gap.mch.1</v>
      </c>
      <c r="I68" s="116" t="s">
        <v>3226</v>
      </c>
      <c r="L68" s="122">
        <f t="shared" ref="L68:AE68" si="20">L67-L66</f>
        <v>-1.0363485702030859</v>
      </c>
      <c r="M68" s="122">
        <f t="shared" si="20"/>
        <v>-1.0591482387475537</v>
      </c>
      <c r="N68" s="122">
        <f t="shared" si="20"/>
        <v>-1.0824495000000001</v>
      </c>
      <c r="O68" s="122">
        <f t="shared" si="20"/>
        <v>-1.106263389</v>
      </c>
      <c r="P68" s="122">
        <f t="shared" si="20"/>
        <v>-1.1306011835579999</v>
      </c>
      <c r="Q68" s="122">
        <f t="shared" si="20"/>
        <v>-1.1554744095962763</v>
      </c>
      <c r="R68" s="122">
        <f t="shared" si="20"/>
        <v>-1.1808948466073943</v>
      </c>
      <c r="S68" s="122">
        <f t="shared" si="20"/>
        <v>-1.2068745332327566</v>
      </c>
      <c r="T68" s="122">
        <f t="shared" si="20"/>
        <v>-1.2334257729638765</v>
      </c>
      <c r="U68" s="122">
        <f t="shared" si="20"/>
        <v>-1.2605611399690826</v>
      </c>
      <c r="V68" s="122">
        <f t="shared" si="20"/>
        <v>-1.2882934850484027</v>
      </c>
      <c r="W68" s="122">
        <f t="shared" si="20"/>
        <v>-1.3166359417194671</v>
      </c>
      <c r="X68" s="122">
        <f t="shared" si="20"/>
        <v>-1.3456019324372956</v>
      </c>
      <c r="Y68" s="122">
        <f t="shared" si="20"/>
        <v>-1.3752051749509167</v>
      </c>
      <c r="Z68" s="122">
        <f t="shared" si="20"/>
        <v>-1.4054596887998367</v>
      </c>
      <c r="AA68" s="122">
        <f t="shared" si="20"/>
        <v>-1.4363798019534326</v>
      </c>
      <c r="AB68" s="122">
        <f t="shared" si="20"/>
        <v>-1.4679801575964078</v>
      </c>
      <c r="AC68" s="122">
        <f t="shared" si="20"/>
        <v>-1.50027572106353</v>
      </c>
      <c r="AD68" s="122">
        <f t="shared" si="20"/>
        <v>-1.5332817869269277</v>
      </c>
      <c r="AE68" s="122">
        <f t="shared" si="20"/>
        <v>-1.5670139862393202</v>
      </c>
    </row>
    <row r="69" spans="1:35" x14ac:dyDescent="0.35">
      <c r="B69" s="116" t="s">
        <v>3227</v>
      </c>
      <c r="C69" s="116" t="s">
        <v>117</v>
      </c>
      <c r="D69" s="116" t="s">
        <v>3247</v>
      </c>
      <c r="E69" s="116" t="s">
        <v>87</v>
      </c>
      <c r="H69" s="120" t="str">
        <f>Settings!$B$3&amp;".mit.eco2.rblk.mch.1"</f>
        <v>egy.mit.eco2.rblk.mch.1</v>
      </c>
      <c r="I69" s="116" t="s">
        <v>3229</v>
      </c>
      <c r="L69" s="148">
        <f t="shared" ref="L69:AE69" si="21">IF(L67=0,0,L66/L67)</f>
        <v>0</v>
      </c>
      <c r="M69" s="148">
        <f t="shared" si="21"/>
        <v>0</v>
      </c>
      <c r="N69" s="148">
        <f t="shared" si="21"/>
        <v>0</v>
      </c>
      <c r="O69" s="148">
        <f t="shared" si="21"/>
        <v>0</v>
      </c>
      <c r="P69" s="148">
        <f t="shared" si="21"/>
        <v>0</v>
      </c>
      <c r="Q69" s="148">
        <f t="shared" si="21"/>
        <v>0</v>
      </c>
      <c r="R69" s="148">
        <f t="shared" si="21"/>
        <v>0</v>
      </c>
      <c r="S69" s="148">
        <f t="shared" si="21"/>
        <v>0</v>
      </c>
      <c r="T69" s="148">
        <f t="shared" si="21"/>
        <v>0</v>
      </c>
      <c r="U69" s="148">
        <f t="shared" si="21"/>
        <v>0</v>
      </c>
      <c r="V69" s="148">
        <f t="shared" si="21"/>
        <v>0</v>
      </c>
      <c r="W69" s="148">
        <f t="shared" si="21"/>
        <v>0</v>
      </c>
      <c r="X69" s="148">
        <f t="shared" si="21"/>
        <v>0</v>
      </c>
      <c r="Y69" s="148">
        <f t="shared" si="21"/>
        <v>0</v>
      </c>
      <c r="Z69" s="148">
        <f t="shared" si="21"/>
        <v>0</v>
      </c>
      <c r="AA69" s="148">
        <f t="shared" si="21"/>
        <v>0</v>
      </c>
      <c r="AB69" s="148">
        <f t="shared" si="21"/>
        <v>0</v>
      </c>
      <c r="AC69" s="148">
        <f t="shared" si="21"/>
        <v>0</v>
      </c>
      <c r="AD69" s="148">
        <f t="shared" si="21"/>
        <v>0</v>
      </c>
      <c r="AE69" s="148">
        <f t="shared" si="21"/>
        <v>0</v>
      </c>
    </row>
    <row r="72" spans="1:35" customFormat="1" ht="18" customHeight="1" x14ac:dyDescent="0.45">
      <c r="A72" s="8"/>
      <c r="B72" s="9" t="s">
        <v>3248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1504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6" t="s">
        <v>3219</v>
      </c>
      <c r="C75" s="116" t="s">
        <v>43</v>
      </c>
      <c r="D75" s="116" t="s">
        <v>3220</v>
      </c>
      <c r="E75" s="116" t="s">
        <v>2094</v>
      </c>
      <c r="F75" s="116" t="s">
        <v>3249</v>
      </c>
      <c r="H75" s="120" t="str">
        <f>Settings!$B$3&amp;".mit.eco2.blk.irn.2"</f>
        <v>egy.mit.eco2.blk.irn.2</v>
      </c>
      <c r="I75" s="116" t="s">
        <v>2280</v>
      </c>
      <c r="L75" s="122">
        <f>Mitigation_Industry!L774-SUMPRODUCT((Mitigation_Industry!L729:L731+Mitigation_Industry!L751:L753)*Mitigation_Industry!$I$663:$I$665/(Mitigation_Industry!$F$729:$F$731+(Mitigation_Industry!$F$729:$F$731=0))*'Manual inputs'!$E$88:$E$90)</f>
        <v>3.8464212577619237</v>
      </c>
      <c r="M75" s="122">
        <f>Mitigation_Industry!M774-SUMPRODUCT((Mitigation_Industry!M729:M731+Mitigation_Industry!M751:M753)*Mitigation_Industry!$I$663:$I$665/(Mitigation_Industry!$F$729:$F$731+(Mitigation_Industry!$F$729:$F$731=0))*'Manual inputs'!$E$88:$E$90)</f>
        <v>4.0156637931034478</v>
      </c>
      <c r="N75" s="122">
        <f>Mitigation_Industry!N774-SUMPRODUCT((Mitigation_Industry!N729:N731+Mitigation_Industry!N751:N753)*Mitigation_Industry!$I$663:$I$665/(Mitigation_Industry!$F$729:$F$731+(Mitigation_Industry!$F$729:$F$731=0))*'Manual inputs'!$E$88:$E$90)</f>
        <v>4.1923530000000007</v>
      </c>
      <c r="O75" s="122">
        <f>Mitigation_Industry!O774-SUMPRODUCT((Mitigation_Industry!O729:O731+Mitigation_Industry!O751:O753)*Mitigation_Industry!$I$663:$I$665/(Mitigation_Industry!$F$729:$F$731+(Mitigation_Industry!$F$729:$F$731=0))*'Manual inputs'!$E$88:$E$90)</f>
        <v>4.3768165320000012</v>
      </c>
      <c r="P75" s="122">
        <f>Mitigation_Industry!P774-SUMPRODUCT((Mitigation_Industry!P729:P731+Mitigation_Industry!P751:P753)*Mitigation_Industry!$I$663:$I$665/(Mitigation_Industry!$F$729:$F$731+(Mitigation_Industry!$F$729:$F$731=0))*'Manual inputs'!$E$88:$E$90)</f>
        <v>4.5693964594080008</v>
      </c>
      <c r="Q75" s="122">
        <f>Mitigation_Industry!Q774-SUMPRODUCT((Mitigation_Industry!Q729:Q731+Mitigation_Industry!Q751:Q753)*Mitigation_Industry!$I$663:$I$665/(Mitigation_Industry!$F$729:$F$731+(Mitigation_Industry!$F$729:$F$731=0))*'Manual inputs'!$E$88:$E$90)</f>
        <v>4.7704499036219534</v>
      </c>
      <c r="R75" s="122">
        <f>Mitigation_Industry!R774-SUMPRODUCT((Mitigation_Industry!R729:R731+Mitigation_Industry!R751:R753)*Mitigation_Industry!$I$663:$I$665/(Mitigation_Industry!$F$729:$F$731+(Mitigation_Industry!$F$729:$F$731=0))*'Manual inputs'!$E$88:$E$90)</f>
        <v>4.9803496993813186</v>
      </c>
      <c r="S75" s="122">
        <f>Mitigation_Industry!S774-SUMPRODUCT((Mitigation_Industry!S729:S731+Mitigation_Industry!S751:S753)*Mitigation_Industry!$I$663:$I$665/(Mitigation_Industry!$F$729:$F$731+(Mitigation_Industry!$F$729:$F$731=0))*'Manual inputs'!$E$88:$E$90)</f>
        <v>5.1994850861540964</v>
      </c>
      <c r="T75" s="122">
        <f>Mitigation_Industry!T774-SUMPRODUCT((Mitigation_Industry!T729:T731+Mitigation_Industry!T751:T753)*Mitigation_Industry!$I$663:$I$665/(Mitigation_Industry!$F$729:$F$731+(Mitigation_Industry!$F$729:$F$731=0))*'Manual inputs'!$E$88:$E$90)</f>
        <v>5.4282624299448763</v>
      </c>
      <c r="U75" s="122">
        <f>Mitigation_Industry!U774-SUMPRODUCT((Mitigation_Industry!U729:U731+Mitigation_Industry!U751:U753)*Mitigation_Industry!$I$663:$I$665/(Mitigation_Industry!$F$729:$F$731+(Mitigation_Industry!$F$729:$F$731=0))*'Manual inputs'!$E$88:$E$90)</f>
        <v>5.6671059768624517</v>
      </c>
      <c r="V75" s="122">
        <f>Mitigation_Industry!V774-SUMPRODUCT((Mitigation_Industry!V729:V731+Mitigation_Industry!V751:V753)*Mitigation_Industry!$I$663:$I$665/(Mitigation_Industry!$F$729:$F$731+(Mitigation_Industry!$F$729:$F$731=0))*'Manual inputs'!$E$88:$E$90)</f>
        <v>5.9164586398444001</v>
      </c>
      <c r="W75" s="122">
        <f>Mitigation_Industry!W774-SUMPRODUCT((Mitigation_Industry!W729:W731+Mitigation_Industry!W751:W753)*Mitigation_Industry!$I$663:$I$665/(Mitigation_Industry!$F$729:$F$731+(Mitigation_Industry!$F$729:$F$731=0))*'Manual inputs'!$E$88:$E$90)</f>
        <v>6.1767828199975536</v>
      </c>
      <c r="X75" s="122">
        <f>Mitigation_Industry!X774-SUMPRODUCT((Mitigation_Industry!X729:X731+Mitigation_Industry!X751:X753)*Mitigation_Industry!$I$663:$I$665/(Mitigation_Industry!$F$729:$F$731+(Mitigation_Industry!$F$729:$F$731=0))*'Manual inputs'!$E$88:$E$90)</f>
        <v>6.4485612640774468</v>
      </c>
      <c r="Y75" s="122">
        <f>Mitigation_Industry!Y774-SUMPRODUCT((Mitigation_Industry!Y729:Y731+Mitigation_Industry!Y751:Y753)*Mitigation_Industry!$I$663:$I$665/(Mitigation_Industry!$F$729:$F$731+(Mitigation_Industry!$F$729:$F$731=0))*'Manual inputs'!$E$88:$E$90)</f>
        <v>6.7322979596968544</v>
      </c>
      <c r="Z75" s="122">
        <f>Mitigation_Industry!Z774-SUMPRODUCT((Mitigation_Industry!Z729:Z731+Mitigation_Industry!Z751:Z753)*Mitigation_Industry!$I$663:$I$665/(Mitigation_Industry!$F$729:$F$731+(Mitigation_Industry!$F$729:$F$731=0))*'Manual inputs'!$E$88:$E$90)</f>
        <v>7.0285190699235152</v>
      </c>
      <c r="AA75" s="122">
        <f>Mitigation_Industry!AA774-SUMPRODUCT((Mitigation_Industry!AA729:AA731+Mitigation_Industry!AA751:AA753)*Mitigation_Industry!$I$663:$I$665/(Mitigation_Industry!$F$729:$F$731+(Mitigation_Industry!$F$729:$F$731=0))*'Manual inputs'!$E$88:$E$90)</f>
        <v>7.3377739090001493</v>
      </c>
      <c r="AB75" s="122">
        <f>Mitigation_Industry!AB774-SUMPRODUCT((Mitigation_Industry!AB729:AB731+Mitigation_Industry!AB751:AB753)*Mitigation_Industry!$I$663:$I$665/(Mitigation_Industry!$F$729:$F$731+(Mitigation_Industry!$F$729:$F$731=0))*'Manual inputs'!$E$88:$E$90)</f>
        <v>7.6606359609961574</v>
      </c>
      <c r="AC75" s="122">
        <f>Mitigation_Industry!AC774-SUMPRODUCT((Mitigation_Industry!AC729:AC731+Mitigation_Industry!AC751:AC753)*Mitigation_Industry!$I$663:$I$665/(Mitigation_Industry!$F$729:$F$731+(Mitigation_Industry!$F$729:$F$731=0))*'Manual inputs'!$E$88:$E$90)</f>
        <v>7.9977039432799879</v>
      </c>
      <c r="AD75" s="122">
        <f>Mitigation_Industry!AD774-SUMPRODUCT((Mitigation_Industry!AD729:AD731+Mitigation_Industry!AD751:AD753)*Mitigation_Industry!$I$663:$I$665/(Mitigation_Industry!$F$729:$F$731+(Mitigation_Industry!$F$729:$F$731=0))*'Manual inputs'!$E$88:$E$90)</f>
        <v>8.3496029167843062</v>
      </c>
      <c r="AE75" s="122">
        <f>Mitigation_Industry!AE774-SUMPRODUCT((Mitigation_Industry!AE729:AE731+Mitigation_Industry!AE751:AE753)*Mitigation_Industry!$I$663:$I$665/(Mitigation_Industry!$F$729:$F$731+(Mitigation_Industry!$F$729:$F$731=0))*'Manual inputs'!$E$88:$E$90)</f>
        <v>8.7169854451228161</v>
      </c>
    </row>
    <row r="76" spans="1:35" x14ac:dyDescent="0.35">
      <c r="B76" s="116" t="s">
        <v>110</v>
      </c>
      <c r="C76" s="116" t="s">
        <v>43</v>
      </c>
      <c r="D76" s="116" t="s">
        <v>3222</v>
      </c>
      <c r="E76" s="116" t="s">
        <v>2094</v>
      </c>
      <c r="F76" s="116" t="s">
        <v>3250</v>
      </c>
      <c r="I76" s="116" t="s">
        <v>3251</v>
      </c>
      <c r="L76" s="122">
        <f>Emissions_Industry!L66</f>
        <v>4.5303835184019645</v>
      </c>
      <c r="M76" s="122">
        <f>Emissions_Industry!M66</f>
        <v>3.8469033618625206</v>
      </c>
      <c r="N76" s="122">
        <f>Emissions_Industry!N66</f>
        <v>4.3290746208215198</v>
      </c>
      <c r="O76" s="122">
        <f>Emissions_Industry!O66</f>
        <v>4.5451606543512009</v>
      </c>
      <c r="P76" s="122">
        <f>Emissions_Industry!P66</f>
        <v>4.6606527233890995</v>
      </c>
      <c r="Q76" s="122">
        <f>Emissions_Industry!Q66</f>
        <v>4.4078296144020142</v>
      </c>
      <c r="R76" s="122">
        <f>Emissions_Industry!R66</f>
        <v>4.246993475594202</v>
      </c>
      <c r="S76" s="122">
        <f>Emissions_Industry!S66</f>
        <v>4.1117536252780678</v>
      </c>
      <c r="T76" s="122">
        <f>Emissions_Industry!T66</f>
        <v>3.9924395556502268</v>
      </c>
      <c r="U76" s="122">
        <f>Emissions_Industry!U66</f>
        <v>3.8941902155876629</v>
      </c>
      <c r="V76" s="122">
        <f>Emissions_Industry!V66</f>
        <v>3.8124028190221151</v>
      </c>
      <c r="W76" s="122">
        <f>Emissions_Industry!W66</f>
        <v>3.7471168511266315</v>
      </c>
      <c r="X76" s="122">
        <f>Emissions_Industry!X66</f>
        <v>3.6964075936068812</v>
      </c>
      <c r="Y76" s="122">
        <f>Emissions_Industry!Y66</f>
        <v>3.6591659054499268</v>
      </c>
      <c r="Z76" s="122">
        <f>Emissions_Industry!Z66</f>
        <v>3.6352380271397982</v>
      </c>
      <c r="AA76" s="122">
        <f>Emissions_Industry!AA66</f>
        <v>3.623938569338653</v>
      </c>
      <c r="AB76" s="122">
        <f>Emissions_Industry!AB66</f>
        <v>3.6245334840846737</v>
      </c>
      <c r="AC76" s="122">
        <f>Emissions_Industry!AC66</f>
        <v>3.6357614325971319</v>
      </c>
      <c r="AD76" s="122">
        <f>Emissions_Industry!AD66</f>
        <v>3.656572990259491</v>
      </c>
      <c r="AE76" s="122">
        <f>Emissions_Industry!AE66</f>
        <v>3.686189977104291</v>
      </c>
    </row>
    <row r="77" spans="1:35" x14ac:dyDescent="0.35">
      <c r="B77" s="116" t="s">
        <v>3224</v>
      </c>
      <c r="C77" s="116" t="s">
        <v>43</v>
      </c>
      <c r="D77" s="116" t="s">
        <v>3225</v>
      </c>
      <c r="E77" s="116" t="s">
        <v>2094</v>
      </c>
      <c r="H77" s="120" t="str">
        <f>Settings!$B$3&amp;".mit.eco2.gap.irn.2"</f>
        <v>egy.mit.eco2.gap.irn.2</v>
      </c>
      <c r="I77" s="116" t="s">
        <v>3226</v>
      </c>
      <c r="L77" s="122">
        <f t="shared" ref="L77:AE77" si="22">L76-L75</f>
        <v>0.68396226064004084</v>
      </c>
      <c r="M77" s="122">
        <f t="shared" si="22"/>
        <v>-0.16876043124092721</v>
      </c>
      <c r="N77" s="122">
        <f t="shared" si="22"/>
        <v>0.13672162082151917</v>
      </c>
      <c r="O77" s="122">
        <f t="shared" si="22"/>
        <v>0.16834412235119967</v>
      </c>
      <c r="P77" s="122">
        <f t="shared" si="22"/>
        <v>9.1256263981098762E-2</v>
      </c>
      <c r="Q77" s="122">
        <f t="shared" si="22"/>
        <v>-0.36262028921993927</v>
      </c>
      <c r="R77" s="122">
        <f t="shared" si="22"/>
        <v>-0.73335622378711651</v>
      </c>
      <c r="S77" s="122">
        <f t="shared" si="22"/>
        <v>-1.0877314608760287</v>
      </c>
      <c r="T77" s="122">
        <f t="shared" si="22"/>
        <v>-1.4358228742946495</v>
      </c>
      <c r="U77" s="122">
        <f t="shared" si="22"/>
        <v>-1.7729157612747888</v>
      </c>
      <c r="V77" s="122">
        <f t="shared" si="22"/>
        <v>-2.104055820822285</v>
      </c>
      <c r="W77" s="122">
        <f t="shared" si="22"/>
        <v>-2.4296659688709221</v>
      </c>
      <c r="X77" s="122">
        <f t="shared" si="22"/>
        <v>-2.7521536704705656</v>
      </c>
      <c r="Y77" s="122">
        <f t="shared" si="22"/>
        <v>-3.0731320542469276</v>
      </c>
      <c r="Z77" s="122">
        <f t="shared" si="22"/>
        <v>-3.393281042783717</v>
      </c>
      <c r="AA77" s="122">
        <f t="shared" si="22"/>
        <v>-3.7138353396614963</v>
      </c>
      <c r="AB77" s="122">
        <f t="shared" si="22"/>
        <v>-4.0361024769114842</v>
      </c>
      <c r="AC77" s="122">
        <f t="shared" si="22"/>
        <v>-4.361942510682856</v>
      </c>
      <c r="AD77" s="122">
        <f t="shared" si="22"/>
        <v>-4.6930299265248152</v>
      </c>
      <c r="AE77" s="122">
        <f t="shared" si="22"/>
        <v>-5.0307954680185247</v>
      </c>
    </row>
    <row r="78" spans="1:35" x14ac:dyDescent="0.35">
      <c r="B78" s="116" t="s">
        <v>3227</v>
      </c>
      <c r="C78" s="116" t="s">
        <v>43</v>
      </c>
      <c r="D78" s="116" t="s">
        <v>3228</v>
      </c>
      <c r="E78" s="116" t="s">
        <v>87</v>
      </c>
      <c r="H78" s="120" t="str">
        <f>Settings!$B$3&amp;".mit.eco2.rblk.irn.2"</f>
        <v>egy.mit.eco2.rblk.irn.2</v>
      </c>
      <c r="I78" s="116" t="s">
        <v>3229</v>
      </c>
      <c r="L78" s="148">
        <f t="shared" ref="L78:AE78" si="23">IF(L76=0,0,L75/L76)</f>
        <v>0.84902773509972063</v>
      </c>
      <c r="M78" s="148">
        <f t="shared" si="23"/>
        <v>1.0438691631596433</v>
      </c>
      <c r="N78" s="148">
        <f t="shared" si="23"/>
        <v>0.96841781840305308</v>
      </c>
      <c r="O78" s="148">
        <f t="shared" si="23"/>
        <v>0.96296189834565271</v>
      </c>
      <c r="P78" s="148">
        <f t="shared" si="23"/>
        <v>0.98041985331300552</v>
      </c>
      <c r="Q78" s="148">
        <f t="shared" si="23"/>
        <v>1.0822673108858665</v>
      </c>
      <c r="R78" s="148">
        <f t="shared" si="23"/>
        <v>1.1726765600186169</v>
      </c>
      <c r="S78" s="148">
        <f t="shared" si="23"/>
        <v>1.2645419837873841</v>
      </c>
      <c r="T78" s="148">
        <f t="shared" si="23"/>
        <v>1.3596354695621196</v>
      </c>
      <c r="U78" s="148">
        <f t="shared" si="23"/>
        <v>1.4552719983164053</v>
      </c>
      <c r="V78" s="148">
        <f t="shared" si="23"/>
        <v>1.5518975619061097</v>
      </c>
      <c r="W78" s="148">
        <f t="shared" si="23"/>
        <v>1.6484094479574085</v>
      </c>
      <c r="X78" s="148">
        <f t="shared" si="23"/>
        <v>1.7445482135764874</v>
      </c>
      <c r="Y78" s="148">
        <f t="shared" si="23"/>
        <v>1.8398449629380931</v>
      </c>
      <c r="Z78" s="148">
        <f t="shared" si="23"/>
        <v>1.9334412265305079</v>
      </c>
      <c r="AA78" s="148">
        <f t="shared" si="23"/>
        <v>2.0248063725702856</v>
      </c>
      <c r="AB78" s="148">
        <f t="shared" si="23"/>
        <v>2.1135508872063147</v>
      </c>
      <c r="AC78" s="148">
        <f t="shared" si="23"/>
        <v>2.1997328734429615</v>
      </c>
      <c r="AD78" s="148">
        <f t="shared" si="23"/>
        <v>2.2834503615889181</v>
      </c>
      <c r="AE78" s="148">
        <f t="shared" si="23"/>
        <v>2.3647683649692133</v>
      </c>
    </row>
    <row r="80" spans="1:35" x14ac:dyDescent="0.35">
      <c r="B80" s="116" t="s">
        <v>3219</v>
      </c>
      <c r="C80" s="116" t="s">
        <v>113</v>
      </c>
      <c r="D80" s="116" t="s">
        <v>3230</v>
      </c>
      <c r="E80" s="116" t="s">
        <v>2094</v>
      </c>
      <c r="F80" s="116" t="s">
        <v>3252</v>
      </c>
      <c r="H80" s="120" t="str">
        <f>Settings!$B$3&amp;".mit.eco2.blk.cem.2"</f>
        <v>egy.mit.eco2.blk.cem.2</v>
      </c>
      <c r="I80" s="116" t="s">
        <v>2305</v>
      </c>
      <c r="L80" s="122">
        <f>Mitigation_Industry!L777-SUMPRODUCT((Mitigation_Industry!L732:L732+Mitigation_Industry!L754:L754)*Mitigation_Industry!$I$666:$I$666/(Mitigation_Industry!$F$732:$F$732+(Mitigation_Industry!$F$732:$F$732=0))*'Manual inputs'!$E$91:$E$91)</f>
        <v>13.508713893592759</v>
      </c>
      <c r="M80" s="122">
        <f>Mitigation_Industry!M777-SUMPRODUCT((Mitigation_Industry!M732:M732+Mitigation_Industry!M754:M754)*Mitigation_Industry!$I$666:$I$666/(Mitigation_Industry!$F$732:$F$732+(Mitigation_Industry!$F$732:$F$732=0))*'Manual inputs'!$E$91:$E$91)</f>
        <v>13.954501452081319</v>
      </c>
      <c r="N80" s="122">
        <f>Mitigation_Industry!N777-SUMPRODUCT((Mitigation_Industry!N732:N732+Mitigation_Industry!N754:N754)*Mitigation_Industry!$I$666:$I$666/(Mitigation_Industry!$F$732:$F$732+(Mitigation_Industry!$F$732:$F$732=0))*'Manual inputs'!$E$91:$E$91)</f>
        <v>14.414999999999999</v>
      </c>
      <c r="O80" s="122">
        <f>Mitigation_Industry!O777-SUMPRODUCT((Mitigation_Industry!O732:O732+Mitigation_Industry!O754:O754)*Mitigation_Industry!$I$666:$I$666/(Mitigation_Industry!$F$732:$F$732+(Mitigation_Industry!$F$732:$F$732=0))*'Manual inputs'!$E$91:$E$91)</f>
        <v>14.890694999999997</v>
      </c>
      <c r="P80" s="122">
        <f>Mitigation_Industry!P777-SUMPRODUCT((Mitigation_Industry!P732:P732+Mitigation_Industry!P754:P754)*Mitigation_Industry!$I$666:$I$666/(Mitigation_Industry!$F$732:$F$732+(Mitigation_Industry!$F$732:$F$732=0))*'Manual inputs'!$E$91:$E$91)</f>
        <v>15.382087934999998</v>
      </c>
      <c r="Q80" s="122">
        <f>Mitigation_Industry!Q777-SUMPRODUCT((Mitigation_Industry!Q732:Q732+Mitigation_Industry!Q754:Q754)*Mitigation_Industry!$I$666:$I$666/(Mitigation_Industry!$F$732:$F$732+(Mitigation_Industry!$F$732:$F$732=0))*'Manual inputs'!$E$91:$E$91)</f>
        <v>15.889696836854995</v>
      </c>
      <c r="R80" s="122">
        <f>Mitigation_Industry!R777-SUMPRODUCT((Mitigation_Industry!R732:R732+Mitigation_Industry!R754:R754)*Mitigation_Industry!$I$666:$I$666/(Mitigation_Industry!$F$732:$F$732+(Mitigation_Industry!$F$732:$F$732=0))*'Manual inputs'!$E$91:$E$91)</f>
        <v>16.414056832471207</v>
      </c>
      <c r="S80" s="122">
        <f>Mitigation_Industry!S777-SUMPRODUCT((Mitigation_Industry!S732:S732+Mitigation_Industry!S754:S754)*Mitigation_Industry!$I$666:$I$666/(Mitigation_Industry!$F$732:$F$732+(Mitigation_Industry!$F$732:$F$732=0))*'Manual inputs'!$E$91:$E$91)</f>
        <v>16.955720707942756</v>
      </c>
      <c r="T80" s="122">
        <f>Mitigation_Industry!T777-SUMPRODUCT((Mitigation_Industry!T732:T732+Mitigation_Industry!T754:T754)*Mitigation_Industry!$I$666:$I$666/(Mitigation_Industry!$F$732:$F$732+(Mitigation_Industry!$F$732:$F$732=0))*'Manual inputs'!$E$91:$E$91)</f>
        <v>17.515259491304867</v>
      </c>
      <c r="U80" s="122">
        <f>Mitigation_Industry!U777-SUMPRODUCT((Mitigation_Industry!U732:U732+Mitigation_Industry!U754:U754)*Mitigation_Industry!$I$666:$I$666/(Mitigation_Industry!$F$732:$F$732+(Mitigation_Industry!$F$732:$F$732=0))*'Manual inputs'!$E$91:$E$91)</f>
        <v>18.093263054517923</v>
      </c>
      <c r="V80" s="122">
        <f>Mitigation_Industry!V777-SUMPRODUCT((Mitigation_Industry!V732:V732+Mitigation_Industry!V754:V754)*Mitigation_Industry!$I$666:$I$666/(Mitigation_Industry!$F$732:$F$732+(Mitigation_Industry!$F$732:$F$732=0))*'Manual inputs'!$E$91:$E$91)</f>
        <v>18.690340735317012</v>
      </c>
      <c r="W80" s="122">
        <f>Mitigation_Industry!W777-SUMPRODUCT((Mitigation_Industry!W732:W732+Mitigation_Industry!W754:W754)*Mitigation_Industry!$I$666:$I$666/(Mitigation_Industry!$F$732:$F$732+(Mitigation_Industry!$F$732:$F$732=0))*'Manual inputs'!$E$91:$E$91)</f>
        <v>19.307121979582472</v>
      </c>
      <c r="X80" s="122">
        <f>Mitigation_Industry!X777-SUMPRODUCT((Mitigation_Industry!X732:X732+Mitigation_Industry!X754:X754)*Mitigation_Industry!$I$666:$I$666/(Mitigation_Industry!$F$732:$F$732+(Mitigation_Industry!$F$732:$F$732=0))*'Manual inputs'!$E$91:$E$91)</f>
        <v>19.944257004908685</v>
      </c>
      <c r="Y80" s="122">
        <f>Mitigation_Industry!Y777-SUMPRODUCT((Mitigation_Industry!Y732:Y732+Mitigation_Industry!Y754:Y754)*Mitigation_Industry!$I$666:$I$666/(Mitigation_Industry!$F$732:$F$732+(Mitigation_Industry!$F$732:$F$732=0))*'Manual inputs'!$E$91:$E$91)</f>
        <v>20.602417486070678</v>
      </c>
      <c r="Z80" s="122">
        <f>Mitigation_Industry!Z777-SUMPRODUCT((Mitigation_Industry!Z732:Z732+Mitigation_Industry!Z754:Z754)*Mitigation_Industry!$I$666:$I$666/(Mitigation_Industry!$F$732:$F$732+(Mitigation_Industry!$F$732:$F$732=0))*'Manual inputs'!$E$91:$E$91)</f>
        <v>21.282297263111005</v>
      </c>
      <c r="AA80" s="122">
        <f>Mitigation_Industry!AA777-SUMPRODUCT((Mitigation_Industry!AA732:AA732+Mitigation_Industry!AA754:AA754)*Mitigation_Industry!$I$666:$I$666/(Mitigation_Industry!$F$732:$F$732+(Mitigation_Industry!$F$732:$F$732=0))*'Manual inputs'!$E$91:$E$91)</f>
        <v>21.984613072793667</v>
      </c>
      <c r="AB80" s="122">
        <f>Mitigation_Industry!AB777-SUMPRODUCT((Mitigation_Industry!AB732:AB732+Mitigation_Industry!AB754:AB754)*Mitigation_Industry!$I$666:$I$666/(Mitigation_Industry!$F$732:$F$732+(Mitigation_Industry!$F$732:$F$732=0))*'Manual inputs'!$E$91:$E$91)</f>
        <v>22.710105304195856</v>
      </c>
      <c r="AC80" s="122">
        <f>Mitigation_Industry!AC777-SUMPRODUCT((Mitigation_Industry!AC732:AC732+Mitigation_Industry!AC754:AC754)*Mitigation_Industry!$I$666:$I$666/(Mitigation_Industry!$F$732:$F$732+(Mitigation_Industry!$F$732:$F$732=0))*'Manual inputs'!$E$91:$E$91)</f>
        <v>23.459538779234315</v>
      </c>
      <c r="AD80" s="122">
        <f>Mitigation_Industry!AD777-SUMPRODUCT((Mitigation_Industry!AD732:AD732+Mitigation_Industry!AD754:AD754)*Mitigation_Industry!$I$666:$I$666/(Mitigation_Industry!$F$732:$F$732+(Mitigation_Industry!$F$732:$F$732=0))*'Manual inputs'!$E$91:$E$91)</f>
        <v>24.233703558949045</v>
      </c>
      <c r="AE80" s="122">
        <f>Mitigation_Industry!AE777-SUMPRODUCT((Mitigation_Industry!AE732:AE732+Mitigation_Industry!AE754:AE754)*Mitigation_Industry!$I$666:$I$666/(Mitigation_Industry!$F$732:$F$732+(Mitigation_Industry!$F$732:$F$732=0))*'Manual inputs'!$E$91:$E$91)</f>
        <v>25.03341577639436</v>
      </c>
    </row>
    <row r="81" spans="2:31" x14ac:dyDescent="0.35">
      <c r="B81" s="116" t="s">
        <v>110</v>
      </c>
      <c r="C81" s="116" t="s">
        <v>113</v>
      </c>
      <c r="D81" s="116" t="s">
        <v>3232</v>
      </c>
      <c r="E81" s="116" t="s">
        <v>2094</v>
      </c>
      <c r="F81" s="116" t="s">
        <v>3253</v>
      </c>
      <c r="I81" s="116" t="s">
        <v>3254</v>
      </c>
      <c r="L81" s="122">
        <f>Emissions_Industry!L78</f>
        <v>9.4893574461323063</v>
      </c>
      <c r="M81" s="122">
        <f>Emissions_Industry!M78</f>
        <v>7.892397868173477</v>
      </c>
      <c r="N81" s="122">
        <f>Emissions_Industry!N78</f>
        <v>8.974049898041585</v>
      </c>
      <c r="O81" s="122">
        <f>Emissions_Industry!O78</f>
        <v>9.6117389440758174</v>
      </c>
      <c r="P81" s="122">
        <f>Emissions_Industry!P78</f>
        <v>9.6255920185944621</v>
      </c>
      <c r="Q81" s="122">
        <f>Emissions_Industry!Q78</f>
        <v>9.0746501749675428</v>
      </c>
      <c r="R81" s="122">
        <f>Emissions_Industry!R78</f>
        <v>8.7362574382654046</v>
      </c>
      <c r="S81" s="122">
        <f>Emissions_Industry!S78</f>
        <v>8.4490397368747985</v>
      </c>
      <c r="T81" s="122">
        <f>Emissions_Industry!T78</f>
        <v>8.1955178569750267</v>
      </c>
      <c r="U81" s="122">
        <f>Emissions_Industry!U78</f>
        <v>7.9814424709644749</v>
      </c>
      <c r="V81" s="122">
        <f>Emissions_Industry!V78</f>
        <v>7.7902867807190201</v>
      </c>
      <c r="W81" s="122">
        <f>Emissions_Industry!W78</f>
        <v>7.6314031195294163</v>
      </c>
      <c r="X81" s="122">
        <f>Emissions_Industry!X78</f>
        <v>7.5006570964300785</v>
      </c>
      <c r="Y81" s="122">
        <f>Emissions_Industry!Y78</f>
        <v>7.3954239718464407</v>
      </c>
      <c r="Z81" s="122">
        <f>Emissions_Industry!Z78</f>
        <v>7.3147393259951752</v>
      </c>
      <c r="AA81" s="122">
        <f>Emissions_Industry!AA78</f>
        <v>7.2568985784252265</v>
      </c>
      <c r="AB81" s="122">
        <f>Emissions_Industry!AB78</f>
        <v>7.2202035238785385</v>
      </c>
      <c r="AC81" s="122">
        <f>Emissions_Industry!AC78</f>
        <v>7.2022011866219096</v>
      </c>
      <c r="AD81" s="122">
        <f>Emissions_Industry!AD78</f>
        <v>7.2008394296116975</v>
      </c>
      <c r="AE81" s="122">
        <f>Emissions_Industry!AE78</f>
        <v>7.2145454034411083</v>
      </c>
    </row>
    <row r="82" spans="2:31" x14ac:dyDescent="0.35">
      <c r="B82" s="116" t="s">
        <v>3224</v>
      </c>
      <c r="C82" s="116" t="s">
        <v>113</v>
      </c>
      <c r="D82" s="116" t="s">
        <v>3234</v>
      </c>
      <c r="E82" s="116" t="s">
        <v>2094</v>
      </c>
      <c r="H82" s="120" t="str">
        <f>Settings!$B$3&amp;".mit.eco2.gap.cem.2"</f>
        <v>egy.mit.eco2.gap.cem.2</v>
      </c>
      <c r="I82" s="116" t="s">
        <v>3226</v>
      </c>
      <c r="L82" s="122">
        <f t="shared" ref="L82:AE82" si="24">L81-L80</f>
        <v>-4.0193564474604528</v>
      </c>
      <c r="M82" s="122">
        <f t="shared" si="24"/>
        <v>-6.0621035839078417</v>
      </c>
      <c r="N82" s="122">
        <f t="shared" si="24"/>
        <v>-5.4409501019584141</v>
      </c>
      <c r="O82" s="122">
        <f t="shared" si="24"/>
        <v>-5.2789560559241799</v>
      </c>
      <c r="P82" s="122">
        <f t="shared" si="24"/>
        <v>-5.7564959164055356</v>
      </c>
      <c r="Q82" s="122">
        <f t="shared" si="24"/>
        <v>-6.8150466618874521</v>
      </c>
      <c r="R82" s="122">
        <f t="shared" si="24"/>
        <v>-7.6777993942058025</v>
      </c>
      <c r="S82" s="122">
        <f t="shared" si="24"/>
        <v>-8.5066809710679578</v>
      </c>
      <c r="T82" s="122">
        <f t="shared" si="24"/>
        <v>-9.3197416343298407</v>
      </c>
      <c r="U82" s="122">
        <f t="shared" si="24"/>
        <v>-10.111820583553449</v>
      </c>
      <c r="V82" s="122">
        <f t="shared" si="24"/>
        <v>-10.900053954597992</v>
      </c>
      <c r="W82" s="122">
        <f t="shared" si="24"/>
        <v>-11.675718860053056</v>
      </c>
      <c r="X82" s="122">
        <f t="shared" si="24"/>
        <v>-12.443599908478607</v>
      </c>
      <c r="Y82" s="122">
        <f t="shared" si="24"/>
        <v>-13.206993514224237</v>
      </c>
      <c r="Z82" s="122">
        <f t="shared" si="24"/>
        <v>-13.96755793711583</v>
      </c>
      <c r="AA82" s="122">
        <f t="shared" si="24"/>
        <v>-14.727714494368442</v>
      </c>
      <c r="AB82" s="122">
        <f t="shared" si="24"/>
        <v>-15.489901780317318</v>
      </c>
      <c r="AC82" s="122">
        <f t="shared" si="24"/>
        <v>-16.257337592612405</v>
      </c>
      <c r="AD82" s="122">
        <f t="shared" si="24"/>
        <v>-17.032864129337348</v>
      </c>
      <c r="AE82" s="122">
        <f t="shared" si="24"/>
        <v>-17.818870372953253</v>
      </c>
    </row>
    <row r="83" spans="2:31" x14ac:dyDescent="0.35">
      <c r="B83" s="116" t="s">
        <v>3227</v>
      </c>
      <c r="C83" s="116" t="s">
        <v>113</v>
      </c>
      <c r="D83" s="116" t="s">
        <v>3235</v>
      </c>
      <c r="E83" s="116" t="s">
        <v>87</v>
      </c>
      <c r="H83" s="120" t="str">
        <f>Settings!$B$3&amp;".mit.eco2.rblk.cem.2"</f>
        <v>egy.mit.eco2.rblk.cem.2</v>
      </c>
      <c r="I83" s="116" t="s">
        <v>3229</v>
      </c>
      <c r="L83" s="148">
        <f t="shared" ref="L83:AE83" si="25">IF(L81=0,0,L80/L81)</f>
        <v>1.4235646586480597</v>
      </c>
      <c r="M83" s="148">
        <f t="shared" si="25"/>
        <v>1.7680940172002229</v>
      </c>
      <c r="N83" s="148">
        <f t="shared" si="25"/>
        <v>1.6062981779436949</v>
      </c>
      <c r="O83" s="148">
        <f t="shared" si="25"/>
        <v>1.5492196663516187</v>
      </c>
      <c r="P83" s="148">
        <f t="shared" si="25"/>
        <v>1.5980407132657701</v>
      </c>
      <c r="Q83" s="148">
        <f t="shared" si="25"/>
        <v>1.7509982787751734</v>
      </c>
      <c r="R83" s="148">
        <f t="shared" si="25"/>
        <v>1.8788430799413622</v>
      </c>
      <c r="S83" s="148">
        <f t="shared" si="25"/>
        <v>2.0068222231150825</v>
      </c>
      <c r="T83" s="148">
        <f t="shared" si="25"/>
        <v>2.1371754411343282</v>
      </c>
      <c r="U83" s="148">
        <f t="shared" si="25"/>
        <v>2.26691642774336</v>
      </c>
      <c r="V83" s="148">
        <f t="shared" si="25"/>
        <v>2.3991851983646679</v>
      </c>
      <c r="W83" s="148">
        <f t="shared" si="25"/>
        <v>2.5299570311223487</v>
      </c>
      <c r="X83" s="148">
        <f t="shared" si="25"/>
        <v>2.6590013046191796</v>
      </c>
      <c r="Y83" s="148">
        <f t="shared" si="25"/>
        <v>2.7858331806941425</v>
      </c>
      <c r="Z83" s="148">
        <f t="shared" si="25"/>
        <v>2.9095086392864089</v>
      </c>
      <c r="AA83" s="148">
        <f t="shared" si="25"/>
        <v>3.0294777907126833</v>
      </c>
      <c r="AB83" s="148">
        <f t="shared" si="25"/>
        <v>3.1453552838350567</v>
      </c>
      <c r="AC83" s="148">
        <f t="shared" si="25"/>
        <v>3.2572734600652939</v>
      </c>
      <c r="AD83" s="148">
        <f t="shared" si="25"/>
        <v>3.3653997975977417</v>
      </c>
      <c r="AE83" s="148">
        <f t="shared" si="25"/>
        <v>3.4698535218108431</v>
      </c>
    </row>
    <row r="85" spans="2:31" x14ac:dyDescent="0.35">
      <c r="B85" s="116" t="s">
        <v>3219</v>
      </c>
      <c r="C85" s="116" t="s">
        <v>115</v>
      </c>
      <c r="D85" s="116" t="s">
        <v>3236</v>
      </c>
      <c r="E85" s="116" t="s">
        <v>2094</v>
      </c>
      <c r="F85" s="116" t="s">
        <v>3255</v>
      </c>
      <c r="H85" s="120" t="str">
        <f>Settings!$B$3&amp;".mit.eco2.blk.nfm.2"</f>
        <v>egy.mit.eco2.blk.nfm.2</v>
      </c>
      <c r="I85" s="116" t="s">
        <v>2315</v>
      </c>
      <c r="L85" s="122">
        <f>Mitigation_Industry!L775-SUMPRODUCT((Mitigation_Industry!L736:L736+Mitigation_Industry!L758:L758)*Mitigation_Industry!$I$670:$I$670/(Mitigation_Industry!$F$736:$F$736+(Mitigation_Industry!$F$736:$F$736=0))*'Manual inputs'!$E$95:$E$95)</f>
        <v>4.2047573055412055E-2</v>
      </c>
      <c r="M85" s="122">
        <f>Mitigation_Industry!M775-SUMPRODUCT((Mitigation_Industry!M736:M736+Mitigation_Industry!M758:M758)*Mitigation_Industry!$I$670:$I$670/(Mitigation_Industry!$F$736:$F$736+(Mitigation_Industry!$F$736:$F$736=0))*'Manual inputs'!$E$95:$E$95)</f>
        <v>4.4360189573459712E-2</v>
      </c>
      <c r="N85" s="122">
        <f>Mitigation_Industry!N775-SUMPRODUCT((Mitigation_Industry!N736:N736+Mitigation_Industry!N758:N758)*Mitigation_Industry!$I$670:$I$670/(Mitigation_Industry!$F$736:$F$736+(Mitigation_Industry!$F$736:$F$736=0))*'Manual inputs'!$E$95:$E$95)</f>
        <v>4.6799999999999994E-2</v>
      </c>
      <c r="O85" s="122">
        <f>Mitigation_Industry!O775-SUMPRODUCT((Mitigation_Industry!O736:O736+Mitigation_Industry!O758:O758)*Mitigation_Industry!$I$670:$I$670/(Mitigation_Industry!$F$736:$F$736+(Mitigation_Industry!$F$736:$F$736=0))*'Manual inputs'!$E$95:$E$95)</f>
        <v>4.9374000000000001E-2</v>
      </c>
      <c r="P85" s="122">
        <f>Mitigation_Industry!P775-SUMPRODUCT((Mitigation_Industry!P736:P736+Mitigation_Industry!P758:P758)*Mitigation_Industry!$I$670:$I$670/(Mitigation_Industry!$F$736:$F$736+(Mitigation_Industry!$F$736:$F$736=0))*'Manual inputs'!$E$95:$E$95)</f>
        <v>5.2089569999999995E-2</v>
      </c>
      <c r="Q85" s="122">
        <f>Mitigation_Industry!Q775-SUMPRODUCT((Mitigation_Industry!Q736:Q736+Mitigation_Industry!Q758:Q758)*Mitigation_Industry!$I$670:$I$670/(Mitigation_Industry!$F$736:$F$736+(Mitigation_Industry!$F$736:$F$736=0))*'Manual inputs'!$E$95:$E$95)</f>
        <v>5.4954496349999986E-2</v>
      </c>
      <c r="R85" s="122">
        <f>Mitigation_Industry!R775-SUMPRODUCT((Mitigation_Industry!R736:R736+Mitigation_Industry!R758:R758)*Mitigation_Industry!$I$670:$I$670/(Mitigation_Industry!$F$736:$F$736+(Mitigation_Industry!$F$736:$F$736=0))*'Manual inputs'!$E$95:$E$95)</f>
        <v>5.7976993649249998E-2</v>
      </c>
      <c r="S85" s="122">
        <f>Mitigation_Industry!S775-SUMPRODUCT((Mitigation_Industry!S736:S736+Mitigation_Industry!S758:S758)*Mitigation_Industry!$I$670:$I$670/(Mitigation_Industry!$F$736:$F$736+(Mitigation_Industry!$F$736:$F$736=0))*'Manual inputs'!$E$95:$E$95)</f>
        <v>6.1165728299958734E-2</v>
      </c>
      <c r="T85" s="122">
        <f>Mitigation_Industry!T775-SUMPRODUCT((Mitigation_Industry!T736:T736+Mitigation_Industry!T758:T758)*Mitigation_Industry!$I$670:$I$670/(Mitigation_Industry!$F$736:$F$736+(Mitigation_Industry!$F$736:$F$736=0))*'Manual inputs'!$E$95:$E$95)</f>
        <v>6.4529843356456465E-2</v>
      </c>
      <c r="U85" s="122">
        <f>Mitigation_Industry!U775-SUMPRODUCT((Mitigation_Industry!U736:U736+Mitigation_Industry!U758:U758)*Mitigation_Industry!$I$670:$I$670/(Mitigation_Industry!$F$736:$F$736+(Mitigation_Industry!$F$736:$F$736=0))*'Manual inputs'!$E$95:$E$95)</f>
        <v>6.8078984741061555E-2</v>
      </c>
      <c r="V85" s="122">
        <f>Mitigation_Industry!V775-SUMPRODUCT((Mitigation_Industry!V736:V736+Mitigation_Industry!V758:V758)*Mitigation_Industry!$I$670:$I$670/(Mitigation_Industry!$F$736:$F$736+(Mitigation_Industry!$F$736:$F$736=0))*'Manual inputs'!$E$95:$E$95)</f>
        <v>7.1823328901819944E-2</v>
      </c>
      <c r="W85" s="122">
        <f>Mitigation_Industry!W775-SUMPRODUCT((Mitigation_Industry!W736:W736+Mitigation_Industry!W758:W758)*Mitigation_Industry!$I$670:$I$670/(Mitigation_Industry!$F$736:$F$736+(Mitigation_Industry!$F$736:$F$736=0))*'Manual inputs'!$E$95:$E$95)</f>
        <v>7.5773611991420048E-2</v>
      </c>
      <c r="X85" s="122">
        <f>Mitigation_Industry!X775-SUMPRODUCT((Mitigation_Industry!X736:X736+Mitigation_Industry!X758:X758)*Mitigation_Industry!$I$670:$I$670/(Mitigation_Industry!$F$736:$F$736+(Mitigation_Industry!$F$736:$F$736=0))*'Manual inputs'!$E$95:$E$95)</f>
        <v>7.9941160650948154E-2</v>
      </c>
      <c r="Y85" s="122">
        <f>Mitigation_Industry!Y775-SUMPRODUCT((Mitigation_Industry!Y736:Y736+Mitigation_Industry!Y758:Y758)*Mitigation_Industry!$I$670:$I$670/(Mitigation_Industry!$F$736:$F$736+(Mitigation_Industry!$F$736:$F$736=0))*'Manual inputs'!$E$95:$E$95)</f>
        <v>8.4337924486750301E-2</v>
      </c>
      <c r="Z85" s="122">
        <f>Mitigation_Industry!Z775-SUMPRODUCT((Mitigation_Industry!Z736:Z736+Mitigation_Industry!Z758:Z758)*Mitigation_Industry!$I$670:$I$670/(Mitigation_Industry!$F$736:$F$736+(Mitigation_Industry!$F$736:$F$736=0))*'Manual inputs'!$E$95:$E$95)</f>
        <v>8.8976510333521566E-2</v>
      </c>
      <c r="AA85" s="122">
        <f>Mitigation_Industry!AA775-SUMPRODUCT((Mitigation_Industry!AA736:AA736+Mitigation_Industry!AA758:AA758)*Mitigation_Industry!$I$670:$I$670/(Mitigation_Industry!$F$736:$F$736+(Mitigation_Industry!$F$736:$F$736=0))*'Manual inputs'!$E$95:$E$95)</f>
        <v>9.3870218401865227E-2</v>
      </c>
      <c r="AB85" s="122">
        <f>Mitigation_Industry!AB775-SUMPRODUCT((Mitigation_Industry!AB736:AB736+Mitigation_Industry!AB758:AB758)*Mitigation_Industry!$I$670:$I$670/(Mitigation_Industry!$F$736:$F$736+(Mitigation_Industry!$F$736:$F$736=0))*'Manual inputs'!$E$95:$E$95)</f>
        <v>9.9033080413967828E-2</v>
      </c>
      <c r="AC85" s="122">
        <f>Mitigation_Industry!AC775-SUMPRODUCT((Mitigation_Industry!AC736:AC736+Mitigation_Industry!AC758:AC758)*Mitigation_Industry!$I$670:$I$670/(Mitigation_Industry!$F$736:$F$736+(Mitigation_Industry!$F$736:$F$736=0))*'Manual inputs'!$E$95:$E$95)</f>
        <v>0.10447989983673604</v>
      </c>
      <c r="AD85" s="122">
        <f>Mitigation_Industry!AD775-SUMPRODUCT((Mitigation_Industry!AD736:AD736+Mitigation_Industry!AD758:AD758)*Mitigation_Industry!$I$670:$I$670/(Mitigation_Industry!$F$736:$F$736+(Mitigation_Industry!$F$736:$F$736=0))*'Manual inputs'!$E$95:$E$95)</f>
        <v>0.11022629432775652</v>
      </c>
      <c r="AE85" s="122">
        <f>Mitigation_Industry!AE775-SUMPRODUCT((Mitigation_Industry!AE736:AE736+Mitigation_Industry!AE758:AE758)*Mitigation_Industry!$I$670:$I$670/(Mitigation_Industry!$F$736:$F$736+(Mitigation_Industry!$F$736:$F$736=0))*'Manual inputs'!$E$95:$E$95)</f>
        <v>0.11628874051578311</v>
      </c>
    </row>
    <row r="86" spans="2:31" x14ac:dyDescent="0.35">
      <c r="B86" s="116" t="s">
        <v>110</v>
      </c>
      <c r="C86" s="116" t="s">
        <v>115</v>
      </c>
      <c r="D86" s="116" t="s">
        <v>3238</v>
      </c>
      <c r="E86" s="116" t="s">
        <v>2094</v>
      </c>
      <c r="F86" s="116" t="s">
        <v>3256</v>
      </c>
      <c r="I86" s="116" t="s">
        <v>3257</v>
      </c>
      <c r="L86" s="122">
        <f>Emissions_Industry!L90</f>
        <v>0</v>
      </c>
      <c r="M86" s="122">
        <f>Emissions_Industry!M90</f>
        <v>0</v>
      </c>
      <c r="N86" s="122">
        <f>Emissions_Industry!N90</f>
        <v>0</v>
      </c>
      <c r="O86" s="122">
        <f>Emissions_Industry!O90</f>
        <v>0</v>
      </c>
      <c r="P86" s="122">
        <f>Emissions_Industry!P90</f>
        <v>0</v>
      </c>
      <c r="Q86" s="122">
        <f>Emissions_Industry!Q90</f>
        <v>0</v>
      </c>
      <c r="R86" s="122">
        <f>Emissions_Industry!R90</f>
        <v>0</v>
      </c>
      <c r="S86" s="122">
        <f>Emissions_Industry!S90</f>
        <v>0</v>
      </c>
      <c r="T86" s="122">
        <f>Emissions_Industry!T90</f>
        <v>0</v>
      </c>
      <c r="U86" s="122">
        <f>Emissions_Industry!U90</f>
        <v>0</v>
      </c>
      <c r="V86" s="122">
        <f>Emissions_Industry!V90</f>
        <v>0</v>
      </c>
      <c r="W86" s="122">
        <f>Emissions_Industry!W90</f>
        <v>0</v>
      </c>
      <c r="X86" s="122">
        <f>Emissions_Industry!X90</f>
        <v>0</v>
      </c>
      <c r="Y86" s="122">
        <f>Emissions_Industry!Y90</f>
        <v>0</v>
      </c>
      <c r="Z86" s="122">
        <f>Emissions_Industry!Z90</f>
        <v>0</v>
      </c>
      <c r="AA86" s="122">
        <f>Emissions_Industry!AA90</f>
        <v>0</v>
      </c>
      <c r="AB86" s="122">
        <f>Emissions_Industry!AB90</f>
        <v>0</v>
      </c>
      <c r="AC86" s="122">
        <f>Emissions_Industry!AC90</f>
        <v>0</v>
      </c>
      <c r="AD86" s="122">
        <f>Emissions_Industry!AD90</f>
        <v>0</v>
      </c>
      <c r="AE86" s="122">
        <f>Emissions_Industry!AE90</f>
        <v>0</v>
      </c>
    </row>
    <row r="87" spans="2:31" x14ac:dyDescent="0.35">
      <c r="B87" s="116" t="s">
        <v>3224</v>
      </c>
      <c r="C87" s="116" t="s">
        <v>115</v>
      </c>
      <c r="D87" s="116" t="s">
        <v>3240</v>
      </c>
      <c r="E87" s="116" t="s">
        <v>2094</v>
      </c>
      <c r="H87" s="120" t="str">
        <f>Settings!$B$3&amp;".mit.eco2.gap.nfm.2"</f>
        <v>egy.mit.eco2.gap.nfm.2</v>
      </c>
      <c r="I87" s="116" t="s">
        <v>3226</v>
      </c>
      <c r="L87" s="122">
        <f t="shared" ref="L87:AE87" si="26">L86-L85</f>
        <v>-4.2047573055412055E-2</v>
      </c>
      <c r="M87" s="122">
        <f t="shared" si="26"/>
        <v>-4.4360189573459712E-2</v>
      </c>
      <c r="N87" s="122">
        <f t="shared" si="26"/>
        <v>-4.6799999999999994E-2</v>
      </c>
      <c r="O87" s="122">
        <f t="shared" si="26"/>
        <v>-4.9374000000000001E-2</v>
      </c>
      <c r="P87" s="122">
        <f t="shared" si="26"/>
        <v>-5.2089569999999995E-2</v>
      </c>
      <c r="Q87" s="122">
        <f t="shared" si="26"/>
        <v>-5.4954496349999986E-2</v>
      </c>
      <c r="R87" s="122">
        <f t="shared" si="26"/>
        <v>-5.7976993649249998E-2</v>
      </c>
      <c r="S87" s="122">
        <f t="shared" si="26"/>
        <v>-6.1165728299958734E-2</v>
      </c>
      <c r="T87" s="122">
        <f t="shared" si="26"/>
        <v>-6.4529843356456465E-2</v>
      </c>
      <c r="U87" s="122">
        <f t="shared" si="26"/>
        <v>-6.8078984741061555E-2</v>
      </c>
      <c r="V87" s="122">
        <f t="shared" si="26"/>
        <v>-7.1823328901819944E-2</v>
      </c>
      <c r="W87" s="122">
        <f t="shared" si="26"/>
        <v>-7.5773611991420048E-2</v>
      </c>
      <c r="X87" s="122">
        <f t="shared" si="26"/>
        <v>-7.9941160650948154E-2</v>
      </c>
      <c r="Y87" s="122">
        <f t="shared" si="26"/>
        <v>-8.4337924486750301E-2</v>
      </c>
      <c r="Z87" s="122">
        <f t="shared" si="26"/>
        <v>-8.8976510333521566E-2</v>
      </c>
      <c r="AA87" s="122">
        <f t="shared" si="26"/>
        <v>-9.3870218401865227E-2</v>
      </c>
      <c r="AB87" s="122">
        <f t="shared" si="26"/>
        <v>-9.9033080413967828E-2</v>
      </c>
      <c r="AC87" s="122">
        <f t="shared" si="26"/>
        <v>-0.10447989983673604</v>
      </c>
      <c r="AD87" s="122">
        <f t="shared" si="26"/>
        <v>-0.11022629432775652</v>
      </c>
      <c r="AE87" s="122">
        <f t="shared" si="26"/>
        <v>-0.11628874051578311</v>
      </c>
    </row>
    <row r="88" spans="2:31" x14ac:dyDescent="0.35">
      <c r="B88" s="116" t="s">
        <v>3227</v>
      </c>
      <c r="C88" s="116" t="s">
        <v>115</v>
      </c>
      <c r="D88" s="116" t="s">
        <v>3241</v>
      </c>
      <c r="E88" s="116" t="s">
        <v>87</v>
      </c>
      <c r="H88" s="120" t="str">
        <f>Settings!$B$3&amp;".mit.eco2.rblk.nfm.2"</f>
        <v>egy.mit.eco2.rblk.nfm.2</v>
      </c>
      <c r="I88" s="116" t="s">
        <v>3229</v>
      </c>
      <c r="L88" s="148">
        <f t="shared" ref="L88:AE88" si="27">IF(L86=0,0,L85/L86)</f>
        <v>0</v>
      </c>
      <c r="M88" s="148">
        <f t="shared" si="27"/>
        <v>0</v>
      </c>
      <c r="N88" s="148">
        <f t="shared" si="27"/>
        <v>0</v>
      </c>
      <c r="O88" s="148">
        <f t="shared" si="27"/>
        <v>0</v>
      </c>
      <c r="P88" s="148">
        <f t="shared" si="27"/>
        <v>0</v>
      </c>
      <c r="Q88" s="148">
        <f t="shared" si="27"/>
        <v>0</v>
      </c>
      <c r="R88" s="148">
        <f t="shared" si="27"/>
        <v>0</v>
      </c>
      <c r="S88" s="148">
        <f t="shared" si="27"/>
        <v>0</v>
      </c>
      <c r="T88" s="148">
        <f t="shared" si="27"/>
        <v>0</v>
      </c>
      <c r="U88" s="148">
        <f t="shared" si="27"/>
        <v>0</v>
      </c>
      <c r="V88" s="148">
        <f t="shared" si="27"/>
        <v>0</v>
      </c>
      <c r="W88" s="148">
        <f t="shared" si="27"/>
        <v>0</v>
      </c>
      <c r="X88" s="148">
        <f t="shared" si="27"/>
        <v>0</v>
      </c>
      <c r="Y88" s="148">
        <f t="shared" si="27"/>
        <v>0</v>
      </c>
      <c r="Z88" s="148">
        <f t="shared" si="27"/>
        <v>0</v>
      </c>
      <c r="AA88" s="148">
        <f t="shared" si="27"/>
        <v>0</v>
      </c>
      <c r="AB88" s="148">
        <f t="shared" si="27"/>
        <v>0</v>
      </c>
      <c r="AC88" s="148">
        <f t="shared" si="27"/>
        <v>0</v>
      </c>
      <c r="AD88" s="148">
        <f t="shared" si="27"/>
        <v>0</v>
      </c>
      <c r="AE88" s="148">
        <f t="shared" si="27"/>
        <v>0</v>
      </c>
    </row>
    <row r="90" spans="2:31" x14ac:dyDescent="0.35">
      <c r="B90" s="116" t="s">
        <v>3219</v>
      </c>
      <c r="C90" s="116" t="s">
        <v>117</v>
      </c>
      <c r="D90" s="116" t="s">
        <v>3242</v>
      </c>
      <c r="E90" s="116" t="s">
        <v>2094</v>
      </c>
      <c r="F90" s="116" t="s">
        <v>3258</v>
      </c>
      <c r="H90" s="120" t="str">
        <f>Settings!$B$3&amp;".mit.eco2.blk.mch.2"</f>
        <v>egy.mit.eco2.blk.mch.2</v>
      </c>
      <c r="I90" s="116" t="s">
        <v>2325</v>
      </c>
      <c r="L90" s="122">
        <f>Mitigation_Industry!L773-SUMPRODUCT((Mitigation_Industry!L733:L735+Mitigation_Industry!L755:L757)*Mitigation_Industry!$I$667:$I$669/(Mitigation_Industry!$F$733:$F$735+(Mitigation_Industry!$F$733:$F$735=0))*'Manual inputs'!$E$92:$E$94)</f>
        <v>1.0363485702030859</v>
      </c>
      <c r="M90" s="122">
        <f>Mitigation_Industry!M773-SUMPRODUCT((Mitigation_Industry!M733:M735+Mitigation_Industry!M755:M757)*Mitigation_Industry!$I$667:$I$669/(Mitigation_Industry!$F$733:$F$735+(Mitigation_Industry!$F$733:$F$735=0))*'Manual inputs'!$E$92:$E$94)</f>
        <v>1.0591482387475537</v>
      </c>
      <c r="N90" s="122">
        <f>Mitigation_Industry!N773-SUMPRODUCT((Mitigation_Industry!N733:N735+Mitigation_Industry!N755:N757)*Mitigation_Industry!$I$667:$I$669/(Mitigation_Industry!$F$733:$F$735+(Mitigation_Industry!$F$733:$F$735=0))*'Manual inputs'!$E$92:$E$94)</f>
        <v>1.0824495000000001</v>
      </c>
      <c r="O90" s="122">
        <f>Mitigation_Industry!O773-SUMPRODUCT((Mitigation_Industry!O733:O735+Mitigation_Industry!O755:O757)*Mitigation_Industry!$I$667:$I$669/(Mitigation_Industry!$F$733:$F$735+(Mitigation_Industry!$F$733:$F$735=0))*'Manual inputs'!$E$92:$E$94)</f>
        <v>1.106263389</v>
      </c>
      <c r="P90" s="122">
        <f>Mitigation_Industry!P773-SUMPRODUCT((Mitigation_Industry!P733:P735+Mitigation_Industry!P755:P757)*Mitigation_Industry!$I$667:$I$669/(Mitigation_Industry!$F$733:$F$735+(Mitigation_Industry!$F$733:$F$735=0))*'Manual inputs'!$E$92:$E$94)</f>
        <v>1.1306011835579999</v>
      </c>
      <c r="Q90" s="122">
        <f>Mitigation_Industry!Q773-SUMPRODUCT((Mitigation_Industry!Q733:Q735+Mitigation_Industry!Q755:Q757)*Mitigation_Industry!$I$667:$I$669/(Mitigation_Industry!$F$733:$F$735+(Mitigation_Industry!$F$733:$F$735=0))*'Manual inputs'!$E$92:$E$94)</f>
        <v>1.1554744095962763</v>
      </c>
      <c r="R90" s="122">
        <f>Mitigation_Industry!R773-SUMPRODUCT((Mitigation_Industry!R733:R735+Mitigation_Industry!R755:R757)*Mitigation_Industry!$I$667:$I$669/(Mitigation_Industry!$F$733:$F$735+(Mitigation_Industry!$F$733:$F$735=0))*'Manual inputs'!$E$92:$E$94)</f>
        <v>1.1808948466073943</v>
      </c>
      <c r="S90" s="122">
        <f>Mitigation_Industry!S773-SUMPRODUCT((Mitigation_Industry!S733:S735+Mitigation_Industry!S755:S757)*Mitigation_Industry!$I$667:$I$669/(Mitigation_Industry!$F$733:$F$735+(Mitigation_Industry!$F$733:$F$735=0))*'Manual inputs'!$E$92:$E$94)</f>
        <v>1.2068745332327566</v>
      </c>
      <c r="T90" s="122">
        <f>Mitigation_Industry!T773-SUMPRODUCT((Mitigation_Industry!T733:T735+Mitigation_Industry!T755:T757)*Mitigation_Industry!$I$667:$I$669/(Mitigation_Industry!$F$733:$F$735+(Mitigation_Industry!$F$733:$F$735=0))*'Manual inputs'!$E$92:$E$94)</f>
        <v>1.2334257729638765</v>
      </c>
      <c r="U90" s="122">
        <f>Mitigation_Industry!U773-SUMPRODUCT((Mitigation_Industry!U733:U735+Mitigation_Industry!U755:U757)*Mitigation_Industry!$I$667:$I$669/(Mitigation_Industry!$F$733:$F$735+(Mitigation_Industry!$F$733:$F$735=0))*'Manual inputs'!$E$92:$E$94)</f>
        <v>1.2605611399690826</v>
      </c>
      <c r="V90" s="122">
        <f>Mitigation_Industry!V773-SUMPRODUCT((Mitigation_Industry!V733:V735+Mitigation_Industry!V755:V757)*Mitigation_Industry!$I$667:$I$669/(Mitigation_Industry!$F$733:$F$735+(Mitigation_Industry!$F$733:$F$735=0))*'Manual inputs'!$E$92:$E$94)</f>
        <v>1.2882934850484027</v>
      </c>
      <c r="W90" s="122">
        <f>Mitigation_Industry!W773-SUMPRODUCT((Mitigation_Industry!W733:W735+Mitigation_Industry!W755:W757)*Mitigation_Industry!$I$667:$I$669/(Mitigation_Industry!$F$733:$F$735+(Mitigation_Industry!$F$733:$F$735=0))*'Manual inputs'!$E$92:$E$94)</f>
        <v>1.3166359417194671</v>
      </c>
      <c r="X90" s="122">
        <f>Mitigation_Industry!X773-SUMPRODUCT((Mitigation_Industry!X733:X735+Mitigation_Industry!X755:X757)*Mitigation_Industry!$I$667:$I$669/(Mitigation_Industry!$F$733:$F$735+(Mitigation_Industry!$F$733:$F$735=0))*'Manual inputs'!$E$92:$E$94)</f>
        <v>1.3456019324372956</v>
      </c>
      <c r="Y90" s="122">
        <f>Mitigation_Industry!Y773-SUMPRODUCT((Mitigation_Industry!Y733:Y735+Mitigation_Industry!Y755:Y757)*Mitigation_Industry!$I$667:$I$669/(Mitigation_Industry!$F$733:$F$735+(Mitigation_Industry!$F$733:$F$735=0))*'Manual inputs'!$E$92:$E$94)</f>
        <v>1.3752051749509167</v>
      </c>
      <c r="Z90" s="122">
        <f>Mitigation_Industry!Z773-SUMPRODUCT((Mitigation_Industry!Z733:Z735+Mitigation_Industry!Z755:Z757)*Mitigation_Industry!$I$667:$I$669/(Mitigation_Industry!$F$733:$F$735+(Mitigation_Industry!$F$733:$F$735=0))*'Manual inputs'!$E$92:$E$94)</f>
        <v>1.4054596887998367</v>
      </c>
      <c r="AA90" s="122">
        <f>Mitigation_Industry!AA773-SUMPRODUCT((Mitigation_Industry!AA733:AA735+Mitigation_Industry!AA755:AA757)*Mitigation_Industry!$I$667:$I$669/(Mitigation_Industry!$F$733:$F$735+(Mitigation_Industry!$F$733:$F$735=0))*'Manual inputs'!$E$92:$E$94)</f>
        <v>1.4363798019534326</v>
      </c>
      <c r="AB90" s="122">
        <f>Mitigation_Industry!AB773-SUMPRODUCT((Mitigation_Industry!AB733:AB735+Mitigation_Industry!AB755:AB757)*Mitigation_Industry!$I$667:$I$669/(Mitigation_Industry!$F$733:$F$735+(Mitigation_Industry!$F$733:$F$735=0))*'Manual inputs'!$E$92:$E$94)</f>
        <v>1.4679801575964078</v>
      </c>
      <c r="AC90" s="122">
        <f>Mitigation_Industry!AC773-SUMPRODUCT((Mitigation_Industry!AC733:AC735+Mitigation_Industry!AC755:AC757)*Mitigation_Industry!$I$667:$I$669/(Mitigation_Industry!$F$733:$F$735+(Mitigation_Industry!$F$733:$F$735=0))*'Manual inputs'!$E$92:$E$94)</f>
        <v>1.50027572106353</v>
      </c>
      <c r="AD90" s="122">
        <f>Mitigation_Industry!AD773-SUMPRODUCT((Mitigation_Industry!AD733:AD735+Mitigation_Industry!AD755:AD757)*Mitigation_Industry!$I$667:$I$669/(Mitigation_Industry!$F$733:$F$735+(Mitigation_Industry!$F$733:$F$735=0))*'Manual inputs'!$E$92:$E$94)</f>
        <v>1.5332817869269277</v>
      </c>
      <c r="AE90" s="122">
        <f>Mitigation_Industry!AE773-SUMPRODUCT((Mitigation_Industry!AE733:AE735+Mitigation_Industry!AE755:AE757)*Mitigation_Industry!$I$667:$I$669/(Mitigation_Industry!$F$733:$F$735+(Mitigation_Industry!$F$733:$F$735=0))*'Manual inputs'!$E$92:$E$94)</f>
        <v>1.5670139862393202</v>
      </c>
    </row>
    <row r="91" spans="2:31" x14ac:dyDescent="0.35">
      <c r="B91" s="116" t="s">
        <v>110</v>
      </c>
      <c r="C91" s="116" t="s">
        <v>117</v>
      </c>
      <c r="D91" s="116" t="s">
        <v>3244</v>
      </c>
      <c r="E91" s="116" t="s">
        <v>2094</v>
      </c>
      <c r="F91" s="116" t="s">
        <v>3259</v>
      </c>
      <c r="I91" s="116" t="s">
        <v>3260</v>
      </c>
      <c r="L91" s="122">
        <f>Emissions_Industry!L102</f>
        <v>0</v>
      </c>
      <c r="M91" s="122">
        <f>Emissions_Industry!M102</f>
        <v>0</v>
      </c>
      <c r="N91" s="122">
        <f>Emissions_Industry!N102</f>
        <v>0</v>
      </c>
      <c r="O91" s="122">
        <f>Emissions_Industry!O102</f>
        <v>0</v>
      </c>
      <c r="P91" s="122">
        <f>Emissions_Industry!P102</f>
        <v>0</v>
      </c>
      <c r="Q91" s="122">
        <f>Emissions_Industry!Q102</f>
        <v>0</v>
      </c>
      <c r="R91" s="122">
        <f>Emissions_Industry!R102</f>
        <v>0</v>
      </c>
      <c r="S91" s="122">
        <f>Emissions_Industry!S102</f>
        <v>0</v>
      </c>
      <c r="T91" s="122">
        <f>Emissions_Industry!T102</f>
        <v>0</v>
      </c>
      <c r="U91" s="122">
        <f>Emissions_Industry!U102</f>
        <v>0</v>
      </c>
      <c r="V91" s="122">
        <f>Emissions_Industry!V102</f>
        <v>0</v>
      </c>
      <c r="W91" s="122">
        <f>Emissions_Industry!W102</f>
        <v>0</v>
      </c>
      <c r="X91" s="122">
        <f>Emissions_Industry!X102</f>
        <v>0</v>
      </c>
      <c r="Y91" s="122">
        <f>Emissions_Industry!Y102</f>
        <v>0</v>
      </c>
      <c r="Z91" s="122">
        <f>Emissions_Industry!Z102</f>
        <v>0</v>
      </c>
      <c r="AA91" s="122">
        <f>Emissions_Industry!AA102</f>
        <v>0</v>
      </c>
      <c r="AB91" s="122">
        <f>Emissions_Industry!AB102</f>
        <v>0</v>
      </c>
      <c r="AC91" s="122">
        <f>Emissions_Industry!AC102</f>
        <v>0</v>
      </c>
      <c r="AD91" s="122">
        <f>Emissions_Industry!AD102</f>
        <v>0</v>
      </c>
      <c r="AE91" s="122">
        <f>Emissions_Industry!AE102</f>
        <v>0</v>
      </c>
    </row>
    <row r="92" spans="2:31" x14ac:dyDescent="0.35">
      <c r="B92" s="116" t="s">
        <v>3224</v>
      </c>
      <c r="C92" s="116" t="s">
        <v>117</v>
      </c>
      <c r="D92" s="116" t="s">
        <v>3246</v>
      </c>
      <c r="E92" s="116" t="s">
        <v>2094</v>
      </c>
      <c r="H92" s="120" t="str">
        <f>Settings!$B$3&amp;".mit.eco2.gap.mch.2"</f>
        <v>egy.mit.eco2.gap.mch.2</v>
      </c>
      <c r="I92" s="116" t="s">
        <v>3226</v>
      </c>
      <c r="L92" s="122">
        <f t="shared" ref="L92:AE92" si="28">L91-L90</f>
        <v>-1.0363485702030859</v>
      </c>
      <c r="M92" s="122">
        <f t="shared" si="28"/>
        <v>-1.0591482387475537</v>
      </c>
      <c r="N92" s="122">
        <f t="shared" si="28"/>
        <v>-1.0824495000000001</v>
      </c>
      <c r="O92" s="122">
        <f t="shared" si="28"/>
        <v>-1.106263389</v>
      </c>
      <c r="P92" s="122">
        <f t="shared" si="28"/>
        <v>-1.1306011835579999</v>
      </c>
      <c r="Q92" s="122">
        <f t="shared" si="28"/>
        <v>-1.1554744095962763</v>
      </c>
      <c r="R92" s="122">
        <f t="shared" si="28"/>
        <v>-1.1808948466073943</v>
      </c>
      <c r="S92" s="122">
        <f t="shared" si="28"/>
        <v>-1.2068745332327566</v>
      </c>
      <c r="T92" s="122">
        <f t="shared" si="28"/>
        <v>-1.2334257729638765</v>
      </c>
      <c r="U92" s="122">
        <f t="shared" si="28"/>
        <v>-1.2605611399690826</v>
      </c>
      <c r="V92" s="122">
        <f t="shared" si="28"/>
        <v>-1.2882934850484027</v>
      </c>
      <c r="W92" s="122">
        <f t="shared" si="28"/>
        <v>-1.3166359417194671</v>
      </c>
      <c r="X92" s="122">
        <f t="shared" si="28"/>
        <v>-1.3456019324372956</v>
      </c>
      <c r="Y92" s="122">
        <f t="shared" si="28"/>
        <v>-1.3752051749509167</v>
      </c>
      <c r="Z92" s="122">
        <f t="shared" si="28"/>
        <v>-1.4054596887998367</v>
      </c>
      <c r="AA92" s="122">
        <f t="shared" si="28"/>
        <v>-1.4363798019534326</v>
      </c>
      <c r="AB92" s="122">
        <f t="shared" si="28"/>
        <v>-1.4679801575964078</v>
      </c>
      <c r="AC92" s="122">
        <f t="shared" si="28"/>
        <v>-1.50027572106353</v>
      </c>
      <c r="AD92" s="122">
        <f t="shared" si="28"/>
        <v>-1.5332817869269277</v>
      </c>
      <c r="AE92" s="122">
        <f t="shared" si="28"/>
        <v>-1.5670139862393202</v>
      </c>
    </row>
    <row r="93" spans="2:31" x14ac:dyDescent="0.35">
      <c r="B93" s="116" t="s">
        <v>3227</v>
      </c>
      <c r="C93" s="116" t="s">
        <v>117</v>
      </c>
      <c r="D93" s="116" t="s">
        <v>3247</v>
      </c>
      <c r="E93" s="116" t="s">
        <v>87</v>
      </c>
      <c r="H93" s="120" t="str">
        <f>Settings!$B$3&amp;".mit.eco2.rblk.mch.2"</f>
        <v>egy.mit.eco2.rblk.mch.2</v>
      </c>
      <c r="I93" s="116" t="s">
        <v>3229</v>
      </c>
      <c r="L93" s="148">
        <f t="shared" ref="L93:AE93" si="29">IF(L91=0,0,L90/L91)</f>
        <v>0</v>
      </c>
      <c r="M93" s="148">
        <f t="shared" si="29"/>
        <v>0</v>
      </c>
      <c r="N93" s="148">
        <f t="shared" si="29"/>
        <v>0</v>
      </c>
      <c r="O93" s="148">
        <f t="shared" si="29"/>
        <v>0</v>
      </c>
      <c r="P93" s="148">
        <f t="shared" si="29"/>
        <v>0</v>
      </c>
      <c r="Q93" s="148">
        <f t="shared" si="29"/>
        <v>0</v>
      </c>
      <c r="R93" s="148">
        <f t="shared" si="29"/>
        <v>0</v>
      </c>
      <c r="S93" s="148">
        <f t="shared" si="29"/>
        <v>0</v>
      </c>
      <c r="T93" s="148">
        <f t="shared" si="29"/>
        <v>0</v>
      </c>
      <c r="U93" s="148">
        <f t="shared" si="29"/>
        <v>0</v>
      </c>
      <c r="V93" s="148">
        <f t="shared" si="29"/>
        <v>0</v>
      </c>
      <c r="W93" s="148">
        <f t="shared" si="29"/>
        <v>0</v>
      </c>
      <c r="X93" s="148">
        <f t="shared" si="29"/>
        <v>0</v>
      </c>
      <c r="Y93" s="148">
        <f t="shared" si="29"/>
        <v>0</v>
      </c>
      <c r="Z93" s="148">
        <f t="shared" si="29"/>
        <v>0</v>
      </c>
      <c r="AA93" s="148">
        <f t="shared" si="29"/>
        <v>0</v>
      </c>
      <c r="AB93" s="148">
        <f t="shared" si="29"/>
        <v>0</v>
      </c>
      <c r="AC93" s="148">
        <f t="shared" si="29"/>
        <v>0</v>
      </c>
      <c r="AD93" s="148">
        <f t="shared" si="29"/>
        <v>0</v>
      </c>
      <c r="AE93" s="148">
        <f t="shared" si="2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33.7304687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31.2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3282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3283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3284</v>
      </c>
      <c r="C5" s="7" t="s">
        <v>3285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6" t="s">
        <v>3286</v>
      </c>
      <c r="C6" s="116" t="s">
        <v>3287</v>
      </c>
      <c r="D6" s="116" t="s">
        <v>3288</v>
      </c>
      <c r="E6" s="116" t="s">
        <v>3289</v>
      </c>
      <c r="F6" s="116" t="s">
        <v>3290</v>
      </c>
      <c r="H6" s="120" t="s">
        <v>3291</v>
      </c>
      <c r="L6" s="150">
        <v>0</v>
      </c>
      <c r="M6" s="150">
        <v>-1</v>
      </c>
      <c r="N6" s="150">
        <v>-1</v>
      </c>
      <c r="O6" s="150">
        <v>-1</v>
      </c>
      <c r="P6" s="150">
        <v>0</v>
      </c>
      <c r="Q6" s="150">
        <v>-6</v>
      </c>
      <c r="R6" s="150">
        <v>490</v>
      </c>
      <c r="S6" s="150">
        <v>520</v>
      </c>
      <c r="T6" s="150">
        <v>525</v>
      </c>
      <c r="U6" s="150">
        <v>486</v>
      </c>
      <c r="V6" s="150">
        <v>510</v>
      </c>
      <c r="W6" s="150">
        <v>599</v>
      </c>
      <c r="X6" s="150">
        <v>496</v>
      </c>
      <c r="Y6" s="150">
        <v>546</v>
      </c>
      <c r="Z6" s="150">
        <v>415</v>
      </c>
      <c r="AA6" s="150">
        <v>424</v>
      </c>
      <c r="AB6" s="150">
        <v>395</v>
      </c>
      <c r="AC6" s="150">
        <v>367</v>
      </c>
      <c r="AD6" s="150">
        <v>311</v>
      </c>
      <c r="AE6" s="150">
        <v>0</v>
      </c>
    </row>
    <row r="7" spans="1:35" x14ac:dyDescent="0.35">
      <c r="B7" s="116" t="s">
        <v>3292</v>
      </c>
      <c r="C7" s="116" t="s">
        <v>3293</v>
      </c>
      <c r="D7" s="116" t="s">
        <v>3288</v>
      </c>
      <c r="E7" s="116" t="s">
        <v>3289</v>
      </c>
      <c r="F7" s="116" t="s">
        <v>3294</v>
      </c>
      <c r="H7" s="120" t="s">
        <v>3291</v>
      </c>
      <c r="L7" s="150">
        <v>0</v>
      </c>
      <c r="M7" s="150">
        <v>-1</v>
      </c>
      <c r="N7" s="150">
        <v>-1</v>
      </c>
      <c r="O7" s="150">
        <v>-1</v>
      </c>
      <c r="P7" s="150">
        <v>0</v>
      </c>
      <c r="Q7" s="150">
        <v>-6</v>
      </c>
      <c r="R7" s="150">
        <v>490</v>
      </c>
      <c r="S7" s="150">
        <v>531</v>
      </c>
      <c r="T7" s="150">
        <v>547</v>
      </c>
      <c r="U7" s="150">
        <v>579</v>
      </c>
      <c r="V7" s="150">
        <v>616</v>
      </c>
      <c r="W7" s="150">
        <v>714</v>
      </c>
      <c r="X7" s="150">
        <v>589</v>
      </c>
      <c r="Y7" s="150">
        <v>654</v>
      </c>
      <c r="Z7" s="150">
        <v>541</v>
      </c>
      <c r="AA7" s="150">
        <v>519</v>
      </c>
      <c r="AB7" s="150">
        <v>509</v>
      </c>
      <c r="AC7" s="150">
        <v>465</v>
      </c>
      <c r="AD7" s="150">
        <v>411</v>
      </c>
      <c r="AE7" s="150">
        <v>0</v>
      </c>
    </row>
    <row r="8" spans="1:35" x14ac:dyDescent="0.35">
      <c r="B8" s="116" t="s">
        <v>3295</v>
      </c>
      <c r="C8" s="116" t="s">
        <v>3296</v>
      </c>
      <c r="D8" s="116" t="s">
        <v>3288</v>
      </c>
      <c r="E8" s="116" t="s">
        <v>3289</v>
      </c>
      <c r="F8" s="116" t="s">
        <v>3297</v>
      </c>
      <c r="H8" s="120" t="s">
        <v>3291</v>
      </c>
      <c r="L8" s="150">
        <v>0</v>
      </c>
      <c r="M8" s="150">
        <v>1</v>
      </c>
      <c r="N8" s="150">
        <v>1</v>
      </c>
      <c r="O8" s="150">
        <v>1</v>
      </c>
      <c r="P8" s="150">
        <v>1</v>
      </c>
      <c r="Q8" s="150">
        <v>4</v>
      </c>
      <c r="R8" s="150">
        <v>43</v>
      </c>
      <c r="S8" s="150">
        <v>108</v>
      </c>
      <c r="T8" s="150">
        <v>182</v>
      </c>
      <c r="U8" s="150">
        <v>373</v>
      </c>
      <c r="V8" s="150">
        <v>560</v>
      </c>
      <c r="W8" s="150">
        <v>806</v>
      </c>
      <c r="X8" s="150">
        <v>755</v>
      </c>
      <c r="Y8" s="150">
        <v>921</v>
      </c>
      <c r="Z8" s="150">
        <v>911</v>
      </c>
      <c r="AA8" s="150">
        <v>845</v>
      </c>
      <c r="AB8" s="150">
        <v>913</v>
      </c>
      <c r="AC8" s="150">
        <v>844</v>
      </c>
      <c r="AD8" s="150">
        <v>858</v>
      </c>
      <c r="AE8" s="150">
        <v>0</v>
      </c>
    </row>
    <row r="9" spans="1:35" x14ac:dyDescent="0.35">
      <c r="B9" s="116" t="s">
        <v>3298</v>
      </c>
      <c r="C9" s="116" t="s">
        <v>3299</v>
      </c>
      <c r="D9" s="116" t="s">
        <v>3288</v>
      </c>
      <c r="E9" s="116" t="s">
        <v>3289</v>
      </c>
      <c r="F9" s="116" t="s">
        <v>3300</v>
      </c>
      <c r="H9" s="120" t="s">
        <v>3291</v>
      </c>
      <c r="L9" s="150">
        <v>0</v>
      </c>
      <c r="M9" s="150">
        <v>0</v>
      </c>
      <c r="N9" s="150">
        <v>0</v>
      </c>
      <c r="O9" s="150">
        <v>0</v>
      </c>
      <c r="P9" s="150">
        <v>0</v>
      </c>
      <c r="Q9" s="150">
        <v>0</v>
      </c>
      <c r="R9" s="150">
        <v>0</v>
      </c>
      <c r="S9" s="150">
        <v>37</v>
      </c>
      <c r="T9" s="150">
        <v>71</v>
      </c>
      <c r="U9" s="150">
        <v>113</v>
      </c>
      <c r="V9" s="150">
        <v>766</v>
      </c>
      <c r="W9" s="150">
        <v>812</v>
      </c>
      <c r="X9" s="150">
        <v>695</v>
      </c>
      <c r="Y9" s="150">
        <v>817</v>
      </c>
      <c r="Z9" s="150">
        <v>781</v>
      </c>
      <c r="AA9" s="150">
        <v>736</v>
      </c>
      <c r="AB9" s="150">
        <v>799</v>
      </c>
      <c r="AC9" s="150">
        <v>748</v>
      </c>
      <c r="AD9" s="150">
        <v>763</v>
      </c>
      <c r="AE9" s="150">
        <v>0</v>
      </c>
    </row>
    <row r="10" spans="1:35" x14ac:dyDescent="0.35">
      <c r="B10" s="116" t="s">
        <v>3301</v>
      </c>
      <c r="C10" s="116" t="s">
        <v>3287</v>
      </c>
      <c r="D10" s="116" t="s">
        <v>3302</v>
      </c>
      <c r="E10" s="116" t="s">
        <v>3289</v>
      </c>
      <c r="F10" s="116" t="s">
        <v>3290</v>
      </c>
      <c r="H10" s="120" t="s">
        <v>3303</v>
      </c>
      <c r="L10" s="150">
        <v>0</v>
      </c>
      <c r="M10" s="150">
        <v>-1</v>
      </c>
      <c r="N10" s="150">
        <v>-1</v>
      </c>
      <c r="O10" s="150">
        <v>-1</v>
      </c>
      <c r="P10" s="150">
        <v>-1</v>
      </c>
      <c r="Q10" s="150">
        <v>-10</v>
      </c>
      <c r="R10" s="150">
        <v>894</v>
      </c>
      <c r="S10" s="150">
        <v>951</v>
      </c>
      <c r="T10" s="150">
        <v>960</v>
      </c>
      <c r="U10" s="150">
        <v>893</v>
      </c>
      <c r="V10" s="150">
        <v>937</v>
      </c>
      <c r="W10" s="150">
        <v>1109</v>
      </c>
      <c r="X10" s="150">
        <v>956</v>
      </c>
      <c r="Y10" s="150">
        <v>1053</v>
      </c>
      <c r="Z10" s="150">
        <v>838</v>
      </c>
      <c r="AA10" s="150">
        <v>863</v>
      </c>
      <c r="AB10" s="150">
        <v>821</v>
      </c>
      <c r="AC10" s="150">
        <v>777</v>
      </c>
      <c r="AD10" s="150">
        <v>670</v>
      </c>
      <c r="AE10" s="150">
        <v>0</v>
      </c>
    </row>
    <row r="11" spans="1:35" x14ac:dyDescent="0.35">
      <c r="B11" s="116" t="s">
        <v>3304</v>
      </c>
      <c r="C11" s="116" t="s">
        <v>3293</v>
      </c>
      <c r="D11" s="116" t="s">
        <v>3302</v>
      </c>
      <c r="E11" s="116" t="s">
        <v>3289</v>
      </c>
      <c r="F11" s="116" t="s">
        <v>3294</v>
      </c>
      <c r="H11" s="120" t="s">
        <v>3303</v>
      </c>
      <c r="L11" s="150">
        <v>0</v>
      </c>
      <c r="M11" s="150">
        <v>-1</v>
      </c>
      <c r="N11" s="150">
        <v>-1</v>
      </c>
      <c r="O11" s="150">
        <v>-1</v>
      </c>
      <c r="P11" s="150">
        <v>-1</v>
      </c>
      <c r="Q11" s="150">
        <v>-10</v>
      </c>
      <c r="R11" s="150">
        <v>894</v>
      </c>
      <c r="S11" s="150">
        <v>972</v>
      </c>
      <c r="T11" s="150">
        <v>1002</v>
      </c>
      <c r="U11" s="150">
        <v>1061</v>
      </c>
      <c r="V11" s="150">
        <v>1129</v>
      </c>
      <c r="W11" s="150">
        <v>1318</v>
      </c>
      <c r="X11" s="150">
        <v>1132</v>
      </c>
      <c r="Y11" s="150">
        <v>1258</v>
      </c>
      <c r="Z11" s="150">
        <v>1077</v>
      </c>
      <c r="AA11" s="150">
        <v>1054</v>
      </c>
      <c r="AB11" s="150">
        <v>1047</v>
      </c>
      <c r="AC11" s="150">
        <v>980</v>
      </c>
      <c r="AD11" s="150">
        <v>878</v>
      </c>
      <c r="AE11" s="150">
        <v>0</v>
      </c>
    </row>
    <row r="12" spans="1:35" x14ac:dyDescent="0.35">
      <c r="B12" s="116" t="s">
        <v>3305</v>
      </c>
      <c r="C12" s="116" t="s">
        <v>3296</v>
      </c>
      <c r="D12" s="116" t="s">
        <v>3302</v>
      </c>
      <c r="E12" s="116" t="s">
        <v>3289</v>
      </c>
      <c r="F12" s="116" t="s">
        <v>3297</v>
      </c>
      <c r="H12" s="120" t="s">
        <v>3303</v>
      </c>
      <c r="L12" s="150">
        <v>0</v>
      </c>
      <c r="M12" s="150">
        <v>1</v>
      </c>
      <c r="N12" s="150">
        <v>2</v>
      </c>
      <c r="O12" s="150">
        <v>2</v>
      </c>
      <c r="P12" s="150">
        <v>1</v>
      </c>
      <c r="Q12" s="150">
        <v>8</v>
      </c>
      <c r="R12" s="150">
        <v>80</v>
      </c>
      <c r="S12" s="150">
        <v>201</v>
      </c>
      <c r="T12" s="150">
        <v>338</v>
      </c>
      <c r="U12" s="150">
        <v>689</v>
      </c>
      <c r="V12" s="150">
        <v>1031</v>
      </c>
      <c r="W12" s="150">
        <v>1493</v>
      </c>
      <c r="X12" s="150">
        <v>1458</v>
      </c>
      <c r="Y12" s="150">
        <v>1780</v>
      </c>
      <c r="Z12" s="150">
        <v>1801</v>
      </c>
      <c r="AA12" s="150">
        <v>1729</v>
      </c>
      <c r="AB12" s="150">
        <v>1884</v>
      </c>
      <c r="AC12" s="150">
        <v>1796</v>
      </c>
      <c r="AD12" s="150">
        <v>1844</v>
      </c>
      <c r="AE12" s="150">
        <v>0</v>
      </c>
    </row>
    <row r="13" spans="1:35" x14ac:dyDescent="0.35">
      <c r="B13" s="116" t="s">
        <v>3306</v>
      </c>
      <c r="C13" s="116" t="s">
        <v>3299</v>
      </c>
      <c r="D13" s="116" t="s">
        <v>3302</v>
      </c>
      <c r="E13" s="116" t="s">
        <v>3289</v>
      </c>
      <c r="F13" s="116" t="s">
        <v>3300</v>
      </c>
      <c r="H13" s="120" t="s">
        <v>3303</v>
      </c>
      <c r="L13" s="150">
        <v>0</v>
      </c>
      <c r="M13" s="150">
        <v>0</v>
      </c>
      <c r="N13" s="150">
        <v>0</v>
      </c>
      <c r="O13" s="150">
        <v>0</v>
      </c>
      <c r="P13" s="150">
        <v>0</v>
      </c>
      <c r="Q13" s="150">
        <v>0</v>
      </c>
      <c r="R13" s="150">
        <v>0</v>
      </c>
      <c r="S13" s="150">
        <v>69</v>
      </c>
      <c r="T13" s="150">
        <v>132</v>
      </c>
      <c r="U13" s="150">
        <v>208</v>
      </c>
      <c r="V13" s="150">
        <v>1393</v>
      </c>
      <c r="W13" s="150">
        <v>1485</v>
      </c>
      <c r="X13" s="150">
        <v>1327</v>
      </c>
      <c r="Y13" s="150">
        <v>1564</v>
      </c>
      <c r="Z13" s="150">
        <v>1533</v>
      </c>
      <c r="AA13" s="150">
        <v>1491</v>
      </c>
      <c r="AB13" s="150">
        <v>1636</v>
      </c>
      <c r="AC13" s="150">
        <v>1581</v>
      </c>
      <c r="AD13" s="150">
        <v>1630</v>
      </c>
      <c r="AE13" s="150">
        <v>0</v>
      </c>
    </row>
    <row r="14" spans="1:35" x14ac:dyDescent="0.35">
      <c r="B14" s="116" t="s">
        <v>3307</v>
      </c>
      <c r="C14" s="116" t="s">
        <v>3287</v>
      </c>
      <c r="D14" s="116" t="s">
        <v>3308</v>
      </c>
      <c r="E14" s="116" t="s">
        <v>3289</v>
      </c>
      <c r="F14" s="116" t="s">
        <v>3290</v>
      </c>
      <c r="H14" s="120" t="s">
        <v>3309</v>
      </c>
      <c r="L14" s="150">
        <v>0</v>
      </c>
      <c r="M14" s="150">
        <v>0</v>
      </c>
      <c r="N14" s="150">
        <v>0</v>
      </c>
      <c r="O14" s="150">
        <v>0</v>
      </c>
      <c r="P14" s="150">
        <v>0</v>
      </c>
      <c r="Q14" s="150">
        <v>-1</v>
      </c>
      <c r="R14" s="150">
        <v>74</v>
      </c>
      <c r="S14" s="150">
        <v>78</v>
      </c>
      <c r="T14" s="150">
        <v>79</v>
      </c>
      <c r="U14" s="150">
        <v>72</v>
      </c>
      <c r="V14" s="150">
        <v>76</v>
      </c>
      <c r="W14" s="150">
        <v>88</v>
      </c>
      <c r="X14" s="150">
        <v>70</v>
      </c>
      <c r="Y14" s="150">
        <v>77</v>
      </c>
      <c r="Z14" s="150">
        <v>56</v>
      </c>
      <c r="AA14" s="150">
        <v>56</v>
      </c>
      <c r="AB14" s="150">
        <v>52</v>
      </c>
      <c r="AC14" s="150">
        <v>48</v>
      </c>
      <c r="AD14" s="150">
        <v>49</v>
      </c>
      <c r="AE14" s="150">
        <v>0</v>
      </c>
    </row>
    <row r="15" spans="1:35" x14ac:dyDescent="0.35">
      <c r="B15" s="116" t="s">
        <v>3310</v>
      </c>
      <c r="C15" s="116" t="s">
        <v>3293</v>
      </c>
      <c r="D15" s="116" t="s">
        <v>3308</v>
      </c>
      <c r="E15" s="116" t="s">
        <v>3289</v>
      </c>
      <c r="F15" s="116" t="s">
        <v>3294</v>
      </c>
      <c r="H15" s="120" t="s">
        <v>3309</v>
      </c>
      <c r="L15" s="150">
        <v>0</v>
      </c>
      <c r="M15" s="150">
        <v>0</v>
      </c>
      <c r="N15" s="150">
        <v>0</v>
      </c>
      <c r="O15" s="150">
        <v>0</v>
      </c>
      <c r="P15" s="150">
        <v>0</v>
      </c>
      <c r="Q15" s="150">
        <v>-1</v>
      </c>
      <c r="R15" s="150">
        <v>74</v>
      </c>
      <c r="S15" s="150">
        <v>80</v>
      </c>
      <c r="T15" s="150">
        <v>82</v>
      </c>
      <c r="U15" s="150">
        <v>87</v>
      </c>
      <c r="V15" s="150">
        <v>92</v>
      </c>
      <c r="W15" s="150">
        <v>106</v>
      </c>
      <c r="X15" s="150">
        <v>84</v>
      </c>
      <c r="Y15" s="150">
        <v>93</v>
      </c>
      <c r="Z15" s="150">
        <v>75</v>
      </c>
      <c r="AA15" s="150">
        <v>70</v>
      </c>
      <c r="AB15" s="150">
        <v>69</v>
      </c>
      <c r="AC15" s="150">
        <v>63</v>
      </c>
      <c r="AD15" s="150">
        <v>66</v>
      </c>
      <c r="AE15" s="150">
        <v>0</v>
      </c>
    </row>
    <row r="16" spans="1:35" x14ac:dyDescent="0.35">
      <c r="B16" s="116" t="s">
        <v>3311</v>
      </c>
      <c r="C16" s="116" t="s">
        <v>3296</v>
      </c>
      <c r="D16" s="116" t="s">
        <v>3308</v>
      </c>
      <c r="E16" s="116" t="s">
        <v>3289</v>
      </c>
      <c r="F16" s="116" t="s">
        <v>3297</v>
      </c>
      <c r="H16" s="120" t="s">
        <v>3309</v>
      </c>
      <c r="L16" s="150">
        <v>0</v>
      </c>
      <c r="M16" s="150">
        <v>0</v>
      </c>
      <c r="N16" s="150">
        <v>0</v>
      </c>
      <c r="O16" s="150">
        <v>0</v>
      </c>
      <c r="P16" s="150">
        <v>0</v>
      </c>
      <c r="Q16" s="150">
        <v>1</v>
      </c>
      <c r="R16" s="150">
        <v>6</v>
      </c>
      <c r="S16" s="150">
        <v>16</v>
      </c>
      <c r="T16" s="150">
        <v>26</v>
      </c>
      <c r="U16" s="150">
        <v>55</v>
      </c>
      <c r="V16" s="150">
        <v>83</v>
      </c>
      <c r="W16" s="150">
        <v>118</v>
      </c>
      <c r="X16" s="150">
        <v>106</v>
      </c>
      <c r="Y16" s="150">
        <v>129</v>
      </c>
      <c r="Z16" s="150">
        <v>124</v>
      </c>
      <c r="AA16" s="150">
        <v>111</v>
      </c>
      <c r="AB16" s="150">
        <v>118</v>
      </c>
      <c r="AC16" s="150">
        <v>108</v>
      </c>
      <c r="AD16" s="150">
        <v>118</v>
      </c>
      <c r="AE16" s="150">
        <v>0</v>
      </c>
    </row>
    <row r="17" spans="2:31" x14ac:dyDescent="0.35">
      <c r="B17" s="116" t="s">
        <v>3312</v>
      </c>
      <c r="C17" s="116" t="s">
        <v>3299</v>
      </c>
      <c r="D17" s="116" t="s">
        <v>3308</v>
      </c>
      <c r="E17" s="116" t="s">
        <v>3289</v>
      </c>
      <c r="F17" s="116" t="s">
        <v>3300</v>
      </c>
      <c r="H17" s="120" t="s">
        <v>3309</v>
      </c>
      <c r="L17" s="150">
        <v>0</v>
      </c>
      <c r="M17" s="150">
        <v>0</v>
      </c>
      <c r="N17" s="150">
        <v>0</v>
      </c>
      <c r="O17" s="150">
        <v>0</v>
      </c>
      <c r="P17" s="150">
        <v>0</v>
      </c>
      <c r="Q17" s="150">
        <v>0</v>
      </c>
      <c r="R17" s="150">
        <v>0</v>
      </c>
      <c r="S17" s="150">
        <v>5</v>
      </c>
      <c r="T17" s="150">
        <v>10</v>
      </c>
      <c r="U17" s="150">
        <v>16</v>
      </c>
      <c r="V17" s="150">
        <v>117</v>
      </c>
      <c r="W17" s="150">
        <v>123</v>
      </c>
      <c r="X17" s="150">
        <v>102</v>
      </c>
      <c r="Y17" s="150">
        <v>119</v>
      </c>
      <c r="Z17" s="150">
        <v>111</v>
      </c>
      <c r="AA17" s="150">
        <v>101</v>
      </c>
      <c r="AB17" s="150">
        <v>108</v>
      </c>
      <c r="AC17" s="150">
        <v>100</v>
      </c>
      <c r="AD17" s="150">
        <v>110</v>
      </c>
      <c r="AE17" s="150">
        <v>0</v>
      </c>
    </row>
    <row r="18" spans="2:31" x14ac:dyDescent="0.35">
      <c r="B18" s="116" t="s">
        <v>3313</v>
      </c>
      <c r="C18" s="116" t="s">
        <v>3287</v>
      </c>
      <c r="D18" s="116" t="s">
        <v>3314</v>
      </c>
      <c r="E18" s="116" t="s">
        <v>3315</v>
      </c>
      <c r="F18" s="116" t="s">
        <v>3290</v>
      </c>
      <c r="H18" s="120" t="s">
        <v>3316</v>
      </c>
      <c r="L18" s="150">
        <v>0</v>
      </c>
      <c r="M18" s="150">
        <v>-2</v>
      </c>
      <c r="N18" s="150">
        <v>-4</v>
      </c>
      <c r="O18" s="150">
        <v>-5</v>
      </c>
      <c r="P18" s="150">
        <v>-6</v>
      </c>
      <c r="Q18" s="150">
        <v>-23</v>
      </c>
      <c r="R18" s="150">
        <v>1435</v>
      </c>
      <c r="S18" s="150">
        <v>2985</v>
      </c>
      <c r="T18" s="150">
        <v>4549</v>
      </c>
      <c r="U18" s="150">
        <v>6001</v>
      </c>
      <c r="V18" s="150">
        <v>7524</v>
      </c>
      <c r="W18" s="150">
        <v>9319</v>
      </c>
      <c r="X18" s="150">
        <v>10842</v>
      </c>
      <c r="Y18" s="150">
        <v>12518</v>
      </c>
      <c r="Z18" s="150">
        <v>13827</v>
      </c>
      <c r="AA18" s="150">
        <v>15170</v>
      </c>
      <c r="AB18" s="150">
        <v>16438</v>
      </c>
      <c r="AC18" s="150">
        <v>17630</v>
      </c>
      <c r="AD18" s="150">
        <v>18660</v>
      </c>
      <c r="AE18" s="150">
        <v>0</v>
      </c>
    </row>
    <row r="19" spans="2:31" x14ac:dyDescent="0.35">
      <c r="B19" s="116" t="s">
        <v>3317</v>
      </c>
      <c r="C19" s="116" t="s">
        <v>3293</v>
      </c>
      <c r="D19" s="116" t="s">
        <v>3314</v>
      </c>
      <c r="E19" s="116" t="s">
        <v>3315</v>
      </c>
      <c r="F19" s="116" t="s">
        <v>3294</v>
      </c>
      <c r="H19" s="120" t="s">
        <v>3316</v>
      </c>
      <c r="L19" s="150">
        <v>0</v>
      </c>
      <c r="M19" s="150">
        <v>-2</v>
      </c>
      <c r="N19" s="150">
        <v>-4</v>
      </c>
      <c r="O19" s="150">
        <v>-5</v>
      </c>
      <c r="P19" s="150">
        <v>-6</v>
      </c>
      <c r="Q19" s="150">
        <v>-23</v>
      </c>
      <c r="R19" s="150">
        <v>1435</v>
      </c>
      <c r="S19" s="150">
        <v>3018</v>
      </c>
      <c r="T19" s="150">
        <v>4650</v>
      </c>
      <c r="U19" s="150">
        <v>6375</v>
      </c>
      <c r="V19" s="150">
        <v>8212</v>
      </c>
      <c r="W19" s="150">
        <v>10350</v>
      </c>
      <c r="X19" s="150">
        <v>12156</v>
      </c>
      <c r="Y19" s="150">
        <v>14162</v>
      </c>
      <c r="Z19" s="150">
        <v>15856</v>
      </c>
      <c r="AA19" s="150">
        <v>17499</v>
      </c>
      <c r="AB19" s="150">
        <v>19123</v>
      </c>
      <c r="AC19" s="150">
        <v>20631</v>
      </c>
      <c r="AD19" s="150">
        <v>21986</v>
      </c>
      <c r="AE19" s="150">
        <v>0</v>
      </c>
    </row>
    <row r="20" spans="2:31" x14ac:dyDescent="0.35">
      <c r="B20" s="116" t="s">
        <v>3318</v>
      </c>
      <c r="C20" s="116" t="s">
        <v>3296</v>
      </c>
      <c r="D20" s="116" t="s">
        <v>3314</v>
      </c>
      <c r="E20" s="116" t="s">
        <v>3315</v>
      </c>
      <c r="F20" s="116" t="s">
        <v>3297</v>
      </c>
      <c r="H20" s="120" t="s">
        <v>3316</v>
      </c>
      <c r="L20" s="150">
        <v>0</v>
      </c>
      <c r="M20" s="150">
        <v>2</v>
      </c>
      <c r="N20" s="150">
        <v>5</v>
      </c>
      <c r="O20" s="150">
        <v>7</v>
      </c>
      <c r="P20" s="150">
        <v>9</v>
      </c>
      <c r="Q20" s="150">
        <v>22</v>
      </c>
      <c r="R20" s="150">
        <v>152</v>
      </c>
      <c r="S20" s="150">
        <v>477</v>
      </c>
      <c r="T20" s="150">
        <v>1023</v>
      </c>
      <c r="U20" s="150">
        <v>2140</v>
      </c>
      <c r="V20" s="150">
        <v>3814</v>
      </c>
      <c r="W20" s="150">
        <v>6231</v>
      </c>
      <c r="X20" s="150">
        <v>8551</v>
      </c>
      <c r="Y20" s="150">
        <v>11381</v>
      </c>
      <c r="Z20" s="150">
        <v>14218</v>
      </c>
      <c r="AA20" s="150">
        <v>16902</v>
      </c>
      <c r="AB20" s="150">
        <v>19818</v>
      </c>
      <c r="AC20" s="150">
        <v>22565</v>
      </c>
      <c r="AD20" s="150">
        <v>25384</v>
      </c>
      <c r="AE20" s="150">
        <v>0</v>
      </c>
    </row>
    <row r="21" spans="2:31" x14ac:dyDescent="0.35">
      <c r="B21" s="116" t="s">
        <v>3319</v>
      </c>
      <c r="C21" s="116" t="s">
        <v>3299</v>
      </c>
      <c r="D21" s="116" t="s">
        <v>3314</v>
      </c>
      <c r="E21" s="116" t="s">
        <v>3315</v>
      </c>
      <c r="F21" s="116" t="s">
        <v>3300</v>
      </c>
      <c r="H21" s="120" t="s">
        <v>3316</v>
      </c>
      <c r="L21" s="150">
        <v>0</v>
      </c>
      <c r="M21" s="150">
        <v>0</v>
      </c>
      <c r="N21" s="150">
        <v>0</v>
      </c>
      <c r="O21" s="150">
        <v>0</v>
      </c>
      <c r="P21" s="150">
        <v>0</v>
      </c>
      <c r="Q21" s="150">
        <v>0</v>
      </c>
      <c r="R21" s="150">
        <v>0</v>
      </c>
      <c r="S21" s="150">
        <v>112</v>
      </c>
      <c r="T21" s="150">
        <v>326</v>
      </c>
      <c r="U21" s="150">
        <v>663</v>
      </c>
      <c r="V21" s="150">
        <v>2939</v>
      </c>
      <c r="W21" s="150">
        <v>5359</v>
      </c>
      <c r="X21" s="150">
        <v>7484</v>
      </c>
      <c r="Y21" s="150">
        <v>9984</v>
      </c>
      <c r="Z21" s="150">
        <v>12409</v>
      </c>
      <c r="AA21" s="150">
        <v>14737</v>
      </c>
      <c r="AB21" s="150">
        <v>17281</v>
      </c>
      <c r="AC21" s="150">
        <v>19710</v>
      </c>
      <c r="AD21" s="150">
        <v>22213</v>
      </c>
      <c r="AE21" s="150">
        <v>0</v>
      </c>
    </row>
    <row r="22" spans="2:31" x14ac:dyDescent="0.35">
      <c r="B22" s="116" t="s">
        <v>3320</v>
      </c>
      <c r="C22" s="116" t="s">
        <v>3287</v>
      </c>
      <c r="D22" s="116" t="s">
        <v>3321</v>
      </c>
      <c r="E22" s="116" t="s">
        <v>3289</v>
      </c>
      <c r="F22" s="116" t="s">
        <v>3290</v>
      </c>
      <c r="H22" s="120" t="s">
        <v>3322</v>
      </c>
      <c r="L22" s="150">
        <v>64271.06</v>
      </c>
      <c r="M22" s="150">
        <v>65359.22</v>
      </c>
      <c r="N22" s="150">
        <v>68207.960000000006</v>
      </c>
      <c r="O22" s="150">
        <v>72071.63</v>
      </c>
      <c r="P22" s="150">
        <v>74237.56</v>
      </c>
      <c r="Q22" s="150">
        <v>76020.81</v>
      </c>
      <c r="R22" s="150">
        <v>78006.45</v>
      </c>
      <c r="S22" s="150">
        <v>80189.13</v>
      </c>
      <c r="T22" s="150">
        <v>82651</v>
      </c>
      <c r="U22" s="150">
        <v>85545.69</v>
      </c>
      <c r="V22" s="150">
        <v>90724.49</v>
      </c>
      <c r="W22" s="150">
        <v>96340.32</v>
      </c>
      <c r="X22" s="150">
        <v>101167.06</v>
      </c>
      <c r="Y22" s="150">
        <v>106485.14</v>
      </c>
      <c r="Z22" s="150">
        <v>111793.99</v>
      </c>
      <c r="AA22" s="150">
        <v>116629.68</v>
      </c>
      <c r="AB22" s="150">
        <v>121707.95</v>
      </c>
      <c r="AC22" s="150">
        <v>126478.09</v>
      </c>
      <c r="AD22" s="150">
        <v>131348.4</v>
      </c>
      <c r="AE22" s="150">
        <v>0</v>
      </c>
    </row>
    <row r="23" spans="2:31" x14ac:dyDescent="0.35">
      <c r="B23" s="116" t="s">
        <v>3323</v>
      </c>
      <c r="C23" s="116" t="s">
        <v>3293</v>
      </c>
      <c r="D23" s="116" t="s">
        <v>3321</v>
      </c>
      <c r="E23" s="116" t="s">
        <v>3289</v>
      </c>
      <c r="F23" s="116" t="s">
        <v>3294</v>
      </c>
      <c r="H23" s="120" t="s">
        <v>3322</v>
      </c>
      <c r="L23" s="150">
        <v>64271.06</v>
      </c>
      <c r="M23" s="150">
        <v>65359.22</v>
      </c>
      <c r="N23" s="150">
        <v>68207.960000000006</v>
      </c>
      <c r="O23" s="150">
        <v>72071.63</v>
      </c>
      <c r="P23" s="150">
        <v>74237.56</v>
      </c>
      <c r="Q23" s="150">
        <v>76020.81</v>
      </c>
      <c r="R23" s="150">
        <v>78006.45</v>
      </c>
      <c r="S23" s="150">
        <v>80189.13</v>
      </c>
      <c r="T23" s="150">
        <v>82651</v>
      </c>
      <c r="U23" s="150">
        <v>85545.69</v>
      </c>
      <c r="V23" s="150">
        <v>90724.49</v>
      </c>
      <c r="W23" s="150">
        <v>96340.32</v>
      </c>
      <c r="X23" s="150">
        <v>101167.06</v>
      </c>
      <c r="Y23" s="150">
        <v>106485.14</v>
      </c>
      <c r="Z23" s="150">
        <v>111793.99</v>
      </c>
      <c r="AA23" s="150">
        <v>116629.68</v>
      </c>
      <c r="AB23" s="150">
        <v>121707.95</v>
      </c>
      <c r="AC23" s="150">
        <v>126478.09</v>
      </c>
      <c r="AD23" s="150">
        <v>131348.4</v>
      </c>
      <c r="AE23" s="150">
        <v>0</v>
      </c>
    </row>
    <row r="24" spans="2:31" x14ac:dyDescent="0.35">
      <c r="B24" s="116" t="s">
        <v>3324</v>
      </c>
      <c r="C24" s="116" t="s">
        <v>3296</v>
      </c>
      <c r="D24" s="116" t="s">
        <v>3321</v>
      </c>
      <c r="E24" s="116" t="s">
        <v>3289</v>
      </c>
      <c r="F24" s="116" t="s">
        <v>3297</v>
      </c>
      <c r="H24" s="120" t="s">
        <v>3322</v>
      </c>
      <c r="L24" s="150">
        <v>64271.06</v>
      </c>
      <c r="M24" s="150">
        <v>65359.22</v>
      </c>
      <c r="N24" s="150">
        <v>68207.960000000006</v>
      </c>
      <c r="O24" s="150">
        <v>72071.63</v>
      </c>
      <c r="P24" s="150">
        <v>74237.56</v>
      </c>
      <c r="Q24" s="150">
        <v>76020.81</v>
      </c>
      <c r="R24" s="150">
        <v>78006.45</v>
      </c>
      <c r="S24" s="150">
        <v>80189.13</v>
      </c>
      <c r="T24" s="150">
        <v>82651</v>
      </c>
      <c r="U24" s="150">
        <v>85545.69</v>
      </c>
      <c r="V24" s="150">
        <v>90724.49</v>
      </c>
      <c r="W24" s="150">
        <v>96340.32</v>
      </c>
      <c r="X24" s="150">
        <v>101167.06</v>
      </c>
      <c r="Y24" s="150">
        <v>106485.14</v>
      </c>
      <c r="Z24" s="150">
        <v>111793.99</v>
      </c>
      <c r="AA24" s="150">
        <v>116629.68</v>
      </c>
      <c r="AB24" s="150">
        <v>121707.95</v>
      </c>
      <c r="AC24" s="150">
        <v>126478.09</v>
      </c>
      <c r="AD24" s="150">
        <v>131348.4</v>
      </c>
      <c r="AE24" s="150">
        <v>0</v>
      </c>
    </row>
    <row r="25" spans="2:31" x14ac:dyDescent="0.35">
      <c r="B25" s="116" t="s">
        <v>3325</v>
      </c>
      <c r="C25" s="116" t="s">
        <v>3299</v>
      </c>
      <c r="D25" s="116" t="s">
        <v>3321</v>
      </c>
      <c r="E25" s="116" t="s">
        <v>3289</v>
      </c>
      <c r="F25" s="116" t="s">
        <v>3300</v>
      </c>
      <c r="H25" s="120" t="s">
        <v>3322</v>
      </c>
      <c r="L25" s="150">
        <v>64271.06</v>
      </c>
      <c r="M25" s="150">
        <v>65359.22</v>
      </c>
      <c r="N25" s="150">
        <v>68207.960000000006</v>
      </c>
      <c r="O25" s="150">
        <v>72071.63</v>
      </c>
      <c r="P25" s="150">
        <v>74237.56</v>
      </c>
      <c r="Q25" s="150">
        <v>76020.81</v>
      </c>
      <c r="R25" s="150">
        <v>78006.45</v>
      </c>
      <c r="S25" s="150">
        <v>80189.13</v>
      </c>
      <c r="T25" s="150">
        <v>82651</v>
      </c>
      <c r="U25" s="150">
        <v>85545.69</v>
      </c>
      <c r="V25" s="150">
        <v>90724.49</v>
      </c>
      <c r="W25" s="150">
        <v>96340.32</v>
      </c>
      <c r="X25" s="150">
        <v>101167.06</v>
      </c>
      <c r="Y25" s="150">
        <v>106485.14</v>
      </c>
      <c r="Z25" s="150">
        <v>111793.99</v>
      </c>
      <c r="AA25" s="150">
        <v>116629.68</v>
      </c>
      <c r="AB25" s="150">
        <v>121707.95</v>
      </c>
      <c r="AC25" s="150">
        <v>126478.09</v>
      </c>
      <c r="AD25" s="150">
        <v>131348.4</v>
      </c>
      <c r="AE25" s="150">
        <v>0</v>
      </c>
    </row>
    <row r="26" spans="2:31" x14ac:dyDescent="0.35">
      <c r="B26" s="116" t="s">
        <v>3326</v>
      </c>
      <c r="C26" s="116" t="s">
        <v>3287</v>
      </c>
      <c r="D26" s="116" t="s">
        <v>3327</v>
      </c>
      <c r="E26" s="116" t="s">
        <v>2094</v>
      </c>
      <c r="F26" s="116" t="s">
        <v>3290</v>
      </c>
      <c r="H26" s="120" t="s">
        <v>3328</v>
      </c>
      <c r="L26" s="150">
        <v>210.916</v>
      </c>
      <c r="M26" s="150">
        <v>212.84399999999999</v>
      </c>
      <c r="N26" s="150">
        <v>232.29599999999999</v>
      </c>
      <c r="O26" s="150">
        <v>248.97399999999999</v>
      </c>
      <c r="P26" s="150">
        <v>258.928</v>
      </c>
      <c r="Q26" s="150">
        <v>272.54899999999998</v>
      </c>
      <c r="R26" s="150">
        <v>290.72500000000002</v>
      </c>
      <c r="S26" s="150">
        <v>313.33499999999998</v>
      </c>
      <c r="T26" s="150">
        <v>340.66</v>
      </c>
      <c r="U26" s="150">
        <v>377.47399999999999</v>
      </c>
      <c r="V26" s="150">
        <v>432.851</v>
      </c>
      <c r="W26" s="150">
        <v>493.45400000000001</v>
      </c>
      <c r="X26" s="150">
        <v>546.70600000000002</v>
      </c>
      <c r="Y26" s="150">
        <v>606.58500000000004</v>
      </c>
      <c r="Z26" s="150">
        <v>672.81</v>
      </c>
      <c r="AA26" s="150">
        <v>745.99599999999998</v>
      </c>
      <c r="AB26" s="150">
        <v>826.61500000000001</v>
      </c>
      <c r="AC26" s="150">
        <v>915.12199999999996</v>
      </c>
      <c r="AD26" s="150">
        <v>1012.028</v>
      </c>
      <c r="AE26" s="150">
        <v>1116.913</v>
      </c>
    </row>
    <row r="27" spans="2:31" x14ac:dyDescent="0.35">
      <c r="B27" s="116" t="s">
        <v>3329</v>
      </c>
      <c r="C27" s="116" t="s">
        <v>3293</v>
      </c>
      <c r="D27" s="116" t="s">
        <v>3327</v>
      </c>
      <c r="E27" s="116" t="s">
        <v>2094</v>
      </c>
      <c r="F27" s="116" t="s">
        <v>3294</v>
      </c>
      <c r="H27" s="120" t="s">
        <v>3328</v>
      </c>
      <c r="L27" s="150">
        <v>210.916</v>
      </c>
      <c r="M27" s="150">
        <v>212.84399999999999</v>
      </c>
      <c r="N27" s="150">
        <v>232.29599999999999</v>
      </c>
      <c r="O27" s="150">
        <v>248.97399999999999</v>
      </c>
      <c r="P27" s="150">
        <v>258.928</v>
      </c>
      <c r="Q27" s="150">
        <v>272.54899999999998</v>
      </c>
      <c r="R27" s="150">
        <v>290.72500000000002</v>
      </c>
      <c r="S27" s="150">
        <v>313.33499999999998</v>
      </c>
      <c r="T27" s="150">
        <v>340.66</v>
      </c>
      <c r="U27" s="150">
        <v>377.47399999999999</v>
      </c>
      <c r="V27" s="150">
        <v>432.851</v>
      </c>
      <c r="W27" s="150">
        <v>493.45400000000001</v>
      </c>
      <c r="X27" s="150">
        <v>546.70600000000002</v>
      </c>
      <c r="Y27" s="150">
        <v>606.58500000000004</v>
      </c>
      <c r="Z27" s="150">
        <v>672.81</v>
      </c>
      <c r="AA27" s="150">
        <v>745.99599999999998</v>
      </c>
      <c r="AB27" s="150">
        <v>826.61500000000001</v>
      </c>
      <c r="AC27" s="150">
        <v>915.12199999999996</v>
      </c>
      <c r="AD27" s="150">
        <v>1012.028</v>
      </c>
      <c r="AE27" s="150">
        <v>1116.913</v>
      </c>
    </row>
    <row r="28" spans="2:31" x14ac:dyDescent="0.35">
      <c r="B28" s="116" t="s">
        <v>3330</v>
      </c>
      <c r="C28" s="116" t="s">
        <v>3296</v>
      </c>
      <c r="D28" s="116" t="s">
        <v>3327</v>
      </c>
      <c r="E28" s="116" t="s">
        <v>2094</v>
      </c>
      <c r="F28" s="116" t="s">
        <v>3297</v>
      </c>
      <c r="H28" s="120" t="s">
        <v>3328</v>
      </c>
      <c r="L28" s="150">
        <v>210.916</v>
      </c>
      <c r="M28" s="150">
        <v>212.84399999999999</v>
      </c>
      <c r="N28" s="150">
        <v>232.29599999999999</v>
      </c>
      <c r="O28" s="150">
        <v>248.97399999999999</v>
      </c>
      <c r="P28" s="150">
        <v>258.928</v>
      </c>
      <c r="Q28" s="150">
        <v>272.54899999999998</v>
      </c>
      <c r="R28" s="150">
        <v>290.72500000000002</v>
      </c>
      <c r="S28" s="150">
        <v>313.33499999999998</v>
      </c>
      <c r="T28" s="150">
        <v>340.66</v>
      </c>
      <c r="U28" s="150">
        <v>377.47399999999999</v>
      </c>
      <c r="V28" s="150">
        <v>432.851</v>
      </c>
      <c r="W28" s="150">
        <v>493.45400000000001</v>
      </c>
      <c r="X28" s="150">
        <v>546.70600000000002</v>
      </c>
      <c r="Y28" s="150">
        <v>606.58500000000004</v>
      </c>
      <c r="Z28" s="150">
        <v>672.81</v>
      </c>
      <c r="AA28" s="150">
        <v>745.99599999999998</v>
      </c>
      <c r="AB28" s="150">
        <v>826.61500000000001</v>
      </c>
      <c r="AC28" s="150">
        <v>915.12199999999996</v>
      </c>
      <c r="AD28" s="150">
        <v>1012.028</v>
      </c>
      <c r="AE28" s="150">
        <v>1116.913</v>
      </c>
    </row>
    <row r="29" spans="2:31" x14ac:dyDescent="0.35">
      <c r="B29" s="116" t="s">
        <v>3331</v>
      </c>
      <c r="C29" s="116" t="s">
        <v>3299</v>
      </c>
      <c r="D29" s="116" t="s">
        <v>3327</v>
      </c>
      <c r="E29" s="116" t="s">
        <v>2094</v>
      </c>
      <c r="F29" s="116" t="s">
        <v>3300</v>
      </c>
      <c r="H29" s="120" t="s">
        <v>3328</v>
      </c>
      <c r="L29" s="150">
        <v>210.916</v>
      </c>
      <c r="M29" s="150">
        <v>212.84399999999999</v>
      </c>
      <c r="N29" s="150">
        <v>232.29599999999999</v>
      </c>
      <c r="O29" s="150">
        <v>248.97399999999999</v>
      </c>
      <c r="P29" s="150">
        <v>258.928</v>
      </c>
      <c r="Q29" s="150">
        <v>272.54899999999998</v>
      </c>
      <c r="R29" s="150">
        <v>290.72500000000002</v>
      </c>
      <c r="S29" s="150">
        <v>313.33499999999998</v>
      </c>
      <c r="T29" s="150">
        <v>340.66</v>
      </c>
      <c r="U29" s="150">
        <v>377.47399999999999</v>
      </c>
      <c r="V29" s="150">
        <v>432.851</v>
      </c>
      <c r="W29" s="150">
        <v>493.45400000000001</v>
      </c>
      <c r="X29" s="150">
        <v>546.70600000000002</v>
      </c>
      <c r="Y29" s="150">
        <v>606.58500000000004</v>
      </c>
      <c r="Z29" s="150">
        <v>672.81</v>
      </c>
      <c r="AA29" s="150">
        <v>745.99599999999998</v>
      </c>
      <c r="AB29" s="150">
        <v>826.61500000000001</v>
      </c>
      <c r="AC29" s="150">
        <v>915.12199999999996</v>
      </c>
      <c r="AD29" s="150">
        <v>1012.028</v>
      </c>
      <c r="AE29" s="150">
        <v>1116.913</v>
      </c>
    </row>
    <row r="30" spans="2:31" x14ac:dyDescent="0.35">
      <c r="B30" s="116" t="s">
        <v>3332</v>
      </c>
      <c r="C30" s="116" t="s">
        <v>3287</v>
      </c>
      <c r="D30" s="116" t="s">
        <v>3333</v>
      </c>
      <c r="E30" s="116" t="s">
        <v>2094</v>
      </c>
      <c r="F30" s="116" t="s">
        <v>3290</v>
      </c>
      <c r="H30" s="120" t="s">
        <v>3334</v>
      </c>
      <c r="L30" s="150">
        <v>210.916</v>
      </c>
      <c r="M30" s="150">
        <v>212.745</v>
      </c>
      <c r="N30" s="150">
        <v>232.18199999999999</v>
      </c>
      <c r="O30" s="150">
        <v>248.863</v>
      </c>
      <c r="P30" s="150">
        <v>258.81900000000002</v>
      </c>
      <c r="Q30" s="150">
        <v>272.37200000000001</v>
      </c>
      <c r="R30" s="150">
        <v>268.24799999999999</v>
      </c>
      <c r="S30" s="150">
        <v>282.64400000000001</v>
      </c>
      <c r="T30" s="150">
        <v>313.86500000000001</v>
      </c>
      <c r="U30" s="150">
        <v>350.29700000000003</v>
      </c>
      <c r="V30" s="150">
        <v>411.05</v>
      </c>
      <c r="W30" s="150">
        <v>457.202</v>
      </c>
      <c r="X30" s="150">
        <v>508.70600000000002</v>
      </c>
      <c r="Y30" s="150">
        <v>566.58399999999995</v>
      </c>
      <c r="Z30" s="150">
        <v>631.125</v>
      </c>
      <c r="AA30" s="150">
        <v>702.74900000000002</v>
      </c>
      <c r="AB30" s="150">
        <v>781.96699999999998</v>
      </c>
      <c r="AC30" s="150">
        <v>869.24</v>
      </c>
      <c r="AD30" s="150">
        <v>965.01</v>
      </c>
      <c r="AE30" s="150">
        <v>1068.8430000000001</v>
      </c>
    </row>
    <row r="31" spans="2:31" x14ac:dyDescent="0.35">
      <c r="B31" s="116" t="s">
        <v>3335</v>
      </c>
      <c r="C31" s="116" t="s">
        <v>3293</v>
      </c>
      <c r="D31" s="116" t="s">
        <v>3333</v>
      </c>
      <c r="E31" s="116" t="s">
        <v>2094</v>
      </c>
      <c r="F31" s="116" t="s">
        <v>3294</v>
      </c>
      <c r="H31" s="120" t="s">
        <v>3334</v>
      </c>
      <c r="L31" s="150">
        <v>210.916</v>
      </c>
      <c r="M31" s="150">
        <v>212.745</v>
      </c>
      <c r="N31" s="150">
        <v>232.18199999999999</v>
      </c>
      <c r="O31" s="150">
        <v>248.863</v>
      </c>
      <c r="P31" s="150">
        <v>258.81900000000002</v>
      </c>
      <c r="Q31" s="150">
        <v>272.37200000000001</v>
      </c>
      <c r="R31" s="150">
        <v>268.24799999999999</v>
      </c>
      <c r="S31" s="150">
        <v>281.81299999999999</v>
      </c>
      <c r="T31" s="150">
        <v>312.39600000000002</v>
      </c>
      <c r="U31" s="150">
        <v>347.87400000000002</v>
      </c>
      <c r="V31" s="150">
        <v>407.839</v>
      </c>
      <c r="W31" s="150">
        <v>454.24799999999999</v>
      </c>
      <c r="X31" s="150">
        <v>505.08100000000002</v>
      </c>
      <c r="Y31" s="150">
        <v>562.17100000000005</v>
      </c>
      <c r="Z31" s="150">
        <v>625.77700000000004</v>
      </c>
      <c r="AA31" s="150">
        <v>696.22400000000005</v>
      </c>
      <c r="AB31" s="150">
        <v>774.00599999999997</v>
      </c>
      <c r="AC31" s="150">
        <v>859.59199999999998</v>
      </c>
      <c r="AD31" s="150">
        <v>953.47299999999996</v>
      </c>
      <c r="AE31" s="150">
        <v>1055.258</v>
      </c>
    </row>
    <row r="32" spans="2:31" x14ac:dyDescent="0.35">
      <c r="B32" s="116" t="s">
        <v>3336</v>
      </c>
      <c r="C32" s="116" t="s">
        <v>3296</v>
      </c>
      <c r="D32" s="116" t="s">
        <v>3333</v>
      </c>
      <c r="E32" s="116" t="s">
        <v>2094</v>
      </c>
      <c r="F32" s="116" t="s">
        <v>3297</v>
      </c>
      <c r="H32" s="120" t="s">
        <v>3334</v>
      </c>
      <c r="L32" s="150">
        <v>210.916</v>
      </c>
      <c r="M32" s="150">
        <v>212.84</v>
      </c>
      <c r="N32" s="150">
        <v>232.291</v>
      </c>
      <c r="O32" s="150">
        <v>248.97</v>
      </c>
      <c r="P32" s="150">
        <v>258.92399999999998</v>
      </c>
      <c r="Q32" s="150">
        <v>272.51</v>
      </c>
      <c r="R32" s="150">
        <v>287.22500000000002</v>
      </c>
      <c r="S32" s="150">
        <v>304.67500000000001</v>
      </c>
      <c r="T32" s="150">
        <v>327.45299999999997</v>
      </c>
      <c r="U32" s="150">
        <v>359.86900000000003</v>
      </c>
      <c r="V32" s="150">
        <v>415.78300000000002</v>
      </c>
      <c r="W32" s="150">
        <v>455.00599999999997</v>
      </c>
      <c r="X32" s="150">
        <v>499.99299999999999</v>
      </c>
      <c r="Y32" s="150">
        <v>550.89800000000002</v>
      </c>
      <c r="Z32" s="150">
        <v>608.03700000000003</v>
      </c>
      <c r="AA32" s="150">
        <v>671.65599999999995</v>
      </c>
      <c r="AB32" s="150">
        <v>742.31700000000001</v>
      </c>
      <c r="AC32" s="150">
        <v>820.52099999999996</v>
      </c>
      <c r="AD32" s="150">
        <v>906.79499999999996</v>
      </c>
      <c r="AE32" s="150">
        <v>1000.808</v>
      </c>
    </row>
    <row r="33" spans="2:31" x14ac:dyDescent="0.35">
      <c r="B33" s="116" t="s">
        <v>3337</v>
      </c>
      <c r="C33" s="116" t="s">
        <v>3299</v>
      </c>
      <c r="D33" s="116" t="s">
        <v>3333</v>
      </c>
      <c r="E33" s="116" t="s">
        <v>2094</v>
      </c>
      <c r="F33" s="116" t="s">
        <v>3300</v>
      </c>
      <c r="H33" s="120" t="s">
        <v>3334</v>
      </c>
      <c r="L33" s="150">
        <v>210.916</v>
      </c>
      <c r="M33" s="150">
        <v>212.84399999999999</v>
      </c>
      <c r="N33" s="150">
        <v>232.29599999999999</v>
      </c>
      <c r="O33" s="150">
        <v>248.97399999999999</v>
      </c>
      <c r="P33" s="150">
        <v>258.928</v>
      </c>
      <c r="Q33" s="150">
        <v>272.54899999999998</v>
      </c>
      <c r="R33" s="150">
        <v>290.72500000000002</v>
      </c>
      <c r="S33" s="150">
        <v>306.86500000000001</v>
      </c>
      <c r="T33" s="150">
        <v>330.99</v>
      </c>
      <c r="U33" s="150">
        <v>364.77699999999999</v>
      </c>
      <c r="V33" s="150">
        <v>410.34800000000001</v>
      </c>
      <c r="W33" s="150">
        <v>473.58</v>
      </c>
      <c r="X33" s="150">
        <v>522.28200000000004</v>
      </c>
      <c r="Y33" s="150">
        <v>576.55700000000002</v>
      </c>
      <c r="Z33" s="150">
        <v>636.44600000000003</v>
      </c>
      <c r="AA33" s="150">
        <v>702.58100000000002</v>
      </c>
      <c r="AB33" s="150">
        <v>775.63699999999994</v>
      </c>
      <c r="AC33" s="150">
        <v>856.42899999999997</v>
      </c>
      <c r="AD33" s="150">
        <v>946.00400000000002</v>
      </c>
      <c r="AE33" s="150">
        <v>1041.741</v>
      </c>
    </row>
    <row r="34" spans="2:31" x14ac:dyDescent="0.35">
      <c r="B34" s="116" t="s">
        <v>3338</v>
      </c>
      <c r="C34" s="116" t="s">
        <v>3287</v>
      </c>
      <c r="D34" s="116" t="s">
        <v>3339</v>
      </c>
      <c r="E34" s="116" t="s">
        <v>2094</v>
      </c>
      <c r="F34" s="116" t="s">
        <v>3290</v>
      </c>
      <c r="H34" s="120" t="s">
        <v>3340</v>
      </c>
      <c r="L34" s="150">
        <v>59.633000000000003</v>
      </c>
      <c r="M34" s="150">
        <v>58.890999999999998</v>
      </c>
      <c r="N34" s="150">
        <v>69.841999999999999</v>
      </c>
      <c r="O34" s="150">
        <v>75.484999999999999</v>
      </c>
      <c r="P34" s="150">
        <v>77.64</v>
      </c>
      <c r="Q34" s="150">
        <v>80.161000000000001</v>
      </c>
      <c r="R34" s="150">
        <v>83.221000000000004</v>
      </c>
      <c r="S34" s="150">
        <v>86.179000000000002</v>
      </c>
      <c r="T34" s="150">
        <v>88.972999999999999</v>
      </c>
      <c r="U34" s="150">
        <v>91.808000000000007</v>
      </c>
      <c r="V34" s="150">
        <v>94.674000000000007</v>
      </c>
      <c r="W34" s="150">
        <v>97.59</v>
      </c>
      <c r="X34" s="150">
        <v>100.55800000000001</v>
      </c>
      <c r="Y34" s="150">
        <v>103.575</v>
      </c>
      <c r="Z34" s="150">
        <v>106.643</v>
      </c>
      <c r="AA34" s="150">
        <v>109.76</v>
      </c>
      <c r="AB34" s="150">
        <v>112.926</v>
      </c>
      <c r="AC34" s="150">
        <v>116.14100000000001</v>
      </c>
      <c r="AD34" s="150">
        <v>119.404</v>
      </c>
      <c r="AE34" s="150">
        <v>122.714</v>
      </c>
    </row>
    <row r="35" spans="2:31" x14ac:dyDescent="0.35">
      <c r="B35" s="116" t="s">
        <v>3341</v>
      </c>
      <c r="C35" s="116" t="s">
        <v>3293</v>
      </c>
      <c r="D35" s="116" t="s">
        <v>3339</v>
      </c>
      <c r="E35" s="116" t="s">
        <v>2094</v>
      </c>
      <c r="F35" s="116" t="s">
        <v>3294</v>
      </c>
      <c r="H35" s="120" t="s">
        <v>3340</v>
      </c>
      <c r="L35" s="150">
        <v>59.633000000000003</v>
      </c>
      <c r="M35" s="150">
        <v>58.890999999999998</v>
      </c>
      <c r="N35" s="150">
        <v>69.841999999999999</v>
      </c>
      <c r="O35" s="150">
        <v>75.484999999999999</v>
      </c>
      <c r="P35" s="150">
        <v>77.64</v>
      </c>
      <c r="Q35" s="150">
        <v>80.161000000000001</v>
      </c>
      <c r="R35" s="150">
        <v>83.221000000000004</v>
      </c>
      <c r="S35" s="150">
        <v>86.179000000000002</v>
      </c>
      <c r="T35" s="150">
        <v>88.972999999999999</v>
      </c>
      <c r="U35" s="150">
        <v>91.808000000000007</v>
      </c>
      <c r="V35" s="150">
        <v>94.674000000000007</v>
      </c>
      <c r="W35" s="150">
        <v>97.59</v>
      </c>
      <c r="X35" s="150">
        <v>100.55800000000001</v>
      </c>
      <c r="Y35" s="150">
        <v>103.575</v>
      </c>
      <c r="Z35" s="150">
        <v>106.643</v>
      </c>
      <c r="AA35" s="150">
        <v>109.76</v>
      </c>
      <c r="AB35" s="150">
        <v>112.926</v>
      </c>
      <c r="AC35" s="150">
        <v>116.14100000000001</v>
      </c>
      <c r="AD35" s="150">
        <v>119.404</v>
      </c>
      <c r="AE35" s="150">
        <v>122.714</v>
      </c>
    </row>
    <row r="36" spans="2:31" x14ac:dyDescent="0.35">
      <c r="B36" s="116" t="s">
        <v>3342</v>
      </c>
      <c r="C36" s="116" t="s">
        <v>3296</v>
      </c>
      <c r="D36" s="116" t="s">
        <v>3339</v>
      </c>
      <c r="E36" s="116" t="s">
        <v>2094</v>
      </c>
      <c r="F36" s="116" t="s">
        <v>3297</v>
      </c>
      <c r="H36" s="120" t="s">
        <v>3340</v>
      </c>
      <c r="L36" s="150">
        <v>59.633000000000003</v>
      </c>
      <c r="M36" s="150">
        <v>58.890999999999998</v>
      </c>
      <c r="N36" s="150">
        <v>69.841999999999999</v>
      </c>
      <c r="O36" s="150">
        <v>75.484999999999999</v>
      </c>
      <c r="P36" s="150">
        <v>77.64</v>
      </c>
      <c r="Q36" s="150">
        <v>80.161000000000001</v>
      </c>
      <c r="R36" s="150">
        <v>83.221000000000004</v>
      </c>
      <c r="S36" s="150">
        <v>86.179000000000002</v>
      </c>
      <c r="T36" s="150">
        <v>88.972999999999999</v>
      </c>
      <c r="U36" s="150">
        <v>91.808000000000007</v>
      </c>
      <c r="V36" s="150">
        <v>94.674000000000007</v>
      </c>
      <c r="W36" s="150">
        <v>97.59</v>
      </c>
      <c r="X36" s="150">
        <v>100.55800000000001</v>
      </c>
      <c r="Y36" s="150">
        <v>103.575</v>
      </c>
      <c r="Z36" s="150">
        <v>106.643</v>
      </c>
      <c r="AA36" s="150">
        <v>109.76</v>
      </c>
      <c r="AB36" s="150">
        <v>112.926</v>
      </c>
      <c r="AC36" s="150">
        <v>116.14100000000001</v>
      </c>
      <c r="AD36" s="150">
        <v>119.404</v>
      </c>
      <c r="AE36" s="150">
        <v>122.714</v>
      </c>
    </row>
    <row r="37" spans="2:31" x14ac:dyDescent="0.35">
      <c r="B37" s="116" t="s">
        <v>3343</v>
      </c>
      <c r="C37" s="116" t="s">
        <v>3299</v>
      </c>
      <c r="D37" s="116" t="s">
        <v>3339</v>
      </c>
      <c r="E37" s="116" t="s">
        <v>2094</v>
      </c>
      <c r="F37" s="116" t="s">
        <v>3300</v>
      </c>
      <c r="H37" s="120" t="s">
        <v>3340</v>
      </c>
      <c r="L37" s="150">
        <v>59.633000000000003</v>
      </c>
      <c r="M37" s="150">
        <v>58.890999999999998</v>
      </c>
      <c r="N37" s="150">
        <v>69.841999999999999</v>
      </c>
      <c r="O37" s="150">
        <v>75.484999999999999</v>
      </c>
      <c r="P37" s="150">
        <v>77.64</v>
      </c>
      <c r="Q37" s="150">
        <v>80.161000000000001</v>
      </c>
      <c r="R37" s="150">
        <v>83.221000000000004</v>
      </c>
      <c r="S37" s="150">
        <v>86.179000000000002</v>
      </c>
      <c r="T37" s="150">
        <v>88.972999999999999</v>
      </c>
      <c r="U37" s="150">
        <v>91.808000000000007</v>
      </c>
      <c r="V37" s="150">
        <v>94.674000000000007</v>
      </c>
      <c r="W37" s="150">
        <v>97.59</v>
      </c>
      <c r="X37" s="150">
        <v>100.55800000000001</v>
      </c>
      <c r="Y37" s="150">
        <v>103.575</v>
      </c>
      <c r="Z37" s="150">
        <v>106.643</v>
      </c>
      <c r="AA37" s="150">
        <v>109.76</v>
      </c>
      <c r="AB37" s="150">
        <v>112.926</v>
      </c>
      <c r="AC37" s="150">
        <v>116.14100000000001</v>
      </c>
      <c r="AD37" s="150">
        <v>119.404</v>
      </c>
      <c r="AE37" s="150">
        <v>122.714</v>
      </c>
    </row>
    <row r="38" spans="2:31" x14ac:dyDescent="0.35">
      <c r="B38" s="116" t="s">
        <v>3344</v>
      </c>
      <c r="C38" s="116" t="s">
        <v>3287</v>
      </c>
      <c r="D38" s="116" t="s">
        <v>3345</v>
      </c>
      <c r="E38" s="116" t="s">
        <v>2094</v>
      </c>
      <c r="F38" s="116" t="s">
        <v>3290</v>
      </c>
      <c r="H38" s="120" t="s">
        <v>3346</v>
      </c>
      <c r="L38" s="150">
        <v>59.633000000000003</v>
      </c>
      <c r="M38" s="150">
        <v>58.890999999999998</v>
      </c>
      <c r="N38" s="150">
        <v>69.841999999999999</v>
      </c>
      <c r="O38" s="150">
        <v>75.484999999999999</v>
      </c>
      <c r="P38" s="150">
        <v>77.64</v>
      </c>
      <c r="Q38" s="150">
        <v>80.161000000000001</v>
      </c>
      <c r="R38" s="150">
        <v>70.804000000000002</v>
      </c>
      <c r="S38" s="150">
        <v>73.956000000000003</v>
      </c>
      <c r="T38" s="150">
        <v>76.599999999999994</v>
      </c>
      <c r="U38" s="150">
        <v>79.183000000000007</v>
      </c>
      <c r="V38" s="150">
        <v>81.760999999999996</v>
      </c>
      <c r="W38" s="150">
        <v>84.451999999999998</v>
      </c>
      <c r="X38" s="150">
        <v>87.32</v>
      </c>
      <c r="Y38" s="150">
        <v>90.337000000000003</v>
      </c>
      <c r="Z38" s="150">
        <v>93.534000000000006</v>
      </c>
      <c r="AA38" s="150">
        <v>96.991</v>
      </c>
      <c r="AB38" s="150">
        <v>100.696</v>
      </c>
      <c r="AC38" s="150">
        <v>104.649</v>
      </c>
      <c r="AD38" s="150">
        <v>108.792</v>
      </c>
      <c r="AE38" s="150">
        <v>113.107</v>
      </c>
    </row>
    <row r="39" spans="2:31" x14ac:dyDescent="0.35">
      <c r="B39" s="116" t="s">
        <v>3347</v>
      </c>
      <c r="C39" s="116" t="s">
        <v>3293</v>
      </c>
      <c r="D39" s="116" t="s">
        <v>3345</v>
      </c>
      <c r="E39" s="116" t="s">
        <v>2094</v>
      </c>
      <c r="F39" s="116" t="s">
        <v>3294</v>
      </c>
      <c r="H39" s="120" t="s">
        <v>3346</v>
      </c>
      <c r="L39" s="150">
        <v>59.633000000000003</v>
      </c>
      <c r="M39" s="150">
        <v>58.890999999999998</v>
      </c>
      <c r="N39" s="150">
        <v>69.841999999999999</v>
      </c>
      <c r="O39" s="150">
        <v>75.484999999999999</v>
      </c>
      <c r="P39" s="150">
        <v>77.64</v>
      </c>
      <c r="Q39" s="150">
        <v>80.161000000000001</v>
      </c>
      <c r="R39" s="150">
        <v>70.804000000000002</v>
      </c>
      <c r="S39" s="150">
        <v>73.650999999999996</v>
      </c>
      <c r="T39" s="150">
        <v>75.971000000000004</v>
      </c>
      <c r="U39" s="150">
        <v>78.260999999999996</v>
      </c>
      <c r="V39" s="150">
        <v>80.557000000000002</v>
      </c>
      <c r="W39" s="150">
        <v>82.918999999999997</v>
      </c>
      <c r="X39" s="150">
        <v>85.331999999999994</v>
      </c>
      <c r="Y39" s="150">
        <v>87.792000000000002</v>
      </c>
      <c r="Z39" s="150">
        <v>90.325999999999993</v>
      </c>
      <c r="AA39" s="150">
        <v>92.942999999999998</v>
      </c>
      <c r="AB39" s="150">
        <v>95.608999999999995</v>
      </c>
      <c r="AC39" s="150">
        <v>98.332999999999998</v>
      </c>
      <c r="AD39" s="150">
        <v>101.10299999999999</v>
      </c>
      <c r="AE39" s="150">
        <v>103.938</v>
      </c>
    </row>
    <row r="40" spans="2:31" x14ac:dyDescent="0.35">
      <c r="B40" s="116" t="s">
        <v>3348</v>
      </c>
      <c r="C40" s="116" t="s">
        <v>3296</v>
      </c>
      <c r="D40" s="116" t="s">
        <v>3345</v>
      </c>
      <c r="E40" s="116" t="s">
        <v>2094</v>
      </c>
      <c r="F40" s="116" t="s">
        <v>3297</v>
      </c>
      <c r="H40" s="120" t="s">
        <v>3346</v>
      </c>
      <c r="L40" s="150">
        <v>59.633000000000003</v>
      </c>
      <c r="M40" s="150">
        <v>58.890999999999998</v>
      </c>
      <c r="N40" s="150">
        <v>69.841999999999999</v>
      </c>
      <c r="O40" s="150">
        <v>75.484999999999999</v>
      </c>
      <c r="P40" s="150">
        <v>77.64</v>
      </c>
      <c r="Q40" s="150">
        <v>80.161000000000001</v>
      </c>
      <c r="R40" s="150">
        <v>80.869</v>
      </c>
      <c r="S40" s="150">
        <v>80.591999999999999</v>
      </c>
      <c r="T40" s="150">
        <v>80.421999999999997</v>
      </c>
      <c r="U40" s="150">
        <v>79.105999999999995</v>
      </c>
      <c r="V40" s="150">
        <v>77.641000000000005</v>
      </c>
      <c r="W40" s="150">
        <v>76.646000000000001</v>
      </c>
      <c r="X40" s="150">
        <v>76</v>
      </c>
      <c r="Y40" s="150">
        <v>75.599999999999994</v>
      </c>
      <c r="Z40" s="150">
        <v>75.415000000000006</v>
      </c>
      <c r="AA40" s="150">
        <v>75.397999999999996</v>
      </c>
      <c r="AB40" s="150">
        <v>75.537000000000006</v>
      </c>
      <c r="AC40" s="150">
        <v>75.813999999999993</v>
      </c>
      <c r="AD40" s="150">
        <v>76.204999999999998</v>
      </c>
      <c r="AE40" s="150">
        <v>76.695999999999998</v>
      </c>
    </row>
    <row r="41" spans="2:31" x14ac:dyDescent="0.35">
      <c r="B41" s="116" t="s">
        <v>3349</v>
      </c>
      <c r="C41" s="116" t="s">
        <v>3299</v>
      </c>
      <c r="D41" s="116" t="s">
        <v>3345</v>
      </c>
      <c r="E41" s="116" t="s">
        <v>2094</v>
      </c>
      <c r="F41" s="116" t="s">
        <v>3300</v>
      </c>
      <c r="H41" s="120" t="s">
        <v>3346</v>
      </c>
      <c r="L41" s="150">
        <v>59.633000000000003</v>
      </c>
      <c r="M41" s="150">
        <v>58.890999999999998</v>
      </c>
      <c r="N41" s="150">
        <v>69.841999999999999</v>
      </c>
      <c r="O41" s="150">
        <v>75.484999999999999</v>
      </c>
      <c r="P41" s="150">
        <v>77.64</v>
      </c>
      <c r="Q41" s="150">
        <v>80.161000000000001</v>
      </c>
      <c r="R41" s="150">
        <v>83.221000000000004</v>
      </c>
      <c r="S41" s="150">
        <v>86.213999999999999</v>
      </c>
      <c r="T41" s="150">
        <v>89.084000000000003</v>
      </c>
      <c r="U41" s="150">
        <v>92.027000000000001</v>
      </c>
      <c r="V41" s="150">
        <v>95.037999999999997</v>
      </c>
      <c r="W41" s="150">
        <v>98.183999999999997</v>
      </c>
      <c r="X41" s="150">
        <v>101.495</v>
      </c>
      <c r="Y41" s="150">
        <v>105.11</v>
      </c>
      <c r="Z41" s="150">
        <v>109.17100000000001</v>
      </c>
      <c r="AA41" s="150">
        <v>113.929</v>
      </c>
      <c r="AB41" s="150">
        <v>119.69499999999999</v>
      </c>
      <c r="AC41" s="150">
        <v>126.896</v>
      </c>
      <c r="AD41" s="150">
        <v>136.14500000000001</v>
      </c>
      <c r="AE41" s="150">
        <v>145.66</v>
      </c>
    </row>
    <row r="42" spans="2:31" x14ac:dyDescent="0.35">
      <c r="B42" s="116" t="s">
        <v>3350</v>
      </c>
      <c r="C42" s="116" t="s">
        <v>3287</v>
      </c>
      <c r="D42" s="116" t="s">
        <v>3351</v>
      </c>
      <c r="E42" s="116" t="s">
        <v>2094</v>
      </c>
      <c r="F42" s="116" t="s">
        <v>3290</v>
      </c>
      <c r="H42" s="120" t="s">
        <v>3352</v>
      </c>
      <c r="L42" s="150">
        <v>82.215000000000003</v>
      </c>
      <c r="M42" s="150">
        <v>78.986000000000004</v>
      </c>
      <c r="N42" s="150">
        <v>91.822999999999993</v>
      </c>
      <c r="O42" s="150">
        <v>97.046000000000006</v>
      </c>
      <c r="P42" s="150">
        <v>95.462000000000003</v>
      </c>
      <c r="Q42" s="150">
        <v>95.796999999999997</v>
      </c>
      <c r="R42" s="150">
        <v>98.438999999999993</v>
      </c>
      <c r="S42" s="150">
        <v>103.59699999999999</v>
      </c>
      <c r="T42" s="150">
        <v>110.247</v>
      </c>
      <c r="U42" s="150">
        <v>121.81699999999999</v>
      </c>
      <c r="V42" s="150">
        <v>147.38800000000001</v>
      </c>
      <c r="W42" s="150">
        <v>174.428</v>
      </c>
      <c r="X42" s="150">
        <v>190.286</v>
      </c>
      <c r="Y42" s="150">
        <v>208.51400000000001</v>
      </c>
      <c r="Z42" s="150">
        <v>229.43600000000001</v>
      </c>
      <c r="AA42" s="150">
        <v>253.41900000000001</v>
      </c>
      <c r="AB42" s="150">
        <v>280.88400000000001</v>
      </c>
      <c r="AC42" s="150">
        <v>312.30799999999999</v>
      </c>
      <c r="AD42" s="150">
        <v>348.23500000000001</v>
      </c>
      <c r="AE42" s="150">
        <v>389.28500000000003</v>
      </c>
    </row>
    <row r="43" spans="2:31" x14ac:dyDescent="0.35">
      <c r="B43" s="116" t="s">
        <v>3353</v>
      </c>
      <c r="C43" s="116" t="s">
        <v>3293</v>
      </c>
      <c r="D43" s="116" t="s">
        <v>3351</v>
      </c>
      <c r="E43" s="116" t="s">
        <v>2094</v>
      </c>
      <c r="F43" s="116" t="s">
        <v>3294</v>
      </c>
      <c r="H43" s="120" t="s">
        <v>3352</v>
      </c>
      <c r="L43" s="150">
        <v>82.215000000000003</v>
      </c>
      <c r="M43" s="150">
        <v>78.986000000000004</v>
      </c>
      <c r="N43" s="150">
        <v>91.822999999999993</v>
      </c>
      <c r="O43" s="150">
        <v>97.046000000000006</v>
      </c>
      <c r="P43" s="150">
        <v>95.462000000000003</v>
      </c>
      <c r="Q43" s="150">
        <v>95.796999999999997</v>
      </c>
      <c r="R43" s="150">
        <v>98.438999999999993</v>
      </c>
      <c r="S43" s="150">
        <v>103.59699999999999</v>
      </c>
      <c r="T43" s="150">
        <v>110.247</v>
      </c>
      <c r="U43" s="150">
        <v>121.81699999999999</v>
      </c>
      <c r="V43" s="150">
        <v>147.38800000000001</v>
      </c>
      <c r="W43" s="150">
        <v>174.428</v>
      </c>
      <c r="X43" s="150">
        <v>190.286</v>
      </c>
      <c r="Y43" s="150">
        <v>208.51400000000001</v>
      </c>
      <c r="Z43" s="150">
        <v>229.43600000000001</v>
      </c>
      <c r="AA43" s="150">
        <v>253.41900000000001</v>
      </c>
      <c r="AB43" s="150">
        <v>280.88400000000001</v>
      </c>
      <c r="AC43" s="150">
        <v>312.30799999999999</v>
      </c>
      <c r="AD43" s="150">
        <v>348.23500000000001</v>
      </c>
      <c r="AE43" s="150">
        <v>389.28500000000003</v>
      </c>
    </row>
    <row r="44" spans="2:31" x14ac:dyDescent="0.35">
      <c r="B44" s="116" t="s">
        <v>3354</v>
      </c>
      <c r="C44" s="116" t="s">
        <v>3296</v>
      </c>
      <c r="D44" s="116" t="s">
        <v>3351</v>
      </c>
      <c r="E44" s="116" t="s">
        <v>2094</v>
      </c>
      <c r="F44" s="116" t="s">
        <v>3297</v>
      </c>
      <c r="H44" s="120" t="s">
        <v>3352</v>
      </c>
      <c r="L44" s="150">
        <v>82.215000000000003</v>
      </c>
      <c r="M44" s="150">
        <v>78.986000000000004</v>
      </c>
      <c r="N44" s="150">
        <v>91.822999999999993</v>
      </c>
      <c r="O44" s="150">
        <v>97.046000000000006</v>
      </c>
      <c r="P44" s="150">
        <v>95.462000000000003</v>
      </c>
      <c r="Q44" s="150">
        <v>95.796999999999997</v>
      </c>
      <c r="R44" s="150">
        <v>98.438999999999993</v>
      </c>
      <c r="S44" s="150">
        <v>103.59699999999999</v>
      </c>
      <c r="T44" s="150">
        <v>110.247</v>
      </c>
      <c r="U44" s="150">
        <v>121.81699999999999</v>
      </c>
      <c r="V44" s="150">
        <v>147.38800000000001</v>
      </c>
      <c r="W44" s="150">
        <v>174.428</v>
      </c>
      <c r="X44" s="150">
        <v>190.286</v>
      </c>
      <c r="Y44" s="150">
        <v>208.51400000000001</v>
      </c>
      <c r="Z44" s="150">
        <v>229.43600000000001</v>
      </c>
      <c r="AA44" s="150">
        <v>253.41900000000001</v>
      </c>
      <c r="AB44" s="150">
        <v>280.88400000000001</v>
      </c>
      <c r="AC44" s="150">
        <v>312.30799999999999</v>
      </c>
      <c r="AD44" s="150">
        <v>348.23500000000001</v>
      </c>
      <c r="AE44" s="150">
        <v>389.28500000000003</v>
      </c>
    </row>
    <row r="45" spans="2:31" x14ac:dyDescent="0.35">
      <c r="B45" s="116" t="s">
        <v>3355</v>
      </c>
      <c r="C45" s="116" t="s">
        <v>3299</v>
      </c>
      <c r="D45" s="116" t="s">
        <v>3351</v>
      </c>
      <c r="E45" s="116" t="s">
        <v>2094</v>
      </c>
      <c r="F45" s="116" t="s">
        <v>3300</v>
      </c>
      <c r="H45" s="120" t="s">
        <v>3352</v>
      </c>
      <c r="L45" s="150">
        <v>82.215000000000003</v>
      </c>
      <c r="M45" s="150">
        <v>78.986000000000004</v>
      </c>
      <c r="N45" s="150">
        <v>91.822999999999993</v>
      </c>
      <c r="O45" s="150">
        <v>97.046000000000006</v>
      </c>
      <c r="P45" s="150">
        <v>95.462000000000003</v>
      </c>
      <c r="Q45" s="150">
        <v>95.796999999999997</v>
      </c>
      <c r="R45" s="150">
        <v>98.438999999999993</v>
      </c>
      <c r="S45" s="150">
        <v>103.59699999999999</v>
      </c>
      <c r="T45" s="150">
        <v>110.247</v>
      </c>
      <c r="U45" s="150">
        <v>121.81699999999999</v>
      </c>
      <c r="V45" s="150">
        <v>147.38800000000001</v>
      </c>
      <c r="W45" s="150">
        <v>174.428</v>
      </c>
      <c r="X45" s="150">
        <v>190.286</v>
      </c>
      <c r="Y45" s="150">
        <v>208.51400000000001</v>
      </c>
      <c r="Z45" s="150">
        <v>229.43600000000001</v>
      </c>
      <c r="AA45" s="150">
        <v>253.41900000000001</v>
      </c>
      <c r="AB45" s="150">
        <v>280.88400000000001</v>
      </c>
      <c r="AC45" s="150">
        <v>312.30799999999999</v>
      </c>
      <c r="AD45" s="150">
        <v>348.23500000000001</v>
      </c>
      <c r="AE45" s="150">
        <v>389.28500000000003</v>
      </c>
    </row>
    <row r="46" spans="2:31" x14ac:dyDescent="0.35">
      <c r="B46" s="116" t="s">
        <v>3356</v>
      </c>
      <c r="C46" s="116" t="s">
        <v>3287</v>
      </c>
      <c r="D46" s="116" t="s">
        <v>3357</v>
      </c>
      <c r="E46" s="116" t="s">
        <v>2094</v>
      </c>
      <c r="F46" s="116" t="s">
        <v>3290</v>
      </c>
      <c r="H46" s="120" t="s">
        <v>3358</v>
      </c>
      <c r="L46" s="150">
        <v>82.215000000000003</v>
      </c>
      <c r="M46" s="150">
        <v>78.887</v>
      </c>
      <c r="N46" s="150">
        <v>91.709000000000003</v>
      </c>
      <c r="O46" s="150">
        <v>96.935000000000002</v>
      </c>
      <c r="P46" s="150">
        <v>95.352000000000004</v>
      </c>
      <c r="Q46" s="150">
        <v>95.62</v>
      </c>
      <c r="R46" s="150">
        <v>98.668999999999997</v>
      </c>
      <c r="S46" s="150">
        <v>96.745000000000005</v>
      </c>
      <c r="T46" s="150">
        <v>108.517</v>
      </c>
      <c r="U46" s="150">
        <v>121.313</v>
      </c>
      <c r="V46" s="150">
        <v>153.834</v>
      </c>
      <c r="W46" s="150">
        <v>168.22</v>
      </c>
      <c r="X46" s="150">
        <v>183.80699999999999</v>
      </c>
      <c r="Y46" s="150">
        <v>201.71700000000001</v>
      </c>
      <c r="Z46" s="150">
        <v>222.27</v>
      </c>
      <c r="AA46" s="150">
        <v>245.82599999999999</v>
      </c>
      <c r="AB46" s="150">
        <v>272.79700000000003</v>
      </c>
      <c r="AC46" s="150">
        <v>303.65100000000001</v>
      </c>
      <c r="AD46" s="150">
        <v>338.92200000000003</v>
      </c>
      <c r="AE46" s="150">
        <v>379.21800000000002</v>
      </c>
    </row>
    <row r="47" spans="2:31" x14ac:dyDescent="0.35">
      <c r="B47" s="116" t="s">
        <v>3359</v>
      </c>
      <c r="C47" s="116" t="s">
        <v>3293</v>
      </c>
      <c r="D47" s="116" t="s">
        <v>3357</v>
      </c>
      <c r="E47" s="116" t="s">
        <v>2094</v>
      </c>
      <c r="F47" s="116" t="s">
        <v>3294</v>
      </c>
      <c r="H47" s="120" t="s">
        <v>3358</v>
      </c>
      <c r="L47" s="150">
        <v>82.215000000000003</v>
      </c>
      <c r="M47" s="150">
        <v>78.887</v>
      </c>
      <c r="N47" s="150">
        <v>91.709000000000003</v>
      </c>
      <c r="O47" s="150">
        <v>96.935000000000002</v>
      </c>
      <c r="P47" s="150">
        <v>95.352000000000004</v>
      </c>
      <c r="Q47" s="150">
        <v>95.62</v>
      </c>
      <c r="R47" s="150">
        <v>98.668999999999997</v>
      </c>
      <c r="S47" s="150">
        <v>96.284000000000006</v>
      </c>
      <c r="T47" s="150">
        <v>107.81100000000001</v>
      </c>
      <c r="U47" s="150">
        <v>120.015</v>
      </c>
      <c r="V47" s="150">
        <v>152.09100000000001</v>
      </c>
      <c r="W47" s="150">
        <v>167.113</v>
      </c>
      <c r="X47" s="150">
        <v>182.58799999999999</v>
      </c>
      <c r="Y47" s="150">
        <v>200.37200000000001</v>
      </c>
      <c r="Z47" s="150">
        <v>220.779</v>
      </c>
      <c r="AA47" s="150">
        <v>244.16900000000001</v>
      </c>
      <c r="AB47" s="150">
        <v>270.94900000000001</v>
      </c>
      <c r="AC47" s="150">
        <v>301.58600000000001</v>
      </c>
      <c r="AD47" s="150">
        <v>336.61</v>
      </c>
      <c r="AE47" s="150">
        <v>376.62299999999999</v>
      </c>
    </row>
    <row r="48" spans="2:31" x14ac:dyDescent="0.35">
      <c r="B48" s="116" t="s">
        <v>3360</v>
      </c>
      <c r="C48" s="116" t="s">
        <v>3296</v>
      </c>
      <c r="D48" s="116" t="s">
        <v>3357</v>
      </c>
      <c r="E48" s="116" t="s">
        <v>2094</v>
      </c>
      <c r="F48" s="116" t="s">
        <v>3297</v>
      </c>
      <c r="H48" s="120" t="s">
        <v>3358</v>
      </c>
      <c r="L48" s="150">
        <v>82.215000000000003</v>
      </c>
      <c r="M48" s="150">
        <v>78.981999999999999</v>
      </c>
      <c r="N48" s="150">
        <v>91.817999999999998</v>
      </c>
      <c r="O48" s="150">
        <v>97.042000000000002</v>
      </c>
      <c r="P48" s="150">
        <v>95.456999999999994</v>
      </c>
      <c r="Q48" s="150">
        <v>95.757999999999996</v>
      </c>
      <c r="R48" s="150">
        <v>98.605000000000004</v>
      </c>
      <c r="S48" s="150">
        <v>104.102</v>
      </c>
      <c r="T48" s="150">
        <v>111.871</v>
      </c>
      <c r="U48" s="150">
        <v>126.583</v>
      </c>
      <c r="V48" s="150">
        <v>160.98099999999999</v>
      </c>
      <c r="W48" s="150">
        <v>175.06299999999999</v>
      </c>
      <c r="X48" s="150">
        <v>191.27099999999999</v>
      </c>
      <c r="Y48" s="150">
        <v>209.89400000000001</v>
      </c>
      <c r="Z48" s="150">
        <v>231.262</v>
      </c>
      <c r="AA48" s="150">
        <v>255.751</v>
      </c>
      <c r="AB48" s="150">
        <v>283.78899999999999</v>
      </c>
      <c r="AC48" s="150">
        <v>315.86099999999999</v>
      </c>
      <c r="AD48" s="150">
        <v>352.524</v>
      </c>
      <c r="AE48" s="150">
        <v>394.40800000000002</v>
      </c>
    </row>
    <row r="49" spans="2:31" x14ac:dyDescent="0.35">
      <c r="B49" s="116" t="s">
        <v>3361</v>
      </c>
      <c r="C49" s="116" t="s">
        <v>3299</v>
      </c>
      <c r="D49" s="116" t="s">
        <v>3357</v>
      </c>
      <c r="E49" s="116" t="s">
        <v>2094</v>
      </c>
      <c r="F49" s="116" t="s">
        <v>3300</v>
      </c>
      <c r="H49" s="120" t="s">
        <v>3358</v>
      </c>
      <c r="L49" s="150">
        <v>82.215000000000003</v>
      </c>
      <c r="M49" s="150">
        <v>78.986000000000004</v>
      </c>
      <c r="N49" s="150">
        <v>91.822999999999993</v>
      </c>
      <c r="O49" s="150">
        <v>97.046000000000006</v>
      </c>
      <c r="P49" s="150">
        <v>95.462000000000003</v>
      </c>
      <c r="Q49" s="150">
        <v>95.796999999999997</v>
      </c>
      <c r="R49" s="150">
        <v>98.438999999999993</v>
      </c>
      <c r="S49" s="150">
        <v>97.522000000000006</v>
      </c>
      <c r="T49" s="150">
        <v>101.613</v>
      </c>
      <c r="U49" s="150">
        <v>111.252</v>
      </c>
      <c r="V49" s="150">
        <v>128.58699999999999</v>
      </c>
      <c r="W49" s="150">
        <v>160.40899999999999</v>
      </c>
      <c r="X49" s="150">
        <v>174.399</v>
      </c>
      <c r="Y49" s="150">
        <v>190.501</v>
      </c>
      <c r="Z49" s="150">
        <v>209.00200000000001</v>
      </c>
      <c r="AA49" s="150">
        <v>230.22800000000001</v>
      </c>
      <c r="AB49" s="150">
        <v>254.554</v>
      </c>
      <c r="AC49" s="150">
        <v>282.404</v>
      </c>
      <c r="AD49" s="150">
        <v>314.262</v>
      </c>
      <c r="AE49" s="150">
        <v>350.67899999999997</v>
      </c>
    </row>
    <row r="50" spans="2:31" x14ac:dyDescent="0.35">
      <c r="B50" s="116" t="s">
        <v>3362</v>
      </c>
      <c r="C50" s="116" t="s">
        <v>3287</v>
      </c>
      <c r="D50" s="116" t="s">
        <v>3363</v>
      </c>
      <c r="E50" s="116" t="s">
        <v>2094</v>
      </c>
      <c r="F50" s="116" t="s">
        <v>3290</v>
      </c>
      <c r="H50" s="120" t="s">
        <v>3364</v>
      </c>
      <c r="L50" s="150">
        <v>15.803000000000001</v>
      </c>
      <c r="M50" s="150">
        <v>17.442</v>
      </c>
      <c r="N50" s="150">
        <v>22.260999999999999</v>
      </c>
      <c r="O50" s="150">
        <v>22.611999999999998</v>
      </c>
      <c r="P50" s="150">
        <v>22.949000000000002</v>
      </c>
      <c r="Q50" s="150">
        <v>23.347999999999999</v>
      </c>
      <c r="R50" s="150">
        <v>23.82</v>
      </c>
      <c r="S50" s="150">
        <v>24.265999999999998</v>
      </c>
      <c r="T50" s="150">
        <v>24.675000000000001</v>
      </c>
      <c r="U50" s="150">
        <v>25.082999999999998</v>
      </c>
      <c r="V50" s="150">
        <v>25.492000000000001</v>
      </c>
      <c r="W50" s="150">
        <v>25.901</v>
      </c>
      <c r="X50" s="150">
        <v>26.311</v>
      </c>
      <c r="Y50" s="150">
        <v>26.72</v>
      </c>
      <c r="Z50" s="150">
        <v>27.13</v>
      </c>
      <c r="AA50" s="150">
        <v>27.54</v>
      </c>
      <c r="AB50" s="150">
        <v>27.95</v>
      </c>
      <c r="AC50" s="150">
        <v>28.36</v>
      </c>
      <c r="AD50" s="150">
        <v>28.768999999999998</v>
      </c>
      <c r="AE50" s="150">
        <v>29.178000000000001</v>
      </c>
    </row>
    <row r="51" spans="2:31" x14ac:dyDescent="0.35">
      <c r="B51" s="116" t="s">
        <v>3365</v>
      </c>
      <c r="C51" s="116" t="s">
        <v>3293</v>
      </c>
      <c r="D51" s="116" t="s">
        <v>3363</v>
      </c>
      <c r="E51" s="116" t="s">
        <v>2094</v>
      </c>
      <c r="F51" s="116" t="s">
        <v>3294</v>
      </c>
      <c r="H51" s="120" t="s">
        <v>3364</v>
      </c>
      <c r="L51" s="150">
        <v>15.803000000000001</v>
      </c>
      <c r="M51" s="150">
        <v>17.442</v>
      </c>
      <c r="N51" s="150">
        <v>22.260999999999999</v>
      </c>
      <c r="O51" s="150">
        <v>22.611999999999998</v>
      </c>
      <c r="P51" s="150">
        <v>22.949000000000002</v>
      </c>
      <c r="Q51" s="150">
        <v>23.347999999999999</v>
      </c>
      <c r="R51" s="150">
        <v>23.82</v>
      </c>
      <c r="S51" s="150">
        <v>24.265999999999998</v>
      </c>
      <c r="T51" s="150">
        <v>24.675000000000001</v>
      </c>
      <c r="U51" s="150">
        <v>25.082999999999998</v>
      </c>
      <c r="V51" s="150">
        <v>25.492000000000001</v>
      </c>
      <c r="W51" s="150">
        <v>25.901</v>
      </c>
      <c r="X51" s="150">
        <v>26.311</v>
      </c>
      <c r="Y51" s="150">
        <v>26.72</v>
      </c>
      <c r="Z51" s="150">
        <v>27.13</v>
      </c>
      <c r="AA51" s="150">
        <v>27.54</v>
      </c>
      <c r="AB51" s="150">
        <v>27.95</v>
      </c>
      <c r="AC51" s="150">
        <v>28.36</v>
      </c>
      <c r="AD51" s="150">
        <v>28.768999999999998</v>
      </c>
      <c r="AE51" s="150">
        <v>29.178000000000001</v>
      </c>
    </row>
    <row r="52" spans="2:31" x14ac:dyDescent="0.35">
      <c r="B52" s="116" t="s">
        <v>3366</v>
      </c>
      <c r="C52" s="116" t="s">
        <v>3296</v>
      </c>
      <c r="D52" s="116" t="s">
        <v>3363</v>
      </c>
      <c r="E52" s="116" t="s">
        <v>2094</v>
      </c>
      <c r="F52" s="116" t="s">
        <v>3297</v>
      </c>
      <c r="H52" s="120" t="s">
        <v>3364</v>
      </c>
      <c r="L52" s="150">
        <v>15.803000000000001</v>
      </c>
      <c r="M52" s="150">
        <v>17.442</v>
      </c>
      <c r="N52" s="150">
        <v>22.260999999999999</v>
      </c>
      <c r="O52" s="150">
        <v>22.611999999999998</v>
      </c>
      <c r="P52" s="150">
        <v>22.949000000000002</v>
      </c>
      <c r="Q52" s="150">
        <v>23.347999999999999</v>
      </c>
      <c r="R52" s="150">
        <v>23.82</v>
      </c>
      <c r="S52" s="150">
        <v>24.265999999999998</v>
      </c>
      <c r="T52" s="150">
        <v>24.675000000000001</v>
      </c>
      <c r="U52" s="150">
        <v>25.082999999999998</v>
      </c>
      <c r="V52" s="150">
        <v>25.492000000000001</v>
      </c>
      <c r="W52" s="150">
        <v>25.901</v>
      </c>
      <c r="X52" s="150">
        <v>26.311</v>
      </c>
      <c r="Y52" s="150">
        <v>26.72</v>
      </c>
      <c r="Z52" s="150">
        <v>27.13</v>
      </c>
      <c r="AA52" s="150">
        <v>27.54</v>
      </c>
      <c r="AB52" s="150">
        <v>27.95</v>
      </c>
      <c r="AC52" s="150">
        <v>28.36</v>
      </c>
      <c r="AD52" s="150">
        <v>28.768999999999998</v>
      </c>
      <c r="AE52" s="150">
        <v>29.178000000000001</v>
      </c>
    </row>
    <row r="53" spans="2:31" x14ac:dyDescent="0.35">
      <c r="B53" s="116" t="s">
        <v>3367</v>
      </c>
      <c r="C53" s="116" t="s">
        <v>3299</v>
      </c>
      <c r="D53" s="116" t="s">
        <v>3363</v>
      </c>
      <c r="E53" s="116" t="s">
        <v>2094</v>
      </c>
      <c r="F53" s="116" t="s">
        <v>3300</v>
      </c>
      <c r="H53" s="120" t="s">
        <v>3364</v>
      </c>
      <c r="L53" s="150">
        <v>15.803000000000001</v>
      </c>
      <c r="M53" s="150">
        <v>17.442</v>
      </c>
      <c r="N53" s="150">
        <v>22.260999999999999</v>
      </c>
      <c r="O53" s="150">
        <v>22.611999999999998</v>
      </c>
      <c r="P53" s="150">
        <v>22.949000000000002</v>
      </c>
      <c r="Q53" s="150">
        <v>23.347999999999999</v>
      </c>
      <c r="R53" s="150">
        <v>23.82</v>
      </c>
      <c r="S53" s="150">
        <v>24.265999999999998</v>
      </c>
      <c r="T53" s="150">
        <v>24.675000000000001</v>
      </c>
      <c r="U53" s="150">
        <v>25.082999999999998</v>
      </c>
      <c r="V53" s="150">
        <v>25.492000000000001</v>
      </c>
      <c r="W53" s="150">
        <v>25.901</v>
      </c>
      <c r="X53" s="150">
        <v>26.311</v>
      </c>
      <c r="Y53" s="150">
        <v>26.72</v>
      </c>
      <c r="Z53" s="150">
        <v>27.13</v>
      </c>
      <c r="AA53" s="150">
        <v>27.54</v>
      </c>
      <c r="AB53" s="150">
        <v>27.95</v>
      </c>
      <c r="AC53" s="150">
        <v>28.36</v>
      </c>
      <c r="AD53" s="150">
        <v>28.768999999999998</v>
      </c>
      <c r="AE53" s="150">
        <v>29.178000000000001</v>
      </c>
    </row>
    <row r="54" spans="2:31" x14ac:dyDescent="0.35">
      <c r="B54" s="116" t="s">
        <v>3368</v>
      </c>
      <c r="C54" s="116" t="s">
        <v>3287</v>
      </c>
      <c r="D54" s="116" t="s">
        <v>3369</v>
      </c>
      <c r="E54" s="116" t="s">
        <v>2094</v>
      </c>
      <c r="F54" s="116" t="s">
        <v>3290</v>
      </c>
      <c r="H54" s="120" t="s">
        <v>3370</v>
      </c>
      <c r="L54" s="150">
        <v>15.803000000000001</v>
      </c>
      <c r="M54" s="150">
        <v>17.442</v>
      </c>
      <c r="N54" s="150">
        <v>22.260999999999999</v>
      </c>
      <c r="O54" s="150">
        <v>22.611999999999998</v>
      </c>
      <c r="P54" s="150">
        <v>22.949000000000002</v>
      </c>
      <c r="Q54" s="150">
        <v>23.347999999999999</v>
      </c>
      <c r="R54" s="150">
        <v>18.696000000000002</v>
      </c>
      <c r="S54" s="150">
        <v>19.045999999999999</v>
      </c>
      <c r="T54" s="150">
        <v>19.359000000000002</v>
      </c>
      <c r="U54" s="150">
        <v>19.670999999999999</v>
      </c>
      <c r="V54" s="150">
        <v>19.977</v>
      </c>
      <c r="W54" s="150">
        <v>20.291</v>
      </c>
      <c r="X54" s="150">
        <v>20.620999999999999</v>
      </c>
      <c r="Y54" s="150">
        <v>20.997</v>
      </c>
      <c r="Z54" s="150">
        <v>21.388999999999999</v>
      </c>
      <c r="AA54" s="150">
        <v>21.806999999999999</v>
      </c>
      <c r="AB54" s="150">
        <v>22.248999999999999</v>
      </c>
      <c r="AC54" s="150">
        <v>22.712</v>
      </c>
      <c r="AD54" s="150">
        <v>23.189</v>
      </c>
      <c r="AE54" s="150">
        <v>23.675999999999998</v>
      </c>
    </row>
    <row r="55" spans="2:31" x14ac:dyDescent="0.35">
      <c r="B55" s="116" t="s">
        <v>3371</v>
      </c>
      <c r="C55" s="116" t="s">
        <v>3293</v>
      </c>
      <c r="D55" s="116" t="s">
        <v>3369</v>
      </c>
      <c r="E55" s="116" t="s">
        <v>2094</v>
      </c>
      <c r="F55" s="116" t="s">
        <v>3294</v>
      </c>
      <c r="H55" s="120" t="s">
        <v>3370</v>
      </c>
      <c r="L55" s="150">
        <v>15.803000000000001</v>
      </c>
      <c r="M55" s="150">
        <v>17.442</v>
      </c>
      <c r="N55" s="150">
        <v>22.260999999999999</v>
      </c>
      <c r="O55" s="150">
        <v>22.611999999999998</v>
      </c>
      <c r="P55" s="150">
        <v>22.949000000000002</v>
      </c>
      <c r="Q55" s="150">
        <v>23.347999999999999</v>
      </c>
      <c r="R55" s="150">
        <v>18.696000000000002</v>
      </c>
      <c r="S55" s="150">
        <v>19</v>
      </c>
      <c r="T55" s="150">
        <v>19.265999999999998</v>
      </c>
      <c r="U55" s="150">
        <v>19.536999999999999</v>
      </c>
      <c r="V55" s="150">
        <v>19.805</v>
      </c>
      <c r="W55" s="150">
        <v>20.074999999999999</v>
      </c>
      <c r="X55" s="150">
        <v>20.346</v>
      </c>
      <c r="Y55" s="150">
        <v>20.651</v>
      </c>
      <c r="Z55" s="150">
        <v>20.96</v>
      </c>
      <c r="AA55" s="150">
        <v>21.274999999999999</v>
      </c>
      <c r="AB55" s="150">
        <v>21.59</v>
      </c>
      <c r="AC55" s="150">
        <v>21.908000000000001</v>
      </c>
      <c r="AD55" s="150">
        <v>22.227</v>
      </c>
      <c r="AE55" s="150">
        <v>22.547999999999998</v>
      </c>
    </row>
    <row r="56" spans="2:31" x14ac:dyDescent="0.35">
      <c r="B56" s="116" t="s">
        <v>3372</v>
      </c>
      <c r="C56" s="116" t="s">
        <v>3296</v>
      </c>
      <c r="D56" s="116" t="s">
        <v>3369</v>
      </c>
      <c r="E56" s="116" t="s">
        <v>2094</v>
      </c>
      <c r="F56" s="116" t="s">
        <v>3297</v>
      </c>
      <c r="H56" s="120" t="s">
        <v>3370</v>
      </c>
      <c r="L56" s="150">
        <v>15.803000000000001</v>
      </c>
      <c r="M56" s="150">
        <v>17.442</v>
      </c>
      <c r="N56" s="150">
        <v>22.260999999999999</v>
      </c>
      <c r="O56" s="150">
        <v>22.611999999999998</v>
      </c>
      <c r="P56" s="150">
        <v>22.949000000000002</v>
      </c>
      <c r="Q56" s="150">
        <v>23.347999999999999</v>
      </c>
      <c r="R56" s="150">
        <v>23.82</v>
      </c>
      <c r="S56" s="150">
        <v>24.265999999999998</v>
      </c>
      <c r="T56" s="150">
        <v>24.675000000000001</v>
      </c>
      <c r="U56" s="150">
        <v>25.082999999999998</v>
      </c>
      <c r="V56" s="150">
        <v>25.49</v>
      </c>
      <c r="W56" s="150">
        <v>25.896999999999998</v>
      </c>
      <c r="X56" s="150">
        <v>26.306999999999999</v>
      </c>
      <c r="Y56" s="150">
        <v>26.716000000000001</v>
      </c>
      <c r="Z56" s="150">
        <v>27.131</v>
      </c>
      <c r="AA56" s="150">
        <v>27.547999999999998</v>
      </c>
      <c r="AB56" s="150">
        <v>27.972000000000001</v>
      </c>
      <c r="AC56" s="150">
        <v>28.402999999999999</v>
      </c>
      <c r="AD56" s="150">
        <v>28.841000000000001</v>
      </c>
      <c r="AE56" s="150">
        <v>29.283999999999999</v>
      </c>
    </row>
    <row r="57" spans="2:31" x14ac:dyDescent="0.35">
      <c r="B57" s="116" t="s">
        <v>3373</v>
      </c>
      <c r="C57" s="116" t="s">
        <v>3299</v>
      </c>
      <c r="D57" s="116" t="s">
        <v>3369</v>
      </c>
      <c r="E57" s="116" t="s">
        <v>2094</v>
      </c>
      <c r="F57" s="116" t="s">
        <v>3300</v>
      </c>
      <c r="H57" s="120" t="s">
        <v>3370</v>
      </c>
      <c r="L57" s="150">
        <v>15.803000000000001</v>
      </c>
      <c r="M57" s="150">
        <v>17.442</v>
      </c>
      <c r="N57" s="150">
        <v>22.260999999999999</v>
      </c>
      <c r="O57" s="150">
        <v>22.611999999999998</v>
      </c>
      <c r="P57" s="150">
        <v>22.949000000000002</v>
      </c>
      <c r="Q57" s="150">
        <v>23.347999999999999</v>
      </c>
      <c r="R57" s="150">
        <v>23.82</v>
      </c>
      <c r="S57" s="150">
        <v>24.271000000000001</v>
      </c>
      <c r="T57" s="150">
        <v>24.693000000000001</v>
      </c>
      <c r="U57" s="150">
        <v>25.117999999999999</v>
      </c>
      <c r="V57" s="150">
        <v>25.548999999999999</v>
      </c>
      <c r="W57" s="150">
        <v>25.992999999999999</v>
      </c>
      <c r="X57" s="150">
        <v>26.452999999999999</v>
      </c>
      <c r="Y57" s="150">
        <v>26.95</v>
      </c>
      <c r="Z57" s="150">
        <v>27.501999999999999</v>
      </c>
      <c r="AA57" s="150">
        <v>28.141999999999999</v>
      </c>
      <c r="AB57" s="150">
        <v>28.908999999999999</v>
      </c>
      <c r="AC57" s="150">
        <v>29.85</v>
      </c>
      <c r="AD57" s="150">
        <v>31.032</v>
      </c>
      <c r="AE57" s="150">
        <v>32.204999999999998</v>
      </c>
    </row>
    <row r="58" spans="2:31" x14ac:dyDescent="0.35">
      <c r="B58" s="116" t="s">
        <v>3374</v>
      </c>
      <c r="C58" s="116" t="s">
        <v>3287</v>
      </c>
      <c r="D58" s="116" t="s">
        <v>3375</v>
      </c>
      <c r="E58" s="116" t="s">
        <v>2094</v>
      </c>
      <c r="F58" s="116" t="s">
        <v>3290</v>
      </c>
      <c r="H58" s="120" t="s">
        <v>3376</v>
      </c>
      <c r="L58" s="150">
        <v>307.637</v>
      </c>
      <c r="M58" s="150">
        <v>321.39699999999999</v>
      </c>
      <c r="N58" s="150">
        <v>349.911</v>
      </c>
      <c r="O58" s="150">
        <v>371.78399999999999</v>
      </c>
      <c r="P58" s="150">
        <v>384.22899999999998</v>
      </c>
      <c r="Q58" s="150">
        <v>400.54599999999999</v>
      </c>
      <c r="R58" s="150">
        <v>422.363</v>
      </c>
      <c r="S58" s="150">
        <v>448.56900000000002</v>
      </c>
      <c r="T58" s="150">
        <v>479.39600000000002</v>
      </c>
      <c r="U58" s="150">
        <v>519.76700000000005</v>
      </c>
      <c r="V58" s="150">
        <v>579.49199999999996</v>
      </c>
      <c r="W58" s="150">
        <v>645.31100000000004</v>
      </c>
      <c r="X58" s="150">
        <v>703.93799999999999</v>
      </c>
      <c r="Y58" s="150">
        <v>769.35699999999997</v>
      </c>
      <c r="Z58" s="150">
        <v>841.29100000000005</v>
      </c>
      <c r="AA58" s="150">
        <v>920.35900000000004</v>
      </c>
      <c r="AB58" s="150">
        <v>1007.04</v>
      </c>
      <c r="AC58" s="150">
        <v>1101.7919999999999</v>
      </c>
      <c r="AD58" s="150">
        <v>1205.134</v>
      </c>
      <c r="AE58" s="150">
        <v>1316.65</v>
      </c>
    </row>
    <row r="59" spans="2:31" x14ac:dyDescent="0.35">
      <c r="B59" s="116" t="s">
        <v>3377</v>
      </c>
      <c r="C59" s="116" t="s">
        <v>3293</v>
      </c>
      <c r="D59" s="116" t="s">
        <v>3375</v>
      </c>
      <c r="E59" s="116" t="s">
        <v>2094</v>
      </c>
      <c r="F59" s="116" t="s">
        <v>3294</v>
      </c>
      <c r="H59" s="120" t="s">
        <v>3376</v>
      </c>
      <c r="L59" s="150">
        <v>307.637</v>
      </c>
      <c r="M59" s="150">
        <v>321.39699999999999</v>
      </c>
      <c r="N59" s="150">
        <v>349.911</v>
      </c>
      <c r="O59" s="150">
        <v>371.78399999999999</v>
      </c>
      <c r="P59" s="150">
        <v>384.22899999999998</v>
      </c>
      <c r="Q59" s="150">
        <v>400.54599999999999</v>
      </c>
      <c r="R59" s="150">
        <v>422.363</v>
      </c>
      <c r="S59" s="150">
        <v>448.56900000000002</v>
      </c>
      <c r="T59" s="150">
        <v>479.39600000000002</v>
      </c>
      <c r="U59" s="150">
        <v>519.76700000000005</v>
      </c>
      <c r="V59" s="150">
        <v>579.49199999999996</v>
      </c>
      <c r="W59" s="150">
        <v>645.31100000000004</v>
      </c>
      <c r="X59" s="150">
        <v>703.93799999999999</v>
      </c>
      <c r="Y59" s="150">
        <v>769.35699999999997</v>
      </c>
      <c r="Z59" s="150">
        <v>841.29100000000005</v>
      </c>
      <c r="AA59" s="150">
        <v>920.35900000000004</v>
      </c>
      <c r="AB59" s="150">
        <v>1007.04</v>
      </c>
      <c r="AC59" s="150">
        <v>1101.7919999999999</v>
      </c>
      <c r="AD59" s="150">
        <v>1205.134</v>
      </c>
      <c r="AE59" s="150">
        <v>1316.65</v>
      </c>
    </row>
    <row r="60" spans="2:31" x14ac:dyDescent="0.35">
      <c r="B60" s="116" t="s">
        <v>3378</v>
      </c>
      <c r="C60" s="116" t="s">
        <v>3296</v>
      </c>
      <c r="D60" s="116" t="s">
        <v>3375</v>
      </c>
      <c r="E60" s="116" t="s">
        <v>2094</v>
      </c>
      <c r="F60" s="116" t="s">
        <v>3297</v>
      </c>
      <c r="H60" s="120" t="s">
        <v>3376</v>
      </c>
      <c r="L60" s="150">
        <v>307.637</v>
      </c>
      <c r="M60" s="150">
        <v>321.39699999999999</v>
      </c>
      <c r="N60" s="150">
        <v>349.911</v>
      </c>
      <c r="O60" s="150">
        <v>371.78399999999999</v>
      </c>
      <c r="P60" s="150">
        <v>384.22899999999998</v>
      </c>
      <c r="Q60" s="150">
        <v>400.54599999999999</v>
      </c>
      <c r="R60" s="150">
        <v>422.363</v>
      </c>
      <c r="S60" s="150">
        <v>448.56900000000002</v>
      </c>
      <c r="T60" s="150">
        <v>479.39600000000002</v>
      </c>
      <c r="U60" s="150">
        <v>519.76700000000005</v>
      </c>
      <c r="V60" s="150">
        <v>579.49199999999996</v>
      </c>
      <c r="W60" s="150">
        <v>645.31100000000004</v>
      </c>
      <c r="X60" s="150">
        <v>703.93799999999999</v>
      </c>
      <c r="Y60" s="150">
        <v>769.35699999999997</v>
      </c>
      <c r="Z60" s="150">
        <v>841.29100000000005</v>
      </c>
      <c r="AA60" s="150">
        <v>920.35900000000004</v>
      </c>
      <c r="AB60" s="150">
        <v>1007.04</v>
      </c>
      <c r="AC60" s="150">
        <v>1101.7919999999999</v>
      </c>
      <c r="AD60" s="150">
        <v>1205.134</v>
      </c>
      <c r="AE60" s="150">
        <v>1316.65</v>
      </c>
    </row>
    <row r="61" spans="2:31" x14ac:dyDescent="0.35">
      <c r="B61" s="116" t="s">
        <v>3379</v>
      </c>
      <c r="C61" s="116" t="s">
        <v>3299</v>
      </c>
      <c r="D61" s="116" t="s">
        <v>3375</v>
      </c>
      <c r="E61" s="116" t="s">
        <v>2094</v>
      </c>
      <c r="F61" s="116" t="s">
        <v>3300</v>
      </c>
      <c r="H61" s="120" t="s">
        <v>3376</v>
      </c>
      <c r="L61" s="150">
        <v>307.637</v>
      </c>
      <c r="M61" s="150">
        <v>321.39699999999999</v>
      </c>
      <c r="N61" s="150">
        <v>349.911</v>
      </c>
      <c r="O61" s="150">
        <v>371.78399999999999</v>
      </c>
      <c r="P61" s="150">
        <v>384.22899999999998</v>
      </c>
      <c r="Q61" s="150">
        <v>400.54599999999999</v>
      </c>
      <c r="R61" s="150">
        <v>422.363</v>
      </c>
      <c r="S61" s="150">
        <v>448.56900000000002</v>
      </c>
      <c r="T61" s="150">
        <v>479.39600000000002</v>
      </c>
      <c r="U61" s="150">
        <v>519.76700000000005</v>
      </c>
      <c r="V61" s="150">
        <v>579.49199999999996</v>
      </c>
      <c r="W61" s="150">
        <v>645.31100000000004</v>
      </c>
      <c r="X61" s="150">
        <v>703.93799999999999</v>
      </c>
      <c r="Y61" s="150">
        <v>769.35699999999997</v>
      </c>
      <c r="Z61" s="150">
        <v>841.29100000000005</v>
      </c>
      <c r="AA61" s="150">
        <v>920.35900000000004</v>
      </c>
      <c r="AB61" s="150">
        <v>1007.04</v>
      </c>
      <c r="AC61" s="150">
        <v>1101.7919999999999</v>
      </c>
      <c r="AD61" s="150">
        <v>1205.134</v>
      </c>
      <c r="AE61" s="150">
        <v>1316.65</v>
      </c>
    </row>
    <row r="62" spans="2:31" x14ac:dyDescent="0.35">
      <c r="B62" s="116" t="s">
        <v>3380</v>
      </c>
      <c r="C62" s="116" t="s">
        <v>3287</v>
      </c>
      <c r="D62" s="116" t="s">
        <v>3381</v>
      </c>
      <c r="E62" s="116" t="s">
        <v>2094</v>
      </c>
      <c r="F62" s="116" t="s">
        <v>3290</v>
      </c>
      <c r="H62" s="120" t="s">
        <v>3382</v>
      </c>
      <c r="L62" s="150">
        <v>307.637</v>
      </c>
      <c r="M62" s="150">
        <v>321.298</v>
      </c>
      <c r="N62" s="150">
        <v>349.79700000000003</v>
      </c>
      <c r="O62" s="150">
        <v>371.673</v>
      </c>
      <c r="P62" s="150">
        <v>384.11900000000003</v>
      </c>
      <c r="Q62" s="150">
        <v>400.36900000000003</v>
      </c>
      <c r="R62" s="150">
        <v>390.697</v>
      </c>
      <c r="S62" s="150">
        <v>408.83199999999999</v>
      </c>
      <c r="T62" s="150">
        <v>443.44299999999998</v>
      </c>
      <c r="U62" s="150">
        <v>483.24599999999998</v>
      </c>
      <c r="V62" s="150">
        <v>548.13499999999999</v>
      </c>
      <c r="W62" s="150">
        <v>599.33500000000004</v>
      </c>
      <c r="X62" s="150">
        <v>656.14200000000005</v>
      </c>
      <c r="Y62" s="150">
        <v>719.56</v>
      </c>
      <c r="Z62" s="150">
        <v>789.90599999999995</v>
      </c>
      <c r="AA62" s="150">
        <v>867.66399999999999</v>
      </c>
      <c r="AB62" s="150">
        <v>953.34299999999996</v>
      </c>
      <c r="AC62" s="150">
        <v>1047.4090000000001</v>
      </c>
      <c r="AD62" s="150">
        <v>1150.2670000000001</v>
      </c>
      <c r="AE62" s="150">
        <v>1261.4749999999999</v>
      </c>
    </row>
    <row r="63" spans="2:31" x14ac:dyDescent="0.35">
      <c r="B63" s="116" t="s">
        <v>3383</v>
      </c>
      <c r="C63" s="116" t="s">
        <v>3293</v>
      </c>
      <c r="D63" s="116" t="s">
        <v>3381</v>
      </c>
      <c r="E63" s="116" t="s">
        <v>2094</v>
      </c>
      <c r="F63" s="116" t="s">
        <v>3294</v>
      </c>
      <c r="H63" s="120" t="s">
        <v>3382</v>
      </c>
      <c r="L63" s="150">
        <v>307.637</v>
      </c>
      <c r="M63" s="150">
        <v>321.298</v>
      </c>
      <c r="N63" s="150">
        <v>349.79700000000003</v>
      </c>
      <c r="O63" s="150">
        <v>371.673</v>
      </c>
      <c r="P63" s="150">
        <v>384.11900000000003</v>
      </c>
      <c r="Q63" s="150">
        <v>400.36900000000003</v>
      </c>
      <c r="R63" s="150">
        <v>390.697</v>
      </c>
      <c r="S63" s="150">
        <v>407.77499999999998</v>
      </c>
      <c r="T63" s="150">
        <v>441.50799999999998</v>
      </c>
      <c r="U63" s="150">
        <v>480.14</v>
      </c>
      <c r="V63" s="150">
        <v>544.03099999999995</v>
      </c>
      <c r="W63" s="150">
        <v>595.245</v>
      </c>
      <c r="X63" s="150">
        <v>651.04499999999996</v>
      </c>
      <c r="Y63" s="150">
        <v>713.26099999999997</v>
      </c>
      <c r="Z63" s="150">
        <v>782.18100000000004</v>
      </c>
      <c r="AA63" s="150">
        <v>858.14099999999996</v>
      </c>
      <c r="AB63" s="150">
        <v>941.61400000000003</v>
      </c>
      <c r="AC63" s="150">
        <v>1033.0820000000001</v>
      </c>
      <c r="AD63" s="150">
        <v>1133.0340000000001</v>
      </c>
      <c r="AE63" s="150">
        <v>1241.098</v>
      </c>
    </row>
    <row r="64" spans="2:31" x14ac:dyDescent="0.35">
      <c r="B64" s="116" t="s">
        <v>3384</v>
      </c>
      <c r="C64" s="116" t="s">
        <v>3296</v>
      </c>
      <c r="D64" s="116" t="s">
        <v>3381</v>
      </c>
      <c r="E64" s="116" t="s">
        <v>2094</v>
      </c>
      <c r="F64" s="116" t="s">
        <v>3297</v>
      </c>
      <c r="H64" s="120" t="s">
        <v>3382</v>
      </c>
      <c r="L64" s="150">
        <v>307.637</v>
      </c>
      <c r="M64" s="150">
        <v>321.39299999999997</v>
      </c>
      <c r="N64" s="150">
        <v>349.90699999999998</v>
      </c>
      <c r="O64" s="150">
        <v>371.78</v>
      </c>
      <c r="P64" s="150">
        <v>384.22399999999999</v>
      </c>
      <c r="Q64" s="150">
        <v>400.50700000000001</v>
      </c>
      <c r="R64" s="150">
        <v>417.12299999999999</v>
      </c>
      <c r="S64" s="150">
        <v>435.774</v>
      </c>
      <c r="T64" s="150">
        <v>459.85899999999998</v>
      </c>
      <c r="U64" s="150">
        <v>492.76</v>
      </c>
      <c r="V64" s="150">
        <v>549.81799999999998</v>
      </c>
      <c r="W64" s="150">
        <v>591.36199999999997</v>
      </c>
      <c r="X64" s="150">
        <v>639.05100000000004</v>
      </c>
      <c r="Y64" s="150">
        <v>692.96600000000001</v>
      </c>
      <c r="Z64" s="150">
        <v>753.40599999999995</v>
      </c>
      <c r="AA64" s="150">
        <v>820.58799999999997</v>
      </c>
      <c r="AB64" s="150">
        <v>895.07</v>
      </c>
      <c r="AC64" s="150">
        <v>977.34500000000003</v>
      </c>
      <c r="AD64" s="150">
        <v>1067.93</v>
      </c>
      <c r="AE64" s="150">
        <v>1166.4870000000001</v>
      </c>
    </row>
    <row r="65" spans="2:31" x14ac:dyDescent="0.35">
      <c r="B65" s="116" t="s">
        <v>3385</v>
      </c>
      <c r="C65" s="116" t="s">
        <v>3299</v>
      </c>
      <c r="D65" s="116" t="s">
        <v>3381</v>
      </c>
      <c r="E65" s="116" t="s">
        <v>2094</v>
      </c>
      <c r="F65" s="116" t="s">
        <v>3300</v>
      </c>
      <c r="H65" s="120" t="s">
        <v>3382</v>
      </c>
      <c r="L65" s="150">
        <v>307.637</v>
      </c>
      <c r="M65" s="150">
        <v>321.39699999999999</v>
      </c>
      <c r="N65" s="150">
        <v>349.911</v>
      </c>
      <c r="O65" s="150">
        <v>371.78399999999999</v>
      </c>
      <c r="P65" s="150">
        <v>384.22899999999998</v>
      </c>
      <c r="Q65" s="150">
        <v>400.54599999999999</v>
      </c>
      <c r="R65" s="150">
        <v>422.363</v>
      </c>
      <c r="S65" s="150">
        <v>442.125</v>
      </c>
      <c r="T65" s="150">
        <v>469.80700000000002</v>
      </c>
      <c r="U65" s="150">
        <v>507.23200000000003</v>
      </c>
      <c r="V65" s="150">
        <v>557.25800000000004</v>
      </c>
      <c r="W65" s="150">
        <v>625.87699999999995</v>
      </c>
      <c r="X65" s="150">
        <v>680.21</v>
      </c>
      <c r="Y65" s="150">
        <v>740.46600000000001</v>
      </c>
      <c r="Z65" s="150">
        <v>806.8</v>
      </c>
      <c r="AA65" s="150">
        <v>880.03399999999999</v>
      </c>
      <c r="AB65" s="150">
        <v>961.077</v>
      </c>
      <c r="AC65" s="150">
        <v>1051.069</v>
      </c>
      <c r="AD65" s="150">
        <v>1151.5139999999999</v>
      </c>
      <c r="AE65" s="150">
        <v>1258.481</v>
      </c>
    </row>
    <row r="66" spans="2:31" x14ac:dyDescent="0.35">
      <c r="B66" s="116" t="s">
        <v>3386</v>
      </c>
      <c r="C66" s="116" t="s">
        <v>3287</v>
      </c>
      <c r="D66" s="116" t="s">
        <v>3387</v>
      </c>
      <c r="E66" s="116" t="s">
        <v>2094</v>
      </c>
      <c r="F66" s="116" t="s">
        <v>3290</v>
      </c>
      <c r="H66" s="120" t="s">
        <v>3388</v>
      </c>
      <c r="L66" s="150">
        <v>52.970999999999997</v>
      </c>
      <c r="M66" s="150">
        <v>57.256</v>
      </c>
      <c r="N66" s="150">
        <v>48.052999999999997</v>
      </c>
      <c r="O66" s="150">
        <v>53.412999999999997</v>
      </c>
      <c r="P66" s="150">
        <v>62.460999999999999</v>
      </c>
      <c r="Q66" s="150">
        <v>72.828999999999994</v>
      </c>
      <c r="R66" s="150">
        <v>84.831000000000003</v>
      </c>
      <c r="S66" s="150">
        <v>98.88</v>
      </c>
      <c r="T66" s="150">
        <v>116.354</v>
      </c>
      <c r="U66" s="150">
        <v>138.35599999999999</v>
      </c>
      <c r="V66" s="150">
        <v>164.88900000000001</v>
      </c>
      <c r="W66" s="150">
        <v>195.12700000000001</v>
      </c>
      <c r="X66" s="150">
        <v>229.14500000000001</v>
      </c>
      <c r="Y66" s="150">
        <v>267.37</v>
      </c>
      <c r="Z66" s="150">
        <v>309.197</v>
      </c>
      <c r="AA66" s="150">
        <v>354.87400000000002</v>
      </c>
      <c r="AB66" s="150">
        <v>404.45299999999997</v>
      </c>
      <c r="AC66" s="150">
        <v>457.91300000000001</v>
      </c>
      <c r="AD66" s="150">
        <v>515.221</v>
      </c>
      <c r="AE66" s="150">
        <v>575.33799999999997</v>
      </c>
    </row>
    <row r="67" spans="2:31" x14ac:dyDescent="0.35">
      <c r="B67" s="116" t="s">
        <v>3389</v>
      </c>
      <c r="C67" s="116" t="s">
        <v>3293</v>
      </c>
      <c r="D67" s="116" t="s">
        <v>3387</v>
      </c>
      <c r="E67" s="116" t="s">
        <v>2094</v>
      </c>
      <c r="F67" s="116" t="s">
        <v>3294</v>
      </c>
      <c r="H67" s="120" t="s">
        <v>3388</v>
      </c>
      <c r="L67" s="150">
        <v>52.970999999999997</v>
      </c>
      <c r="M67" s="150">
        <v>57.256</v>
      </c>
      <c r="N67" s="150">
        <v>48.052999999999997</v>
      </c>
      <c r="O67" s="150">
        <v>53.412999999999997</v>
      </c>
      <c r="P67" s="150">
        <v>62.460999999999999</v>
      </c>
      <c r="Q67" s="150">
        <v>72.828999999999994</v>
      </c>
      <c r="R67" s="150">
        <v>84.831000000000003</v>
      </c>
      <c r="S67" s="150">
        <v>98.88</v>
      </c>
      <c r="T67" s="150">
        <v>116.354</v>
      </c>
      <c r="U67" s="150">
        <v>138.35599999999999</v>
      </c>
      <c r="V67" s="150">
        <v>164.88900000000001</v>
      </c>
      <c r="W67" s="150">
        <v>195.12700000000001</v>
      </c>
      <c r="X67" s="150">
        <v>229.14500000000001</v>
      </c>
      <c r="Y67" s="150">
        <v>267.37</v>
      </c>
      <c r="Z67" s="150">
        <v>309.197</v>
      </c>
      <c r="AA67" s="150">
        <v>354.87400000000002</v>
      </c>
      <c r="AB67" s="150">
        <v>404.45299999999997</v>
      </c>
      <c r="AC67" s="150">
        <v>457.91300000000001</v>
      </c>
      <c r="AD67" s="150">
        <v>515.221</v>
      </c>
      <c r="AE67" s="150">
        <v>575.33799999999997</v>
      </c>
    </row>
    <row r="68" spans="2:31" x14ac:dyDescent="0.35">
      <c r="B68" s="116" t="s">
        <v>3390</v>
      </c>
      <c r="C68" s="116" t="s">
        <v>3296</v>
      </c>
      <c r="D68" s="116" t="s">
        <v>3387</v>
      </c>
      <c r="E68" s="116" t="s">
        <v>2094</v>
      </c>
      <c r="F68" s="116" t="s">
        <v>3297</v>
      </c>
      <c r="H68" s="120" t="s">
        <v>3388</v>
      </c>
      <c r="L68" s="150">
        <v>52.970999999999997</v>
      </c>
      <c r="M68" s="150">
        <v>57.256</v>
      </c>
      <c r="N68" s="150">
        <v>48.052999999999997</v>
      </c>
      <c r="O68" s="150">
        <v>53.412999999999997</v>
      </c>
      <c r="P68" s="150">
        <v>62.460999999999999</v>
      </c>
      <c r="Q68" s="150">
        <v>72.828999999999994</v>
      </c>
      <c r="R68" s="150">
        <v>84.831000000000003</v>
      </c>
      <c r="S68" s="150">
        <v>98.88</v>
      </c>
      <c r="T68" s="150">
        <v>116.354</v>
      </c>
      <c r="U68" s="150">
        <v>138.35599999999999</v>
      </c>
      <c r="V68" s="150">
        <v>164.88900000000001</v>
      </c>
      <c r="W68" s="150">
        <v>195.12700000000001</v>
      </c>
      <c r="X68" s="150">
        <v>229.14500000000001</v>
      </c>
      <c r="Y68" s="150">
        <v>267.37</v>
      </c>
      <c r="Z68" s="150">
        <v>309.197</v>
      </c>
      <c r="AA68" s="150">
        <v>354.87400000000002</v>
      </c>
      <c r="AB68" s="150">
        <v>404.45299999999997</v>
      </c>
      <c r="AC68" s="150">
        <v>457.91300000000001</v>
      </c>
      <c r="AD68" s="150">
        <v>515.221</v>
      </c>
      <c r="AE68" s="150">
        <v>575.33799999999997</v>
      </c>
    </row>
    <row r="69" spans="2:31" x14ac:dyDescent="0.35">
      <c r="B69" s="116" t="s">
        <v>3391</v>
      </c>
      <c r="C69" s="116" t="s">
        <v>3299</v>
      </c>
      <c r="D69" s="116" t="s">
        <v>3387</v>
      </c>
      <c r="E69" s="116" t="s">
        <v>2094</v>
      </c>
      <c r="F69" s="116" t="s">
        <v>3300</v>
      </c>
      <c r="H69" s="120" t="s">
        <v>3388</v>
      </c>
      <c r="L69" s="150">
        <v>52.970999999999997</v>
      </c>
      <c r="M69" s="150">
        <v>57.256</v>
      </c>
      <c r="N69" s="150">
        <v>48.052999999999997</v>
      </c>
      <c r="O69" s="150">
        <v>53.412999999999997</v>
      </c>
      <c r="P69" s="150">
        <v>62.460999999999999</v>
      </c>
      <c r="Q69" s="150">
        <v>72.828999999999994</v>
      </c>
      <c r="R69" s="150">
        <v>84.831000000000003</v>
      </c>
      <c r="S69" s="150">
        <v>98.88</v>
      </c>
      <c r="T69" s="150">
        <v>116.354</v>
      </c>
      <c r="U69" s="150">
        <v>138.35599999999999</v>
      </c>
      <c r="V69" s="150">
        <v>164.88900000000001</v>
      </c>
      <c r="W69" s="150">
        <v>195.12700000000001</v>
      </c>
      <c r="X69" s="150">
        <v>229.14500000000001</v>
      </c>
      <c r="Y69" s="150">
        <v>267.37</v>
      </c>
      <c r="Z69" s="150">
        <v>309.197</v>
      </c>
      <c r="AA69" s="150">
        <v>354.87400000000002</v>
      </c>
      <c r="AB69" s="150">
        <v>404.45299999999997</v>
      </c>
      <c r="AC69" s="150">
        <v>457.91300000000001</v>
      </c>
      <c r="AD69" s="150">
        <v>515.221</v>
      </c>
      <c r="AE69" s="150">
        <v>575.33799999999997</v>
      </c>
    </row>
    <row r="70" spans="2:31" x14ac:dyDescent="0.35">
      <c r="B70" s="116" t="s">
        <v>3392</v>
      </c>
      <c r="C70" s="116" t="s">
        <v>3287</v>
      </c>
      <c r="D70" s="116" t="s">
        <v>3393</v>
      </c>
      <c r="E70" s="116" t="s">
        <v>2094</v>
      </c>
      <c r="F70" s="116" t="s">
        <v>3290</v>
      </c>
      <c r="H70" s="120" t="s">
        <v>3394</v>
      </c>
      <c r="L70" s="150">
        <v>52.970999999999997</v>
      </c>
      <c r="M70" s="150">
        <v>57.256</v>
      </c>
      <c r="N70" s="150">
        <v>48.052999999999997</v>
      </c>
      <c r="O70" s="150">
        <v>53.412999999999997</v>
      </c>
      <c r="P70" s="150">
        <v>62.460999999999999</v>
      </c>
      <c r="Q70" s="150">
        <v>72.828999999999994</v>
      </c>
      <c r="R70" s="150">
        <v>79.682000000000002</v>
      </c>
      <c r="S70" s="150">
        <v>92.488</v>
      </c>
      <c r="T70" s="150">
        <v>108.97799999999999</v>
      </c>
      <c r="U70" s="150">
        <v>129.72</v>
      </c>
      <c r="V70" s="150">
        <v>155.06899999999999</v>
      </c>
      <c r="W70" s="150">
        <v>183.83099999999999</v>
      </c>
      <c r="X70" s="150">
        <v>216.55099999999999</v>
      </c>
      <c r="Y70" s="150">
        <v>253.12899999999999</v>
      </c>
      <c r="Z70" s="150">
        <v>293.52800000000002</v>
      </c>
      <c r="AA70" s="150">
        <v>337.721</v>
      </c>
      <c r="AB70" s="150">
        <v>385.82400000000001</v>
      </c>
      <c r="AC70" s="150">
        <v>437.82799999999997</v>
      </c>
      <c r="AD70" s="150">
        <v>493.70800000000003</v>
      </c>
      <c r="AE70" s="150">
        <v>552.44399999999996</v>
      </c>
    </row>
    <row r="71" spans="2:31" x14ac:dyDescent="0.35">
      <c r="B71" s="116" t="s">
        <v>3395</v>
      </c>
      <c r="C71" s="116" t="s">
        <v>3293</v>
      </c>
      <c r="D71" s="116" t="s">
        <v>3393</v>
      </c>
      <c r="E71" s="116" t="s">
        <v>2094</v>
      </c>
      <c r="F71" s="116" t="s">
        <v>3294</v>
      </c>
      <c r="H71" s="120" t="s">
        <v>3394</v>
      </c>
      <c r="L71" s="150">
        <v>52.970999999999997</v>
      </c>
      <c r="M71" s="150">
        <v>57.256</v>
      </c>
      <c r="N71" s="150">
        <v>48.052999999999997</v>
      </c>
      <c r="O71" s="150">
        <v>53.412999999999997</v>
      </c>
      <c r="P71" s="150">
        <v>62.460999999999999</v>
      </c>
      <c r="Q71" s="150">
        <v>72.828999999999994</v>
      </c>
      <c r="R71" s="150">
        <v>79.682000000000002</v>
      </c>
      <c r="S71" s="150">
        <v>92.468999999999994</v>
      </c>
      <c r="T71" s="150">
        <v>108.937</v>
      </c>
      <c r="U71" s="150">
        <v>129.65100000000001</v>
      </c>
      <c r="V71" s="150">
        <v>154.977</v>
      </c>
      <c r="W71" s="150">
        <v>183.73400000000001</v>
      </c>
      <c r="X71" s="150">
        <v>216.40899999999999</v>
      </c>
      <c r="Y71" s="150">
        <v>252.95099999999999</v>
      </c>
      <c r="Z71" s="150">
        <v>293.30799999999999</v>
      </c>
      <c r="AA71" s="150">
        <v>337.435</v>
      </c>
      <c r="AB71" s="150">
        <v>385.45600000000002</v>
      </c>
      <c r="AC71" s="150">
        <v>437.36399999999998</v>
      </c>
      <c r="AD71" s="150">
        <v>493.13499999999999</v>
      </c>
      <c r="AE71" s="150">
        <v>551.75</v>
      </c>
    </row>
    <row r="72" spans="2:31" x14ac:dyDescent="0.35">
      <c r="B72" s="116" t="s">
        <v>3396</v>
      </c>
      <c r="C72" s="116" t="s">
        <v>3296</v>
      </c>
      <c r="D72" s="116" t="s">
        <v>3393</v>
      </c>
      <c r="E72" s="116" t="s">
        <v>2094</v>
      </c>
      <c r="F72" s="116" t="s">
        <v>3297</v>
      </c>
      <c r="H72" s="120" t="s">
        <v>3394</v>
      </c>
      <c r="L72" s="150">
        <v>52.970999999999997</v>
      </c>
      <c r="M72" s="150">
        <v>57.256</v>
      </c>
      <c r="N72" s="150">
        <v>48.052999999999997</v>
      </c>
      <c r="O72" s="150">
        <v>53.412999999999997</v>
      </c>
      <c r="P72" s="150">
        <v>62.460999999999999</v>
      </c>
      <c r="Q72" s="150">
        <v>72.828999999999994</v>
      </c>
      <c r="R72" s="150">
        <v>83.516999999999996</v>
      </c>
      <c r="S72" s="150">
        <v>95.302999999999997</v>
      </c>
      <c r="T72" s="150">
        <v>110.074</v>
      </c>
      <c r="U72" s="150">
        <v>128.72399999999999</v>
      </c>
      <c r="V72" s="150">
        <v>151.34</v>
      </c>
      <c r="W72" s="150">
        <v>177.101</v>
      </c>
      <c r="X72" s="150">
        <v>206.142</v>
      </c>
      <c r="Y72" s="150">
        <v>238.434</v>
      </c>
      <c r="Z72" s="150">
        <v>273.99299999999999</v>
      </c>
      <c r="AA72" s="150">
        <v>312.738</v>
      </c>
      <c r="AB72" s="150">
        <v>354.81099999999998</v>
      </c>
      <c r="AC72" s="150">
        <v>400.24599999999998</v>
      </c>
      <c r="AD72" s="150">
        <v>449.03800000000001</v>
      </c>
      <c r="AE72" s="150">
        <v>500.24200000000002</v>
      </c>
    </row>
    <row r="73" spans="2:31" x14ac:dyDescent="0.35">
      <c r="B73" s="116" t="s">
        <v>3397</v>
      </c>
      <c r="C73" s="116" t="s">
        <v>3299</v>
      </c>
      <c r="D73" s="116" t="s">
        <v>3393</v>
      </c>
      <c r="E73" s="116" t="s">
        <v>2094</v>
      </c>
      <c r="F73" s="116" t="s">
        <v>3300</v>
      </c>
      <c r="H73" s="120" t="s">
        <v>3394</v>
      </c>
      <c r="L73" s="150">
        <v>52.970999999999997</v>
      </c>
      <c r="M73" s="150">
        <v>57.256</v>
      </c>
      <c r="N73" s="150">
        <v>48.052999999999997</v>
      </c>
      <c r="O73" s="150">
        <v>53.412999999999997</v>
      </c>
      <c r="P73" s="150">
        <v>62.460999999999999</v>
      </c>
      <c r="Q73" s="150">
        <v>72.828999999999994</v>
      </c>
      <c r="R73" s="150">
        <v>84.831000000000003</v>
      </c>
      <c r="S73" s="150">
        <v>98.444999999999993</v>
      </c>
      <c r="T73" s="150">
        <v>115.18899999999999</v>
      </c>
      <c r="U73" s="150">
        <v>135.97</v>
      </c>
      <c r="V73" s="150">
        <v>160.76499999999999</v>
      </c>
      <c r="W73" s="150">
        <v>188.58699999999999</v>
      </c>
      <c r="X73" s="150">
        <v>219.52799999999999</v>
      </c>
      <c r="Y73" s="150">
        <v>253.59100000000001</v>
      </c>
      <c r="Z73" s="150">
        <v>290.36799999999999</v>
      </c>
      <c r="AA73" s="150">
        <v>329.87799999999999</v>
      </c>
      <c r="AB73" s="150">
        <v>372.077</v>
      </c>
      <c r="AC73" s="150">
        <v>416.87900000000002</v>
      </c>
      <c r="AD73" s="150">
        <v>464.166</v>
      </c>
      <c r="AE73" s="150">
        <v>512.798</v>
      </c>
    </row>
    <row r="74" spans="2:31" x14ac:dyDescent="0.35">
      <c r="B74" s="116" t="s">
        <v>3398</v>
      </c>
      <c r="C74" s="116" t="s">
        <v>3287</v>
      </c>
      <c r="D74" s="116" t="s">
        <v>3399</v>
      </c>
      <c r="E74" s="116" t="s">
        <v>16</v>
      </c>
      <c r="F74" s="116" t="s">
        <v>3290</v>
      </c>
      <c r="H74" s="120" t="s">
        <v>1419</v>
      </c>
      <c r="L74" s="150">
        <v>0</v>
      </c>
      <c r="M74" s="150">
        <v>0</v>
      </c>
      <c r="N74" s="150">
        <v>0</v>
      </c>
      <c r="O74" s="150">
        <v>0</v>
      </c>
      <c r="P74" s="150">
        <v>0</v>
      </c>
      <c r="Q74" s="150">
        <v>0</v>
      </c>
      <c r="R74" s="150">
        <v>20</v>
      </c>
      <c r="S74" s="150">
        <v>20</v>
      </c>
      <c r="T74" s="150">
        <v>20</v>
      </c>
      <c r="U74" s="150">
        <v>20</v>
      </c>
      <c r="V74" s="150">
        <v>20</v>
      </c>
      <c r="W74" s="150">
        <v>20</v>
      </c>
      <c r="X74" s="150">
        <v>20</v>
      </c>
      <c r="Y74" s="150">
        <v>20</v>
      </c>
      <c r="Z74" s="150">
        <v>20</v>
      </c>
      <c r="AA74" s="150">
        <v>20</v>
      </c>
      <c r="AB74" s="150">
        <v>20</v>
      </c>
      <c r="AC74" s="150">
        <v>20</v>
      </c>
      <c r="AD74" s="150">
        <v>20</v>
      </c>
      <c r="AE74" s="150">
        <v>20</v>
      </c>
    </row>
    <row r="75" spans="2:31" x14ac:dyDescent="0.35">
      <c r="B75" s="116" t="s">
        <v>3400</v>
      </c>
      <c r="C75" s="116" t="s">
        <v>3293</v>
      </c>
      <c r="D75" s="116" t="s">
        <v>3399</v>
      </c>
      <c r="E75" s="116" t="s">
        <v>16</v>
      </c>
      <c r="F75" s="116" t="s">
        <v>3294</v>
      </c>
      <c r="H75" s="120" t="s">
        <v>1419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50">
        <v>0</v>
      </c>
      <c r="R75" s="150">
        <v>20</v>
      </c>
      <c r="S75" s="150">
        <v>20</v>
      </c>
      <c r="T75" s="150">
        <v>20</v>
      </c>
      <c r="U75" s="150">
        <v>20</v>
      </c>
      <c r="V75" s="150">
        <v>20</v>
      </c>
      <c r="W75" s="150">
        <v>20</v>
      </c>
      <c r="X75" s="150">
        <v>20</v>
      </c>
      <c r="Y75" s="150">
        <v>20</v>
      </c>
      <c r="Z75" s="150">
        <v>20</v>
      </c>
      <c r="AA75" s="150">
        <v>20</v>
      </c>
      <c r="AB75" s="150">
        <v>20</v>
      </c>
      <c r="AC75" s="150">
        <v>20</v>
      </c>
      <c r="AD75" s="150">
        <v>20</v>
      </c>
      <c r="AE75" s="150">
        <v>20</v>
      </c>
    </row>
    <row r="76" spans="2:31" x14ac:dyDescent="0.35">
      <c r="B76" s="116" t="s">
        <v>3401</v>
      </c>
      <c r="C76" s="116" t="s">
        <v>3296</v>
      </c>
      <c r="D76" s="116" t="s">
        <v>3399</v>
      </c>
      <c r="E76" s="116" t="s">
        <v>16</v>
      </c>
      <c r="F76" s="116" t="s">
        <v>3297</v>
      </c>
      <c r="H76" s="120" t="s">
        <v>1419</v>
      </c>
      <c r="L76" s="150">
        <v>0</v>
      </c>
      <c r="M76" s="150">
        <v>0</v>
      </c>
      <c r="N76" s="150">
        <v>0</v>
      </c>
      <c r="O76" s="150">
        <v>0</v>
      </c>
      <c r="P76" s="150">
        <v>0</v>
      </c>
      <c r="Q76" s="150">
        <v>0</v>
      </c>
      <c r="R76" s="150">
        <v>5</v>
      </c>
      <c r="S76" s="150">
        <v>12.5</v>
      </c>
      <c r="T76" s="150">
        <v>20</v>
      </c>
      <c r="U76" s="150">
        <v>27.5</v>
      </c>
      <c r="V76" s="150">
        <v>35</v>
      </c>
      <c r="W76" s="150">
        <v>42.5</v>
      </c>
      <c r="X76" s="150">
        <v>50</v>
      </c>
      <c r="Y76" s="150">
        <v>57.5</v>
      </c>
      <c r="Z76" s="150">
        <v>65</v>
      </c>
      <c r="AA76" s="150">
        <v>72.5</v>
      </c>
      <c r="AB76" s="150">
        <v>80</v>
      </c>
      <c r="AC76" s="150">
        <v>87.5</v>
      </c>
      <c r="AD76" s="150">
        <v>95</v>
      </c>
      <c r="AE76" s="150">
        <v>102.5</v>
      </c>
    </row>
    <row r="77" spans="2:31" x14ac:dyDescent="0.35">
      <c r="B77" s="116" t="s">
        <v>3402</v>
      </c>
      <c r="C77" s="116" t="s">
        <v>3299</v>
      </c>
      <c r="D77" s="116" t="s">
        <v>3399</v>
      </c>
      <c r="E77" s="116" t="s">
        <v>16</v>
      </c>
      <c r="F77" s="116" t="s">
        <v>3300</v>
      </c>
      <c r="H77" s="120" t="s">
        <v>1419</v>
      </c>
      <c r="L77" s="150">
        <v>0</v>
      </c>
      <c r="M77" s="150">
        <v>0</v>
      </c>
      <c r="N77" s="150">
        <v>0</v>
      </c>
      <c r="O77" s="150">
        <v>0</v>
      </c>
      <c r="P77" s="150">
        <v>0</v>
      </c>
      <c r="Q77" s="150">
        <v>0</v>
      </c>
      <c r="R77" s="150">
        <v>0</v>
      </c>
      <c r="S77" s="150">
        <v>0</v>
      </c>
      <c r="T77" s="150">
        <v>0</v>
      </c>
      <c r="U77" s="150">
        <v>0</v>
      </c>
      <c r="V77" s="150">
        <v>0</v>
      </c>
      <c r="W77" s="150">
        <v>0</v>
      </c>
      <c r="X77" s="150">
        <v>0</v>
      </c>
      <c r="Y77" s="150">
        <v>0</v>
      </c>
      <c r="Z77" s="150">
        <v>0</v>
      </c>
      <c r="AA77" s="150">
        <v>0</v>
      </c>
      <c r="AB77" s="150">
        <v>0</v>
      </c>
      <c r="AC77" s="150">
        <v>0</v>
      </c>
      <c r="AD77" s="150">
        <v>0</v>
      </c>
      <c r="AE77" s="150">
        <v>0</v>
      </c>
    </row>
    <row r="78" spans="2:31" x14ac:dyDescent="0.35">
      <c r="B78" s="116" t="s">
        <v>3403</v>
      </c>
      <c r="C78" s="116" t="s">
        <v>3287</v>
      </c>
      <c r="D78" s="116" t="s">
        <v>3404</v>
      </c>
      <c r="E78" s="116" t="s">
        <v>16</v>
      </c>
      <c r="F78" s="116" t="s">
        <v>3290</v>
      </c>
      <c r="H78" s="120" t="s">
        <v>3405</v>
      </c>
      <c r="L78" s="150">
        <v>0</v>
      </c>
      <c r="M78" s="150">
        <v>0</v>
      </c>
      <c r="N78" s="150">
        <v>0</v>
      </c>
      <c r="O78" s="150">
        <v>0</v>
      </c>
      <c r="P78" s="150">
        <v>0</v>
      </c>
      <c r="Q78" s="150">
        <v>0</v>
      </c>
      <c r="R78" s="150">
        <v>19.783999999999999</v>
      </c>
      <c r="S78" s="150">
        <v>19.786000000000001</v>
      </c>
      <c r="T78" s="150">
        <v>19.8</v>
      </c>
      <c r="U78" s="150">
        <v>19.814</v>
      </c>
      <c r="V78" s="150">
        <v>19.835999999999999</v>
      </c>
      <c r="W78" s="150">
        <v>19.847000000000001</v>
      </c>
      <c r="X78" s="150">
        <v>19.856999999999999</v>
      </c>
      <c r="Y78" s="150">
        <v>19.867000000000001</v>
      </c>
      <c r="Z78" s="150">
        <v>19.876000000000001</v>
      </c>
      <c r="AA78" s="150">
        <v>19.884</v>
      </c>
      <c r="AB78" s="150">
        <v>19.890999999999998</v>
      </c>
      <c r="AC78" s="150">
        <v>19.896999999999998</v>
      </c>
      <c r="AD78" s="150">
        <v>19.902999999999999</v>
      </c>
      <c r="AE78" s="150">
        <v>19.908999999999999</v>
      </c>
    </row>
    <row r="79" spans="2:31" x14ac:dyDescent="0.35">
      <c r="B79" s="116" t="s">
        <v>3406</v>
      </c>
      <c r="C79" s="116" t="s">
        <v>3293</v>
      </c>
      <c r="D79" s="116" t="s">
        <v>3404</v>
      </c>
      <c r="E79" s="116" t="s">
        <v>16</v>
      </c>
      <c r="F79" s="116" t="s">
        <v>3294</v>
      </c>
      <c r="H79" s="120" t="s">
        <v>3405</v>
      </c>
      <c r="L79" s="150">
        <v>0</v>
      </c>
      <c r="M79" s="150">
        <v>0</v>
      </c>
      <c r="N79" s="150">
        <v>0</v>
      </c>
      <c r="O79" s="150">
        <v>0</v>
      </c>
      <c r="P79" s="150">
        <v>0</v>
      </c>
      <c r="Q79" s="150">
        <v>0</v>
      </c>
      <c r="R79" s="150">
        <v>19.783999999999999</v>
      </c>
      <c r="S79" s="150">
        <v>19.786000000000001</v>
      </c>
      <c r="T79" s="150">
        <v>19.800999999999998</v>
      </c>
      <c r="U79" s="150">
        <v>19.815000000000001</v>
      </c>
      <c r="V79" s="150">
        <v>19.838000000000001</v>
      </c>
      <c r="W79" s="150">
        <v>19.849</v>
      </c>
      <c r="X79" s="150">
        <v>19.86</v>
      </c>
      <c r="Y79" s="150">
        <v>19.87</v>
      </c>
      <c r="Z79" s="150">
        <v>19.88</v>
      </c>
      <c r="AA79" s="150">
        <v>19.888000000000002</v>
      </c>
      <c r="AB79" s="150">
        <v>19.896000000000001</v>
      </c>
      <c r="AC79" s="150">
        <v>19.904</v>
      </c>
      <c r="AD79" s="150">
        <v>19.91</v>
      </c>
      <c r="AE79" s="150">
        <v>19.917000000000002</v>
      </c>
    </row>
    <row r="80" spans="2:31" x14ac:dyDescent="0.35">
      <c r="B80" s="116" t="s">
        <v>3407</v>
      </c>
      <c r="C80" s="116" t="s">
        <v>3296</v>
      </c>
      <c r="D80" s="116" t="s">
        <v>3404</v>
      </c>
      <c r="E80" s="116" t="s">
        <v>16</v>
      </c>
      <c r="F80" s="116" t="s">
        <v>3297</v>
      </c>
      <c r="H80" s="120" t="s">
        <v>3405</v>
      </c>
      <c r="L80" s="150">
        <v>0</v>
      </c>
      <c r="M80" s="150">
        <v>0</v>
      </c>
      <c r="N80" s="150">
        <v>0</v>
      </c>
      <c r="O80" s="150">
        <v>0</v>
      </c>
      <c r="P80" s="150">
        <v>0</v>
      </c>
      <c r="Q80" s="150">
        <v>0</v>
      </c>
      <c r="R80" s="150">
        <v>0.84199999999999997</v>
      </c>
      <c r="S80" s="150">
        <v>1.931</v>
      </c>
      <c r="T80" s="150">
        <v>2.8069999999999999</v>
      </c>
      <c r="U80" s="150">
        <v>3.4319999999999999</v>
      </c>
      <c r="V80" s="150">
        <v>3.7040000000000002</v>
      </c>
      <c r="W80" s="150">
        <v>4.0430000000000001</v>
      </c>
      <c r="X80" s="150">
        <v>4.2709999999999999</v>
      </c>
      <c r="Y80" s="150">
        <v>4.41</v>
      </c>
      <c r="Z80" s="150">
        <v>4.4800000000000004</v>
      </c>
      <c r="AA80" s="150">
        <v>4.4950000000000001</v>
      </c>
      <c r="AB80" s="150">
        <v>4.4690000000000003</v>
      </c>
      <c r="AC80" s="150">
        <v>4.4119999999999999</v>
      </c>
      <c r="AD80" s="150">
        <v>4.3310000000000004</v>
      </c>
      <c r="AE80" s="150">
        <v>4.2370000000000001</v>
      </c>
    </row>
    <row r="81" spans="2:31" x14ac:dyDescent="0.35">
      <c r="B81" s="116" t="s">
        <v>3408</v>
      </c>
      <c r="C81" s="116" t="s">
        <v>3299</v>
      </c>
      <c r="D81" s="116" t="s">
        <v>3404</v>
      </c>
      <c r="E81" s="116" t="s">
        <v>16</v>
      </c>
      <c r="F81" s="116" t="s">
        <v>3300</v>
      </c>
      <c r="H81" s="120" t="s">
        <v>3405</v>
      </c>
      <c r="L81" s="150">
        <v>0</v>
      </c>
      <c r="M81" s="150">
        <v>0</v>
      </c>
      <c r="N81" s="150">
        <v>0</v>
      </c>
      <c r="O81" s="150">
        <v>0</v>
      </c>
      <c r="P81" s="150">
        <v>0</v>
      </c>
      <c r="Q81" s="150">
        <v>0</v>
      </c>
      <c r="R81" s="150">
        <v>0</v>
      </c>
      <c r="S81" s="150">
        <v>0</v>
      </c>
      <c r="T81" s="150">
        <v>0</v>
      </c>
      <c r="U81" s="150">
        <v>0</v>
      </c>
      <c r="V81" s="150">
        <v>0</v>
      </c>
      <c r="W81" s="150">
        <v>0</v>
      </c>
      <c r="X81" s="150">
        <v>0</v>
      </c>
      <c r="Y81" s="150">
        <v>0</v>
      </c>
      <c r="Z81" s="150">
        <v>0</v>
      </c>
      <c r="AA81" s="150">
        <v>0</v>
      </c>
      <c r="AB81" s="150">
        <v>0</v>
      </c>
      <c r="AC81" s="150">
        <v>0</v>
      </c>
      <c r="AD81" s="150">
        <v>0</v>
      </c>
      <c r="AE81" s="150">
        <v>0</v>
      </c>
    </row>
    <row r="82" spans="2:31" x14ac:dyDescent="0.35">
      <c r="B82" s="116" t="s">
        <v>3409</v>
      </c>
      <c r="C82" s="116" t="s">
        <v>3287</v>
      </c>
      <c r="D82" s="116" t="s">
        <v>3410</v>
      </c>
      <c r="E82" s="116" t="s">
        <v>1868</v>
      </c>
      <c r="F82" s="116" t="s">
        <v>3290</v>
      </c>
      <c r="H82" s="120" t="s">
        <v>3411</v>
      </c>
      <c r="L82" s="150">
        <v>52.2</v>
      </c>
      <c r="M82" s="150">
        <v>56.902999999999999</v>
      </c>
      <c r="N82" s="150">
        <v>67.484999999999999</v>
      </c>
      <c r="O82" s="150">
        <v>72.938000000000002</v>
      </c>
      <c r="P82" s="150">
        <v>75.02</v>
      </c>
      <c r="Q82" s="150">
        <v>77.454999999999998</v>
      </c>
      <c r="R82" s="150">
        <v>80.412000000000006</v>
      </c>
      <c r="S82" s="150">
        <v>83.271000000000001</v>
      </c>
      <c r="T82" s="150">
        <v>85.97</v>
      </c>
      <c r="U82" s="150">
        <v>88.71</v>
      </c>
      <c r="V82" s="150">
        <v>91.478999999999999</v>
      </c>
      <c r="W82" s="150">
        <v>94.296999999999997</v>
      </c>
      <c r="X82" s="150">
        <v>97.164000000000001</v>
      </c>
      <c r="Y82" s="150">
        <v>100.08</v>
      </c>
      <c r="Z82" s="150">
        <v>103.044</v>
      </c>
      <c r="AA82" s="150">
        <v>106.056</v>
      </c>
      <c r="AB82" s="150">
        <v>109.11499999999999</v>
      </c>
      <c r="AC82" s="150">
        <v>112.221</v>
      </c>
      <c r="AD82" s="150">
        <v>115.374</v>
      </c>
      <c r="AE82" s="150">
        <v>118.57299999999999</v>
      </c>
    </row>
    <row r="83" spans="2:31" x14ac:dyDescent="0.35">
      <c r="B83" s="116" t="s">
        <v>3412</v>
      </c>
      <c r="C83" s="116" t="s">
        <v>3293</v>
      </c>
      <c r="D83" s="116" t="s">
        <v>3410</v>
      </c>
      <c r="E83" s="116" t="s">
        <v>1868</v>
      </c>
      <c r="F83" s="116" t="s">
        <v>3294</v>
      </c>
      <c r="H83" s="120" t="s">
        <v>3411</v>
      </c>
      <c r="L83" s="150">
        <v>52.2</v>
      </c>
      <c r="M83" s="150">
        <v>56.902999999999999</v>
      </c>
      <c r="N83" s="150">
        <v>67.484999999999999</v>
      </c>
      <c r="O83" s="150">
        <v>72.938000000000002</v>
      </c>
      <c r="P83" s="150">
        <v>75.02</v>
      </c>
      <c r="Q83" s="150">
        <v>77.454999999999998</v>
      </c>
      <c r="R83" s="150">
        <v>80.412000000000006</v>
      </c>
      <c r="S83" s="150">
        <v>83.271000000000001</v>
      </c>
      <c r="T83" s="150">
        <v>85.97</v>
      </c>
      <c r="U83" s="150">
        <v>88.71</v>
      </c>
      <c r="V83" s="150">
        <v>91.478999999999999</v>
      </c>
      <c r="W83" s="150">
        <v>94.296999999999997</v>
      </c>
      <c r="X83" s="150">
        <v>97.164000000000001</v>
      </c>
      <c r="Y83" s="150">
        <v>100.08</v>
      </c>
      <c r="Z83" s="150">
        <v>103.044</v>
      </c>
      <c r="AA83" s="150">
        <v>106.056</v>
      </c>
      <c r="AB83" s="150">
        <v>109.11499999999999</v>
      </c>
      <c r="AC83" s="150">
        <v>112.221</v>
      </c>
      <c r="AD83" s="150">
        <v>115.374</v>
      </c>
      <c r="AE83" s="150">
        <v>118.57299999999999</v>
      </c>
    </row>
    <row r="84" spans="2:31" x14ac:dyDescent="0.35">
      <c r="B84" s="116" t="s">
        <v>3413</v>
      </c>
      <c r="C84" s="116" t="s">
        <v>3296</v>
      </c>
      <c r="D84" s="116" t="s">
        <v>3410</v>
      </c>
      <c r="E84" s="116" t="s">
        <v>1868</v>
      </c>
      <c r="F84" s="116" t="s">
        <v>3297</v>
      </c>
      <c r="H84" s="120" t="s">
        <v>3411</v>
      </c>
      <c r="L84" s="150">
        <v>52.2</v>
      </c>
      <c r="M84" s="150">
        <v>56.902999999999999</v>
      </c>
      <c r="N84" s="150">
        <v>67.484999999999999</v>
      </c>
      <c r="O84" s="150">
        <v>72.938000000000002</v>
      </c>
      <c r="P84" s="150">
        <v>75.02</v>
      </c>
      <c r="Q84" s="150">
        <v>77.454999999999998</v>
      </c>
      <c r="R84" s="150">
        <v>80.412000000000006</v>
      </c>
      <c r="S84" s="150">
        <v>83.271000000000001</v>
      </c>
      <c r="T84" s="150">
        <v>85.97</v>
      </c>
      <c r="U84" s="150">
        <v>88.71</v>
      </c>
      <c r="V84" s="150">
        <v>91.478999999999999</v>
      </c>
      <c r="W84" s="150">
        <v>94.296999999999997</v>
      </c>
      <c r="X84" s="150">
        <v>97.164000000000001</v>
      </c>
      <c r="Y84" s="150">
        <v>100.08</v>
      </c>
      <c r="Z84" s="150">
        <v>103.044</v>
      </c>
      <c r="AA84" s="150">
        <v>106.056</v>
      </c>
      <c r="AB84" s="150">
        <v>109.11499999999999</v>
      </c>
      <c r="AC84" s="150">
        <v>112.221</v>
      </c>
      <c r="AD84" s="150">
        <v>115.374</v>
      </c>
      <c r="AE84" s="150">
        <v>118.57299999999999</v>
      </c>
    </row>
    <row r="85" spans="2:31" x14ac:dyDescent="0.35">
      <c r="B85" s="116" t="s">
        <v>3414</v>
      </c>
      <c r="C85" s="116" t="s">
        <v>3299</v>
      </c>
      <c r="D85" s="116" t="s">
        <v>3410</v>
      </c>
      <c r="E85" s="116" t="s">
        <v>1868</v>
      </c>
      <c r="F85" s="116" t="s">
        <v>3300</v>
      </c>
      <c r="H85" s="120" t="s">
        <v>3411</v>
      </c>
      <c r="L85" s="150">
        <v>52.2</v>
      </c>
      <c r="M85" s="150">
        <v>56.902999999999999</v>
      </c>
      <c r="N85" s="150">
        <v>67.484999999999999</v>
      </c>
      <c r="O85" s="150">
        <v>72.938000000000002</v>
      </c>
      <c r="P85" s="150">
        <v>75.02</v>
      </c>
      <c r="Q85" s="150">
        <v>77.454999999999998</v>
      </c>
      <c r="R85" s="150">
        <v>80.412000000000006</v>
      </c>
      <c r="S85" s="150">
        <v>83.271000000000001</v>
      </c>
      <c r="T85" s="150">
        <v>85.97</v>
      </c>
      <c r="U85" s="150">
        <v>88.71</v>
      </c>
      <c r="V85" s="150">
        <v>91.478999999999999</v>
      </c>
      <c r="W85" s="150">
        <v>94.296999999999997</v>
      </c>
      <c r="X85" s="150">
        <v>97.164000000000001</v>
      </c>
      <c r="Y85" s="150">
        <v>100.08</v>
      </c>
      <c r="Z85" s="150">
        <v>103.044</v>
      </c>
      <c r="AA85" s="150">
        <v>106.056</v>
      </c>
      <c r="AB85" s="150">
        <v>109.11499999999999</v>
      </c>
      <c r="AC85" s="150">
        <v>112.221</v>
      </c>
      <c r="AD85" s="150">
        <v>115.374</v>
      </c>
      <c r="AE85" s="150">
        <v>118.57299999999999</v>
      </c>
    </row>
    <row r="86" spans="2:31" x14ac:dyDescent="0.35">
      <c r="B86" s="116" t="s">
        <v>3415</v>
      </c>
      <c r="C86" s="116" t="s">
        <v>3287</v>
      </c>
      <c r="D86" s="116" t="s">
        <v>3416</v>
      </c>
      <c r="E86" s="116" t="s">
        <v>1868</v>
      </c>
      <c r="F86" s="116" t="s">
        <v>3290</v>
      </c>
      <c r="H86" s="120" t="s">
        <v>3417</v>
      </c>
      <c r="L86" s="150">
        <v>52.2</v>
      </c>
      <c r="M86" s="150">
        <v>56.902999999999999</v>
      </c>
      <c r="N86" s="150">
        <v>67.484999999999999</v>
      </c>
      <c r="O86" s="150">
        <v>72.938000000000002</v>
      </c>
      <c r="P86" s="150">
        <v>75.02</v>
      </c>
      <c r="Q86" s="150">
        <v>77.454999999999998</v>
      </c>
      <c r="R86" s="150">
        <v>68.415000000000006</v>
      </c>
      <c r="S86" s="150">
        <v>71.459999999999994</v>
      </c>
      <c r="T86" s="150">
        <v>74.015000000000001</v>
      </c>
      <c r="U86" s="150">
        <v>76.510999999999996</v>
      </c>
      <c r="V86" s="150">
        <v>79.001999999999995</v>
      </c>
      <c r="W86" s="150">
        <v>81.600999999999999</v>
      </c>
      <c r="X86" s="150">
        <v>84.373999999999995</v>
      </c>
      <c r="Y86" s="150">
        <v>87.287999999999997</v>
      </c>
      <c r="Z86" s="150">
        <v>90.378</v>
      </c>
      <c r="AA86" s="150">
        <v>93.718000000000004</v>
      </c>
      <c r="AB86" s="150">
        <v>97.298000000000002</v>
      </c>
      <c r="AC86" s="150">
        <v>101.117</v>
      </c>
      <c r="AD86" s="150">
        <v>105.121</v>
      </c>
      <c r="AE86" s="150">
        <v>109.29</v>
      </c>
    </row>
    <row r="87" spans="2:31" x14ac:dyDescent="0.35">
      <c r="B87" s="116" t="s">
        <v>3418</v>
      </c>
      <c r="C87" s="116" t="s">
        <v>3293</v>
      </c>
      <c r="D87" s="116" t="s">
        <v>3416</v>
      </c>
      <c r="E87" s="116" t="s">
        <v>1868</v>
      </c>
      <c r="F87" s="116" t="s">
        <v>3294</v>
      </c>
      <c r="H87" s="120" t="s">
        <v>3417</v>
      </c>
      <c r="L87" s="150">
        <v>52.2</v>
      </c>
      <c r="M87" s="150">
        <v>56.902999999999999</v>
      </c>
      <c r="N87" s="150">
        <v>67.484999999999999</v>
      </c>
      <c r="O87" s="150">
        <v>72.938000000000002</v>
      </c>
      <c r="P87" s="150">
        <v>75.02</v>
      </c>
      <c r="Q87" s="150">
        <v>77.454999999999998</v>
      </c>
      <c r="R87" s="150">
        <v>68.415000000000006</v>
      </c>
      <c r="S87" s="150">
        <v>71.165000000000006</v>
      </c>
      <c r="T87" s="150">
        <v>73.406999999999996</v>
      </c>
      <c r="U87" s="150">
        <v>75.62</v>
      </c>
      <c r="V87" s="150">
        <v>77.837999999999994</v>
      </c>
      <c r="W87" s="150">
        <v>80.12</v>
      </c>
      <c r="X87" s="150">
        <v>82.451999999999998</v>
      </c>
      <c r="Y87" s="150">
        <v>84.828999999999994</v>
      </c>
      <c r="Z87" s="150">
        <v>87.278000000000006</v>
      </c>
      <c r="AA87" s="150">
        <v>89.807000000000002</v>
      </c>
      <c r="AB87" s="150">
        <v>92.382000000000005</v>
      </c>
      <c r="AC87" s="150">
        <v>95.015000000000001</v>
      </c>
      <c r="AD87" s="150">
        <v>97.691000000000003</v>
      </c>
      <c r="AE87" s="150">
        <v>100.43</v>
      </c>
    </row>
    <row r="88" spans="2:31" x14ac:dyDescent="0.35">
      <c r="B88" s="116" t="s">
        <v>3419</v>
      </c>
      <c r="C88" s="116" t="s">
        <v>3296</v>
      </c>
      <c r="D88" s="116" t="s">
        <v>3416</v>
      </c>
      <c r="E88" s="116" t="s">
        <v>1868</v>
      </c>
      <c r="F88" s="116" t="s">
        <v>3297</v>
      </c>
      <c r="H88" s="120" t="s">
        <v>3417</v>
      </c>
      <c r="L88" s="150">
        <v>52.2</v>
      </c>
      <c r="M88" s="150">
        <v>56.902999999999999</v>
      </c>
      <c r="N88" s="150">
        <v>67.484999999999999</v>
      </c>
      <c r="O88" s="150">
        <v>72.938000000000002</v>
      </c>
      <c r="P88" s="150">
        <v>75.02</v>
      </c>
      <c r="Q88" s="150">
        <v>77.454999999999998</v>
      </c>
      <c r="R88" s="150">
        <v>78.14</v>
      </c>
      <c r="S88" s="150">
        <v>77.872</v>
      </c>
      <c r="T88" s="150">
        <v>77.707999999999998</v>
      </c>
      <c r="U88" s="150">
        <v>76.436000000000007</v>
      </c>
      <c r="V88" s="150">
        <v>75.021000000000001</v>
      </c>
      <c r="W88" s="150">
        <v>74.06</v>
      </c>
      <c r="X88" s="150">
        <v>73.435000000000002</v>
      </c>
      <c r="Y88" s="150">
        <v>73.049000000000007</v>
      </c>
      <c r="Z88" s="150">
        <v>72.87</v>
      </c>
      <c r="AA88" s="150">
        <v>72.853999999999999</v>
      </c>
      <c r="AB88" s="150">
        <v>72.988</v>
      </c>
      <c r="AC88" s="150">
        <v>73.254999999999995</v>
      </c>
      <c r="AD88" s="150">
        <v>73.632999999999996</v>
      </c>
      <c r="AE88" s="150">
        <v>74.106999999999999</v>
      </c>
    </row>
    <row r="89" spans="2:31" x14ac:dyDescent="0.35">
      <c r="B89" s="116" t="s">
        <v>3420</v>
      </c>
      <c r="C89" s="116" t="s">
        <v>3299</v>
      </c>
      <c r="D89" s="116" t="s">
        <v>3416</v>
      </c>
      <c r="E89" s="116" t="s">
        <v>1868</v>
      </c>
      <c r="F89" s="116" t="s">
        <v>3300</v>
      </c>
      <c r="H89" s="120" t="s">
        <v>3417</v>
      </c>
      <c r="L89" s="150">
        <v>52.2</v>
      </c>
      <c r="M89" s="150">
        <v>56.902999999999999</v>
      </c>
      <c r="N89" s="150">
        <v>67.484999999999999</v>
      </c>
      <c r="O89" s="150">
        <v>72.938000000000002</v>
      </c>
      <c r="P89" s="150">
        <v>75.02</v>
      </c>
      <c r="Q89" s="150">
        <v>77.454999999999998</v>
      </c>
      <c r="R89" s="150">
        <v>80.412000000000006</v>
      </c>
      <c r="S89" s="150">
        <v>83.305000000000007</v>
      </c>
      <c r="T89" s="150">
        <v>86.076999999999998</v>
      </c>
      <c r="U89" s="150">
        <v>88.921000000000006</v>
      </c>
      <c r="V89" s="150">
        <v>91.831000000000003</v>
      </c>
      <c r="W89" s="150">
        <v>94.87</v>
      </c>
      <c r="X89" s="150">
        <v>98.07</v>
      </c>
      <c r="Y89" s="150">
        <v>101.562</v>
      </c>
      <c r="Z89" s="150">
        <v>105.486</v>
      </c>
      <c r="AA89" s="150">
        <v>110.08499999999999</v>
      </c>
      <c r="AB89" s="150">
        <v>115.65600000000001</v>
      </c>
      <c r="AC89" s="150">
        <v>122.614</v>
      </c>
      <c r="AD89" s="150">
        <v>131.55000000000001</v>
      </c>
      <c r="AE89" s="150">
        <v>140.744</v>
      </c>
    </row>
    <row r="90" spans="2:31" x14ac:dyDescent="0.35">
      <c r="B90" s="116" t="s">
        <v>3421</v>
      </c>
      <c r="C90" s="116" t="s">
        <v>3287</v>
      </c>
      <c r="D90" s="116" t="s">
        <v>3422</v>
      </c>
      <c r="E90" s="116" t="s">
        <v>1868</v>
      </c>
      <c r="F90" s="116" t="s">
        <v>3290</v>
      </c>
      <c r="H90" s="120" t="s">
        <v>3423</v>
      </c>
      <c r="L90" s="150">
        <v>400.91199999999998</v>
      </c>
      <c r="M90" s="150">
        <v>417.87799999999999</v>
      </c>
      <c r="N90" s="150">
        <v>450.28</v>
      </c>
      <c r="O90" s="150">
        <v>474.66800000000001</v>
      </c>
      <c r="P90" s="150">
        <v>488.83699999999999</v>
      </c>
      <c r="Q90" s="150">
        <v>507.334</v>
      </c>
      <c r="R90" s="150">
        <v>531.74699999999996</v>
      </c>
      <c r="S90" s="150">
        <v>560.63599999999997</v>
      </c>
      <c r="T90" s="150">
        <v>594.15599999999995</v>
      </c>
      <c r="U90" s="150">
        <v>637.81200000000001</v>
      </c>
      <c r="V90" s="150">
        <v>701.79399999999998</v>
      </c>
      <c r="W90" s="150">
        <v>772.31500000000005</v>
      </c>
      <c r="X90" s="150">
        <v>835.74800000000005</v>
      </c>
      <c r="Y90" s="150">
        <v>906.16600000000005</v>
      </c>
      <c r="Z90" s="150">
        <v>983.29399999999998</v>
      </c>
      <c r="AA90" s="150">
        <v>1067.761</v>
      </c>
      <c r="AB90" s="150">
        <v>1160.0530000000001</v>
      </c>
      <c r="AC90" s="150">
        <v>1260.6389999999999</v>
      </c>
      <c r="AD90" s="150">
        <v>1370.0440000000001</v>
      </c>
      <c r="AE90" s="150">
        <v>1487.8579999999999</v>
      </c>
    </row>
    <row r="91" spans="2:31" x14ac:dyDescent="0.35">
      <c r="B91" s="116" t="s">
        <v>3424</v>
      </c>
      <c r="C91" s="116" t="s">
        <v>3293</v>
      </c>
      <c r="D91" s="116" t="s">
        <v>3422</v>
      </c>
      <c r="E91" s="116" t="s">
        <v>1868</v>
      </c>
      <c r="F91" s="116" t="s">
        <v>3294</v>
      </c>
      <c r="H91" s="120" t="s">
        <v>3423</v>
      </c>
      <c r="L91" s="150">
        <v>400.91199999999998</v>
      </c>
      <c r="M91" s="150">
        <v>417.87799999999999</v>
      </c>
      <c r="N91" s="150">
        <v>450.28</v>
      </c>
      <c r="O91" s="150">
        <v>474.66800000000001</v>
      </c>
      <c r="P91" s="150">
        <v>488.83699999999999</v>
      </c>
      <c r="Q91" s="150">
        <v>507.334</v>
      </c>
      <c r="R91" s="150">
        <v>531.74699999999996</v>
      </c>
      <c r="S91" s="150">
        <v>560.63599999999997</v>
      </c>
      <c r="T91" s="150">
        <v>594.15599999999995</v>
      </c>
      <c r="U91" s="150">
        <v>637.81200000000001</v>
      </c>
      <c r="V91" s="150">
        <v>701.79399999999998</v>
      </c>
      <c r="W91" s="150">
        <v>772.31500000000005</v>
      </c>
      <c r="X91" s="150">
        <v>835.74800000000005</v>
      </c>
      <c r="Y91" s="150">
        <v>906.16600000000005</v>
      </c>
      <c r="Z91" s="150">
        <v>983.29399999999998</v>
      </c>
      <c r="AA91" s="150">
        <v>1067.761</v>
      </c>
      <c r="AB91" s="150">
        <v>1160.0530000000001</v>
      </c>
      <c r="AC91" s="150">
        <v>1260.6389999999999</v>
      </c>
      <c r="AD91" s="150">
        <v>1370.0440000000001</v>
      </c>
      <c r="AE91" s="150">
        <v>1487.8579999999999</v>
      </c>
    </row>
    <row r="92" spans="2:31" x14ac:dyDescent="0.35">
      <c r="B92" s="116" t="s">
        <v>3425</v>
      </c>
      <c r="C92" s="116" t="s">
        <v>3296</v>
      </c>
      <c r="D92" s="116" t="s">
        <v>3422</v>
      </c>
      <c r="E92" s="116" t="s">
        <v>1868</v>
      </c>
      <c r="F92" s="116" t="s">
        <v>3297</v>
      </c>
      <c r="H92" s="120" t="s">
        <v>3423</v>
      </c>
      <c r="L92" s="150">
        <v>400.91199999999998</v>
      </c>
      <c r="M92" s="150">
        <v>417.87799999999999</v>
      </c>
      <c r="N92" s="150">
        <v>450.28</v>
      </c>
      <c r="O92" s="150">
        <v>474.66800000000001</v>
      </c>
      <c r="P92" s="150">
        <v>488.83699999999999</v>
      </c>
      <c r="Q92" s="150">
        <v>507.334</v>
      </c>
      <c r="R92" s="150">
        <v>531.74699999999996</v>
      </c>
      <c r="S92" s="150">
        <v>560.63599999999997</v>
      </c>
      <c r="T92" s="150">
        <v>594.15599999999995</v>
      </c>
      <c r="U92" s="150">
        <v>637.81200000000001</v>
      </c>
      <c r="V92" s="150">
        <v>701.79399999999998</v>
      </c>
      <c r="W92" s="150">
        <v>772.31500000000005</v>
      </c>
      <c r="X92" s="150">
        <v>835.74800000000005</v>
      </c>
      <c r="Y92" s="150">
        <v>906.16600000000005</v>
      </c>
      <c r="Z92" s="150">
        <v>983.29399999999998</v>
      </c>
      <c r="AA92" s="150">
        <v>1067.761</v>
      </c>
      <c r="AB92" s="150">
        <v>1160.0530000000001</v>
      </c>
      <c r="AC92" s="150">
        <v>1260.6389999999999</v>
      </c>
      <c r="AD92" s="150">
        <v>1370.0440000000001</v>
      </c>
      <c r="AE92" s="150">
        <v>1487.8579999999999</v>
      </c>
    </row>
    <row r="93" spans="2:31" x14ac:dyDescent="0.35">
      <c r="B93" s="116" t="s">
        <v>3426</v>
      </c>
      <c r="C93" s="116" t="s">
        <v>3299</v>
      </c>
      <c r="D93" s="116" t="s">
        <v>3422</v>
      </c>
      <c r="E93" s="116" t="s">
        <v>1868</v>
      </c>
      <c r="F93" s="116" t="s">
        <v>3300</v>
      </c>
      <c r="H93" s="120" t="s">
        <v>3423</v>
      </c>
      <c r="L93" s="150">
        <v>400.91199999999998</v>
      </c>
      <c r="M93" s="150">
        <v>417.87799999999999</v>
      </c>
      <c r="N93" s="150">
        <v>450.28</v>
      </c>
      <c r="O93" s="150">
        <v>474.66800000000001</v>
      </c>
      <c r="P93" s="150">
        <v>488.83699999999999</v>
      </c>
      <c r="Q93" s="150">
        <v>507.334</v>
      </c>
      <c r="R93" s="150">
        <v>531.74699999999996</v>
      </c>
      <c r="S93" s="150">
        <v>560.63599999999997</v>
      </c>
      <c r="T93" s="150">
        <v>594.15599999999995</v>
      </c>
      <c r="U93" s="150">
        <v>637.81200000000001</v>
      </c>
      <c r="V93" s="150">
        <v>701.79399999999998</v>
      </c>
      <c r="W93" s="150">
        <v>772.31500000000005</v>
      </c>
      <c r="X93" s="150">
        <v>835.74800000000005</v>
      </c>
      <c r="Y93" s="150">
        <v>906.16600000000005</v>
      </c>
      <c r="Z93" s="150">
        <v>983.29399999999998</v>
      </c>
      <c r="AA93" s="150">
        <v>1067.761</v>
      </c>
      <c r="AB93" s="150">
        <v>1160.0530000000001</v>
      </c>
      <c r="AC93" s="150">
        <v>1260.6389999999999</v>
      </c>
      <c r="AD93" s="150">
        <v>1370.0440000000001</v>
      </c>
      <c r="AE93" s="150">
        <v>1487.8579999999999</v>
      </c>
    </row>
    <row r="94" spans="2:31" x14ac:dyDescent="0.35">
      <c r="B94" s="116" t="s">
        <v>3427</v>
      </c>
      <c r="C94" s="116" t="s">
        <v>3287</v>
      </c>
      <c r="D94" s="116" t="s">
        <v>3428</v>
      </c>
      <c r="E94" s="116" t="s">
        <v>1868</v>
      </c>
      <c r="F94" s="116" t="s">
        <v>3290</v>
      </c>
      <c r="H94" s="120" t="s">
        <v>3429</v>
      </c>
      <c r="L94" s="150">
        <v>400.91199999999998</v>
      </c>
      <c r="M94" s="150">
        <v>417.779</v>
      </c>
      <c r="N94" s="150">
        <v>450.16500000000002</v>
      </c>
      <c r="O94" s="150">
        <v>474.55700000000002</v>
      </c>
      <c r="P94" s="150">
        <v>488.72800000000001</v>
      </c>
      <c r="Q94" s="150">
        <v>507.15600000000001</v>
      </c>
      <c r="R94" s="150">
        <v>497.15</v>
      </c>
      <c r="S94" s="150">
        <v>517.96299999999997</v>
      </c>
      <c r="T94" s="150">
        <v>555.279</v>
      </c>
      <c r="U94" s="150">
        <v>598.30100000000004</v>
      </c>
      <c r="V94" s="150">
        <v>667.41700000000003</v>
      </c>
      <c r="W94" s="150">
        <v>723.178</v>
      </c>
      <c r="X94" s="150">
        <v>784.76800000000003</v>
      </c>
      <c r="Y94" s="150">
        <v>853.19</v>
      </c>
      <c r="Z94" s="150">
        <v>928.76499999999999</v>
      </c>
      <c r="AA94" s="150">
        <v>1012.0069999999999</v>
      </c>
      <c r="AB94" s="150">
        <v>1103.4390000000001</v>
      </c>
      <c r="AC94" s="150">
        <v>1203.5229999999999</v>
      </c>
      <c r="AD94" s="150">
        <v>1312.6610000000001</v>
      </c>
      <c r="AE94" s="150">
        <v>1430.405</v>
      </c>
    </row>
    <row r="95" spans="2:31" x14ac:dyDescent="0.35">
      <c r="B95" s="116" t="s">
        <v>3430</v>
      </c>
      <c r="C95" s="116" t="s">
        <v>3293</v>
      </c>
      <c r="D95" s="116" t="s">
        <v>3428</v>
      </c>
      <c r="E95" s="116" t="s">
        <v>1868</v>
      </c>
      <c r="F95" s="116" t="s">
        <v>3294</v>
      </c>
      <c r="H95" s="120" t="s">
        <v>3429</v>
      </c>
      <c r="L95" s="150">
        <v>400.91199999999998</v>
      </c>
      <c r="M95" s="150">
        <v>417.779</v>
      </c>
      <c r="N95" s="150">
        <v>450.16500000000002</v>
      </c>
      <c r="O95" s="150">
        <v>474.55700000000002</v>
      </c>
      <c r="P95" s="150">
        <v>488.72800000000001</v>
      </c>
      <c r="Q95" s="150">
        <v>507.15600000000001</v>
      </c>
      <c r="R95" s="150">
        <v>497.15</v>
      </c>
      <c r="S95" s="150">
        <v>516.83199999999999</v>
      </c>
      <c r="T95" s="150">
        <v>553.154</v>
      </c>
      <c r="U95" s="150">
        <v>594.93200000000002</v>
      </c>
      <c r="V95" s="150">
        <v>662.98599999999999</v>
      </c>
      <c r="W95" s="150">
        <v>718.69100000000003</v>
      </c>
      <c r="X95" s="150">
        <v>779.16200000000003</v>
      </c>
      <c r="Y95" s="150">
        <v>846.23800000000006</v>
      </c>
      <c r="Z95" s="150">
        <v>920.21900000000005</v>
      </c>
      <c r="AA95" s="150">
        <v>1001.454</v>
      </c>
      <c r="AB95" s="150">
        <v>1090.415</v>
      </c>
      <c r="AC95" s="150">
        <v>1187.5920000000001</v>
      </c>
      <c r="AD95" s="150">
        <v>1293.482</v>
      </c>
      <c r="AE95" s="150">
        <v>1407.72</v>
      </c>
    </row>
    <row r="96" spans="2:31" x14ac:dyDescent="0.35">
      <c r="B96" s="116" t="s">
        <v>3431</v>
      </c>
      <c r="C96" s="116" t="s">
        <v>3296</v>
      </c>
      <c r="D96" s="116" t="s">
        <v>3428</v>
      </c>
      <c r="E96" s="116" t="s">
        <v>1868</v>
      </c>
      <c r="F96" s="116" t="s">
        <v>3297</v>
      </c>
      <c r="H96" s="120" t="s">
        <v>3429</v>
      </c>
      <c r="L96" s="150">
        <v>400.91199999999998</v>
      </c>
      <c r="M96" s="150">
        <v>417.87400000000002</v>
      </c>
      <c r="N96" s="150">
        <v>450.27499999999998</v>
      </c>
      <c r="O96" s="150">
        <v>474.66300000000001</v>
      </c>
      <c r="P96" s="150">
        <v>488.83300000000003</v>
      </c>
      <c r="Q96" s="150">
        <v>507.29399999999998</v>
      </c>
      <c r="R96" s="150">
        <v>525.95600000000002</v>
      </c>
      <c r="S96" s="150">
        <v>546.53</v>
      </c>
      <c r="T96" s="150">
        <v>572.61400000000003</v>
      </c>
      <c r="U96" s="150">
        <v>607.83799999999997</v>
      </c>
      <c r="V96" s="150">
        <v>668.18</v>
      </c>
      <c r="W96" s="150">
        <v>713.41800000000001</v>
      </c>
      <c r="X96" s="150">
        <v>765.05</v>
      </c>
      <c r="Y96" s="150">
        <v>823.14400000000001</v>
      </c>
      <c r="Z96" s="150">
        <v>887.99400000000003</v>
      </c>
      <c r="AA96" s="150">
        <v>959.81799999999998</v>
      </c>
      <c r="AB96" s="150">
        <v>1039.175</v>
      </c>
      <c r="AC96" s="150">
        <v>1126.569</v>
      </c>
      <c r="AD96" s="150">
        <v>1222.5160000000001</v>
      </c>
      <c r="AE96" s="150">
        <v>1326.681</v>
      </c>
    </row>
    <row r="97" spans="2:31" x14ac:dyDescent="0.35">
      <c r="B97" s="116" t="s">
        <v>3432</v>
      </c>
      <c r="C97" s="116" t="s">
        <v>3299</v>
      </c>
      <c r="D97" s="116" t="s">
        <v>3428</v>
      </c>
      <c r="E97" s="116" t="s">
        <v>1868</v>
      </c>
      <c r="F97" s="116" t="s">
        <v>3300</v>
      </c>
      <c r="H97" s="120" t="s">
        <v>3429</v>
      </c>
      <c r="L97" s="150">
        <v>400.91199999999998</v>
      </c>
      <c r="M97" s="150">
        <v>417.87799999999999</v>
      </c>
      <c r="N97" s="150">
        <v>450.28</v>
      </c>
      <c r="O97" s="150">
        <v>474.66800000000001</v>
      </c>
      <c r="P97" s="150">
        <v>488.83699999999999</v>
      </c>
      <c r="Q97" s="150">
        <v>507.334</v>
      </c>
      <c r="R97" s="150">
        <v>531.74699999999996</v>
      </c>
      <c r="S97" s="150">
        <v>554.16099999999994</v>
      </c>
      <c r="T97" s="150">
        <v>584.53899999999999</v>
      </c>
      <c r="U97" s="150">
        <v>625.25900000000001</v>
      </c>
      <c r="V97" s="150">
        <v>679.52499999999998</v>
      </c>
      <c r="W97" s="150">
        <v>752.91800000000001</v>
      </c>
      <c r="X97" s="150">
        <v>812.11800000000005</v>
      </c>
      <c r="Y97" s="150">
        <v>877.48900000000003</v>
      </c>
      <c r="Z97" s="150">
        <v>949.23500000000001</v>
      </c>
      <c r="AA97" s="150">
        <v>1028.2429999999999</v>
      </c>
      <c r="AB97" s="150">
        <v>1115.5139999999999</v>
      </c>
      <c r="AC97" s="150">
        <v>1212.299</v>
      </c>
      <c r="AD97" s="150">
        <v>1320.2629999999999</v>
      </c>
      <c r="AE97" s="150">
        <v>1435.0740000000001</v>
      </c>
    </row>
    <row r="98" spans="2:31" x14ac:dyDescent="0.35">
      <c r="B98" s="116" t="s">
        <v>3433</v>
      </c>
      <c r="C98" s="116" t="s">
        <v>3287</v>
      </c>
      <c r="D98" s="116" t="s">
        <v>3434</v>
      </c>
      <c r="E98" s="116" t="s">
        <v>3435</v>
      </c>
      <c r="F98" s="116" t="s">
        <v>3290</v>
      </c>
      <c r="H98" s="120" t="s">
        <v>3436</v>
      </c>
      <c r="L98" s="150">
        <v>0</v>
      </c>
      <c r="M98" s="150">
        <v>0</v>
      </c>
      <c r="N98" s="150">
        <v>0</v>
      </c>
      <c r="O98" s="150">
        <v>0</v>
      </c>
      <c r="P98" s="150">
        <v>0</v>
      </c>
      <c r="Q98" s="150">
        <v>0</v>
      </c>
      <c r="R98" s="150">
        <v>0.15</v>
      </c>
      <c r="S98" s="150">
        <v>0.15</v>
      </c>
      <c r="T98" s="150">
        <v>0.16</v>
      </c>
      <c r="U98" s="150">
        <v>0.16</v>
      </c>
      <c r="V98" s="150">
        <v>0.16</v>
      </c>
      <c r="W98" s="150">
        <v>0.17</v>
      </c>
      <c r="X98" s="150">
        <v>0.17</v>
      </c>
      <c r="Y98" s="150">
        <v>0.17</v>
      </c>
      <c r="Z98" s="150">
        <v>0.18</v>
      </c>
      <c r="AA98" s="150">
        <v>0.18</v>
      </c>
      <c r="AB98" s="150">
        <v>0.18</v>
      </c>
      <c r="AC98" s="150">
        <v>0.19</v>
      </c>
      <c r="AD98" s="150">
        <v>0.19</v>
      </c>
      <c r="AE98" s="150">
        <v>0.2</v>
      </c>
    </row>
    <row r="99" spans="2:31" x14ac:dyDescent="0.35">
      <c r="B99" s="116" t="s">
        <v>3437</v>
      </c>
      <c r="C99" s="116" t="s">
        <v>3293</v>
      </c>
      <c r="D99" s="116" t="s">
        <v>3434</v>
      </c>
      <c r="E99" s="116" t="s">
        <v>3435</v>
      </c>
      <c r="F99" s="116" t="s">
        <v>3294</v>
      </c>
      <c r="H99" s="120" t="s">
        <v>3436</v>
      </c>
      <c r="L99" s="150">
        <v>0</v>
      </c>
      <c r="M99" s="150">
        <v>0</v>
      </c>
      <c r="N99" s="150">
        <v>0</v>
      </c>
      <c r="O99" s="150">
        <v>0</v>
      </c>
      <c r="P99" s="150">
        <v>0</v>
      </c>
      <c r="Q99" s="150">
        <v>0</v>
      </c>
      <c r="R99" s="150">
        <v>0.15</v>
      </c>
      <c r="S99" s="150">
        <v>0.15</v>
      </c>
      <c r="T99" s="150">
        <v>0.16</v>
      </c>
      <c r="U99" s="150">
        <v>0.16</v>
      </c>
      <c r="V99" s="150">
        <v>0.16</v>
      </c>
      <c r="W99" s="150">
        <v>0.16</v>
      </c>
      <c r="X99" s="150">
        <v>0.17</v>
      </c>
      <c r="Y99" s="150">
        <v>0.17</v>
      </c>
      <c r="Z99" s="150">
        <v>0.17</v>
      </c>
      <c r="AA99" s="150">
        <v>0.18</v>
      </c>
      <c r="AB99" s="150">
        <v>0.18</v>
      </c>
      <c r="AC99" s="150">
        <v>0.18</v>
      </c>
      <c r="AD99" s="150">
        <v>0.18</v>
      </c>
      <c r="AE99" s="150">
        <v>0.19</v>
      </c>
    </row>
    <row r="100" spans="2:31" x14ac:dyDescent="0.35">
      <c r="B100" s="116" t="s">
        <v>3438</v>
      </c>
      <c r="C100" s="116" t="s">
        <v>3296</v>
      </c>
      <c r="D100" s="116" t="s">
        <v>3434</v>
      </c>
      <c r="E100" s="116" t="s">
        <v>3435</v>
      </c>
      <c r="F100" s="116" t="s">
        <v>3297</v>
      </c>
      <c r="H100" s="120" t="s">
        <v>3436</v>
      </c>
      <c r="L100" s="150">
        <v>0</v>
      </c>
      <c r="M100" s="150">
        <v>0</v>
      </c>
      <c r="N100" s="150">
        <v>0</v>
      </c>
      <c r="O100" s="150">
        <v>0</v>
      </c>
      <c r="P100" s="150">
        <v>0</v>
      </c>
      <c r="Q100" s="150">
        <v>0</v>
      </c>
      <c r="R100" s="150">
        <v>0.04</v>
      </c>
      <c r="S100" s="150">
        <v>0.1</v>
      </c>
      <c r="T100" s="150">
        <v>0.16</v>
      </c>
      <c r="U100" s="150">
        <v>0.21</v>
      </c>
      <c r="V100" s="150">
        <v>0.26</v>
      </c>
      <c r="W100" s="150">
        <v>0.31</v>
      </c>
      <c r="X100" s="150">
        <v>0.35</v>
      </c>
      <c r="Y100" s="150">
        <v>0.4</v>
      </c>
      <c r="Z100" s="150">
        <v>0.45</v>
      </c>
      <c r="AA100" s="150">
        <v>0.49</v>
      </c>
      <c r="AB100" s="150">
        <v>0.54</v>
      </c>
      <c r="AC100" s="150">
        <v>0.57999999999999996</v>
      </c>
      <c r="AD100" s="150">
        <v>0.62</v>
      </c>
      <c r="AE100" s="150">
        <v>0.67</v>
      </c>
    </row>
    <row r="101" spans="2:31" x14ac:dyDescent="0.35">
      <c r="B101" s="116" t="s">
        <v>3439</v>
      </c>
      <c r="C101" s="116" t="s">
        <v>3299</v>
      </c>
      <c r="D101" s="116" t="s">
        <v>3434</v>
      </c>
      <c r="E101" s="116" t="s">
        <v>3435</v>
      </c>
      <c r="F101" s="116" t="s">
        <v>3300</v>
      </c>
      <c r="H101" s="120" t="s">
        <v>3436</v>
      </c>
      <c r="L101" s="150">
        <v>0</v>
      </c>
      <c r="M101" s="150">
        <v>0</v>
      </c>
      <c r="N101" s="150">
        <v>0</v>
      </c>
      <c r="O101" s="150">
        <v>0</v>
      </c>
      <c r="P101" s="150">
        <v>0</v>
      </c>
      <c r="Q101" s="150">
        <v>0</v>
      </c>
      <c r="R101" s="150">
        <v>0</v>
      </c>
      <c r="S101" s="150">
        <v>0</v>
      </c>
      <c r="T101" s="150">
        <v>0</v>
      </c>
      <c r="U101" s="150">
        <v>0</v>
      </c>
      <c r="V101" s="150">
        <v>0</v>
      </c>
      <c r="W101" s="150">
        <v>0</v>
      </c>
      <c r="X101" s="150">
        <v>0</v>
      </c>
      <c r="Y101" s="150">
        <v>0</v>
      </c>
      <c r="Z101" s="150">
        <v>0</v>
      </c>
      <c r="AA101" s="150">
        <v>0</v>
      </c>
      <c r="AB101" s="150">
        <v>0</v>
      </c>
      <c r="AC101" s="150">
        <v>0</v>
      </c>
      <c r="AD101" s="150">
        <v>0</v>
      </c>
      <c r="AE101" s="150">
        <v>0</v>
      </c>
    </row>
    <row r="102" spans="2:31" x14ac:dyDescent="0.35">
      <c r="B102" s="116" t="s">
        <v>3440</v>
      </c>
      <c r="C102" s="116" t="s">
        <v>3287</v>
      </c>
      <c r="D102" s="116" t="s">
        <v>3441</v>
      </c>
      <c r="E102" s="116" t="s">
        <v>3435</v>
      </c>
      <c r="F102" s="116" t="s">
        <v>3290</v>
      </c>
      <c r="H102" s="120" t="s">
        <v>3442</v>
      </c>
      <c r="L102" s="150">
        <v>0</v>
      </c>
      <c r="M102" s="150">
        <v>0</v>
      </c>
      <c r="N102" s="150">
        <v>0</v>
      </c>
      <c r="O102" s="150">
        <v>0</v>
      </c>
      <c r="P102" s="150">
        <v>0</v>
      </c>
      <c r="Q102" s="150">
        <v>0</v>
      </c>
      <c r="R102" s="150">
        <v>1.33</v>
      </c>
      <c r="S102" s="150">
        <v>1.5</v>
      </c>
      <c r="T102" s="150">
        <v>1.72</v>
      </c>
      <c r="U102" s="150">
        <v>1.99</v>
      </c>
      <c r="V102" s="150">
        <v>2.3199999999999998</v>
      </c>
      <c r="W102" s="150">
        <v>2.7</v>
      </c>
      <c r="X102" s="150">
        <v>3.13</v>
      </c>
      <c r="Y102" s="150">
        <v>3.61</v>
      </c>
      <c r="Z102" s="150">
        <v>4.1399999999999997</v>
      </c>
      <c r="AA102" s="150">
        <v>4.7300000000000004</v>
      </c>
      <c r="AB102" s="150">
        <v>5.37</v>
      </c>
      <c r="AC102" s="150">
        <v>6.06</v>
      </c>
      <c r="AD102" s="150">
        <v>6.81</v>
      </c>
      <c r="AE102" s="150">
        <v>7.6</v>
      </c>
    </row>
    <row r="103" spans="2:31" x14ac:dyDescent="0.35">
      <c r="B103" s="116" t="s">
        <v>3443</v>
      </c>
      <c r="C103" s="116" t="s">
        <v>3293</v>
      </c>
      <c r="D103" s="116" t="s">
        <v>3441</v>
      </c>
      <c r="E103" s="116" t="s">
        <v>3435</v>
      </c>
      <c r="F103" s="116" t="s">
        <v>3294</v>
      </c>
      <c r="H103" s="120" t="s">
        <v>3442</v>
      </c>
      <c r="L103" s="150">
        <v>0</v>
      </c>
      <c r="M103" s="150">
        <v>0</v>
      </c>
      <c r="N103" s="150">
        <v>0</v>
      </c>
      <c r="O103" s="150">
        <v>0</v>
      </c>
      <c r="P103" s="150">
        <v>0</v>
      </c>
      <c r="Q103" s="150">
        <v>0</v>
      </c>
      <c r="R103" s="150">
        <v>1.33</v>
      </c>
      <c r="S103" s="150">
        <v>1.5</v>
      </c>
      <c r="T103" s="150">
        <v>1.71</v>
      </c>
      <c r="U103" s="150">
        <v>1.98</v>
      </c>
      <c r="V103" s="150">
        <v>2.31</v>
      </c>
      <c r="W103" s="150">
        <v>2.69</v>
      </c>
      <c r="X103" s="150">
        <v>3.12</v>
      </c>
      <c r="Y103" s="150">
        <v>3.6</v>
      </c>
      <c r="Z103" s="150">
        <v>4.13</v>
      </c>
      <c r="AA103" s="150">
        <v>4.72</v>
      </c>
      <c r="AB103" s="150">
        <v>5.35</v>
      </c>
      <c r="AC103" s="150">
        <v>6.04</v>
      </c>
      <c r="AD103" s="150">
        <v>6.78</v>
      </c>
      <c r="AE103" s="150">
        <v>7.57</v>
      </c>
    </row>
    <row r="104" spans="2:31" x14ac:dyDescent="0.35">
      <c r="B104" s="116" t="s">
        <v>3444</v>
      </c>
      <c r="C104" s="116" t="s">
        <v>3296</v>
      </c>
      <c r="D104" s="116" t="s">
        <v>3441</v>
      </c>
      <c r="E104" s="116" t="s">
        <v>3435</v>
      </c>
      <c r="F104" s="116" t="s">
        <v>3297</v>
      </c>
      <c r="H104" s="120" t="s">
        <v>3442</v>
      </c>
      <c r="L104" s="150">
        <v>0</v>
      </c>
      <c r="M104" s="150">
        <v>0</v>
      </c>
      <c r="N104" s="150">
        <v>0</v>
      </c>
      <c r="O104" s="150">
        <v>0</v>
      </c>
      <c r="P104" s="150">
        <v>0</v>
      </c>
      <c r="Q104" s="150">
        <v>0</v>
      </c>
      <c r="R104" s="150">
        <v>0.02</v>
      </c>
      <c r="S104" s="150">
        <v>0.04</v>
      </c>
      <c r="T104" s="150">
        <v>7.0000000000000007E-2</v>
      </c>
      <c r="U104" s="150">
        <v>0.08</v>
      </c>
      <c r="V104" s="150">
        <v>0.1</v>
      </c>
      <c r="W104" s="150">
        <v>0.12</v>
      </c>
      <c r="X104" s="150">
        <v>0.13</v>
      </c>
      <c r="Y104" s="150">
        <v>0.15</v>
      </c>
      <c r="Z104" s="150">
        <v>0.16</v>
      </c>
      <c r="AA104" s="150">
        <v>0.18</v>
      </c>
      <c r="AB104" s="150">
        <v>0.19</v>
      </c>
      <c r="AC104" s="150">
        <v>0.2</v>
      </c>
      <c r="AD104" s="150">
        <v>0.21</v>
      </c>
      <c r="AE104" s="150">
        <v>0.22</v>
      </c>
    </row>
    <row r="105" spans="2:31" x14ac:dyDescent="0.35">
      <c r="B105" s="116" t="s">
        <v>3445</v>
      </c>
      <c r="C105" s="116" t="s">
        <v>3299</v>
      </c>
      <c r="D105" s="116" t="s">
        <v>3441</v>
      </c>
      <c r="E105" s="116" t="s">
        <v>3435</v>
      </c>
      <c r="F105" s="116" t="s">
        <v>3300</v>
      </c>
      <c r="H105" s="120" t="s">
        <v>3442</v>
      </c>
      <c r="L105" s="150">
        <v>0</v>
      </c>
      <c r="M105" s="150">
        <v>0</v>
      </c>
      <c r="N105" s="150">
        <v>0</v>
      </c>
      <c r="O105" s="150">
        <v>0</v>
      </c>
      <c r="P105" s="150">
        <v>0</v>
      </c>
      <c r="Q105" s="150">
        <v>0</v>
      </c>
      <c r="R105" s="150">
        <v>0</v>
      </c>
      <c r="S105" s="150">
        <v>0</v>
      </c>
      <c r="T105" s="150">
        <v>0</v>
      </c>
      <c r="U105" s="150">
        <v>0</v>
      </c>
      <c r="V105" s="150">
        <v>0</v>
      </c>
      <c r="W105" s="150">
        <v>0</v>
      </c>
      <c r="X105" s="150">
        <v>0</v>
      </c>
      <c r="Y105" s="150">
        <v>0</v>
      </c>
      <c r="Z105" s="150">
        <v>0</v>
      </c>
      <c r="AA105" s="150">
        <v>0</v>
      </c>
      <c r="AB105" s="150">
        <v>0</v>
      </c>
      <c r="AC105" s="150">
        <v>0</v>
      </c>
      <c r="AD105" s="150">
        <v>0</v>
      </c>
      <c r="AE105" s="150">
        <v>0</v>
      </c>
    </row>
    <row r="106" spans="2:31" x14ac:dyDescent="0.35">
      <c r="B106" s="116" t="s">
        <v>3446</v>
      </c>
      <c r="C106" s="116" t="s">
        <v>3287</v>
      </c>
      <c r="D106" s="116" t="s">
        <v>3447</v>
      </c>
      <c r="E106" s="116" t="s">
        <v>3435</v>
      </c>
      <c r="F106" s="116" t="s">
        <v>3290</v>
      </c>
      <c r="H106" s="120" t="s">
        <v>3448</v>
      </c>
      <c r="L106" s="150">
        <v>0</v>
      </c>
      <c r="M106" s="150">
        <v>0</v>
      </c>
      <c r="N106" s="150">
        <v>0</v>
      </c>
      <c r="O106" s="150">
        <v>0</v>
      </c>
      <c r="P106" s="150">
        <v>0</v>
      </c>
      <c r="Q106" s="150">
        <v>0</v>
      </c>
      <c r="R106" s="150">
        <v>0.47</v>
      </c>
      <c r="S106" s="150">
        <v>0.52</v>
      </c>
      <c r="T106" s="150">
        <v>0.59</v>
      </c>
      <c r="U106" s="150">
        <v>0.67</v>
      </c>
      <c r="V106" s="150">
        <v>0.75</v>
      </c>
      <c r="W106" s="150">
        <v>0.84</v>
      </c>
      <c r="X106" s="150">
        <v>0.93</v>
      </c>
      <c r="Y106" s="150">
        <v>1.02</v>
      </c>
      <c r="Z106" s="150">
        <v>1.1100000000000001</v>
      </c>
      <c r="AA106" s="150">
        <v>1.2</v>
      </c>
      <c r="AB106" s="150">
        <v>1.28</v>
      </c>
      <c r="AC106" s="150">
        <v>1.37</v>
      </c>
      <c r="AD106" s="150">
        <v>1.44</v>
      </c>
      <c r="AE106" s="150">
        <v>1.52</v>
      </c>
    </row>
    <row r="107" spans="2:31" x14ac:dyDescent="0.35">
      <c r="B107" s="116" t="s">
        <v>3449</v>
      </c>
      <c r="C107" s="116" t="s">
        <v>3293</v>
      </c>
      <c r="D107" s="116" t="s">
        <v>3447</v>
      </c>
      <c r="E107" s="116" t="s">
        <v>3435</v>
      </c>
      <c r="F107" s="116" t="s">
        <v>3294</v>
      </c>
      <c r="H107" s="120" t="s">
        <v>3448</v>
      </c>
      <c r="L107" s="150">
        <v>0</v>
      </c>
      <c r="M107" s="150">
        <v>0</v>
      </c>
      <c r="N107" s="150">
        <v>0</v>
      </c>
      <c r="O107" s="150">
        <v>0</v>
      </c>
      <c r="P107" s="150">
        <v>0</v>
      </c>
      <c r="Q107" s="150">
        <v>0</v>
      </c>
      <c r="R107" s="150">
        <v>0.47</v>
      </c>
      <c r="S107" s="150">
        <v>0.52</v>
      </c>
      <c r="T107" s="150">
        <v>0.59</v>
      </c>
      <c r="U107" s="150">
        <v>0.67</v>
      </c>
      <c r="V107" s="150">
        <v>0.75</v>
      </c>
      <c r="W107" s="150">
        <v>0.84</v>
      </c>
      <c r="X107" s="150">
        <v>0.93</v>
      </c>
      <c r="Y107" s="150">
        <v>1.02</v>
      </c>
      <c r="Z107" s="150">
        <v>1.1100000000000001</v>
      </c>
      <c r="AA107" s="150">
        <v>1.2</v>
      </c>
      <c r="AB107" s="150">
        <v>1.28</v>
      </c>
      <c r="AC107" s="150">
        <v>1.37</v>
      </c>
      <c r="AD107" s="150">
        <v>1.44</v>
      </c>
      <c r="AE107" s="150">
        <v>1.52</v>
      </c>
    </row>
    <row r="108" spans="2:31" x14ac:dyDescent="0.35">
      <c r="B108" s="116" t="s">
        <v>3450</v>
      </c>
      <c r="C108" s="116" t="s">
        <v>3296</v>
      </c>
      <c r="D108" s="116" t="s">
        <v>3447</v>
      </c>
      <c r="E108" s="116" t="s">
        <v>3435</v>
      </c>
      <c r="F108" s="116" t="s">
        <v>3297</v>
      </c>
      <c r="H108" s="120" t="s">
        <v>3448</v>
      </c>
      <c r="L108" s="150">
        <v>0</v>
      </c>
      <c r="M108" s="150">
        <v>0</v>
      </c>
      <c r="N108" s="150">
        <v>0</v>
      </c>
      <c r="O108" s="150">
        <v>0</v>
      </c>
      <c r="P108" s="150">
        <v>0</v>
      </c>
      <c r="Q108" s="150">
        <v>0</v>
      </c>
      <c r="R108" s="150">
        <v>0</v>
      </c>
      <c r="S108" s="150">
        <v>0</v>
      </c>
      <c r="T108" s="150">
        <v>0</v>
      </c>
      <c r="U108" s="150">
        <v>0</v>
      </c>
      <c r="V108" s="150">
        <v>0</v>
      </c>
      <c r="W108" s="150">
        <v>0</v>
      </c>
      <c r="X108" s="150">
        <v>0</v>
      </c>
      <c r="Y108" s="150">
        <v>0</v>
      </c>
      <c r="Z108" s="150">
        <v>0</v>
      </c>
      <c r="AA108" s="150">
        <v>0</v>
      </c>
      <c r="AB108" s="150">
        <v>0</v>
      </c>
      <c r="AC108" s="150">
        <v>0</v>
      </c>
      <c r="AD108" s="150">
        <v>0</v>
      </c>
      <c r="AE108" s="150">
        <v>0</v>
      </c>
    </row>
    <row r="109" spans="2:31" x14ac:dyDescent="0.35">
      <c r="B109" s="116" t="s">
        <v>3451</v>
      </c>
      <c r="C109" s="116" t="s">
        <v>3299</v>
      </c>
      <c r="D109" s="116" t="s">
        <v>3447</v>
      </c>
      <c r="E109" s="116" t="s">
        <v>3435</v>
      </c>
      <c r="F109" s="116" t="s">
        <v>3300</v>
      </c>
      <c r="H109" s="120" t="s">
        <v>3448</v>
      </c>
      <c r="L109" s="150">
        <v>0</v>
      </c>
      <c r="M109" s="150">
        <v>0</v>
      </c>
      <c r="N109" s="150">
        <v>0</v>
      </c>
      <c r="O109" s="150">
        <v>0</v>
      </c>
      <c r="P109" s="150">
        <v>0</v>
      </c>
      <c r="Q109" s="150">
        <v>0</v>
      </c>
      <c r="R109" s="150">
        <v>0</v>
      </c>
      <c r="S109" s="150">
        <v>0</v>
      </c>
      <c r="T109" s="150">
        <v>0</v>
      </c>
      <c r="U109" s="150">
        <v>0</v>
      </c>
      <c r="V109" s="150">
        <v>0</v>
      </c>
      <c r="W109" s="150">
        <v>0</v>
      </c>
      <c r="X109" s="150">
        <v>0</v>
      </c>
      <c r="Y109" s="150">
        <v>0</v>
      </c>
      <c r="Z109" s="150">
        <v>0</v>
      </c>
      <c r="AA109" s="150">
        <v>0</v>
      </c>
      <c r="AB109" s="150">
        <v>0</v>
      </c>
      <c r="AC109" s="150">
        <v>0</v>
      </c>
      <c r="AD109" s="150">
        <v>0</v>
      </c>
      <c r="AE109" s="150">
        <v>0</v>
      </c>
    </row>
    <row r="110" spans="2:31" x14ac:dyDescent="0.35">
      <c r="B110" s="116" t="s">
        <v>3452</v>
      </c>
      <c r="C110" s="116" t="s">
        <v>3287</v>
      </c>
      <c r="D110" s="116" t="s">
        <v>3453</v>
      </c>
      <c r="E110" s="116" t="s">
        <v>3435</v>
      </c>
      <c r="F110" s="116" t="s">
        <v>3290</v>
      </c>
      <c r="H110" s="120" t="s">
        <v>3454</v>
      </c>
      <c r="L110" s="150">
        <v>0</v>
      </c>
      <c r="M110" s="150">
        <v>0</v>
      </c>
      <c r="N110" s="150">
        <v>0</v>
      </c>
      <c r="O110" s="150">
        <v>0</v>
      </c>
      <c r="P110" s="150">
        <v>0</v>
      </c>
      <c r="Q110" s="150">
        <v>0</v>
      </c>
      <c r="R110" s="150">
        <v>0.37</v>
      </c>
      <c r="S110" s="150">
        <v>0.39</v>
      </c>
      <c r="T110" s="150">
        <v>0.4</v>
      </c>
      <c r="U110" s="150">
        <v>0.41</v>
      </c>
      <c r="V110" s="150">
        <v>0.42</v>
      </c>
      <c r="W110" s="150">
        <v>0.43</v>
      </c>
      <c r="X110" s="150">
        <v>0.44</v>
      </c>
      <c r="Y110" s="150">
        <v>0.45</v>
      </c>
      <c r="Z110" s="150">
        <v>0.47</v>
      </c>
      <c r="AA110" s="150">
        <v>0.48</v>
      </c>
      <c r="AB110" s="150">
        <v>0.49</v>
      </c>
      <c r="AC110" s="150">
        <v>0.51</v>
      </c>
      <c r="AD110" s="150">
        <v>0.53</v>
      </c>
      <c r="AE110" s="150">
        <v>0.54</v>
      </c>
    </row>
    <row r="111" spans="2:31" x14ac:dyDescent="0.35">
      <c r="B111" s="116" t="s">
        <v>3455</v>
      </c>
      <c r="C111" s="116" t="s">
        <v>3293</v>
      </c>
      <c r="D111" s="116" t="s">
        <v>3453</v>
      </c>
      <c r="E111" s="116" t="s">
        <v>3435</v>
      </c>
      <c r="F111" s="116" t="s">
        <v>3294</v>
      </c>
      <c r="H111" s="120" t="s">
        <v>3454</v>
      </c>
      <c r="L111" s="150">
        <v>0</v>
      </c>
      <c r="M111" s="150">
        <v>0</v>
      </c>
      <c r="N111" s="150">
        <v>0</v>
      </c>
      <c r="O111" s="150">
        <v>0</v>
      </c>
      <c r="P111" s="150">
        <v>0</v>
      </c>
      <c r="Q111" s="150">
        <v>0</v>
      </c>
      <c r="R111" s="150">
        <v>0.37</v>
      </c>
      <c r="S111" s="150">
        <v>0.38</v>
      </c>
      <c r="T111" s="150">
        <v>0.39</v>
      </c>
      <c r="U111" s="150">
        <v>0.4</v>
      </c>
      <c r="V111" s="150">
        <v>0.41</v>
      </c>
      <c r="W111" s="150">
        <v>0.42</v>
      </c>
      <c r="X111" s="150">
        <v>0.43</v>
      </c>
      <c r="Y111" s="150">
        <v>0.44</v>
      </c>
      <c r="Z111" s="150">
        <v>0.45</v>
      </c>
      <c r="AA111" s="150">
        <v>0.46</v>
      </c>
      <c r="AB111" s="150">
        <v>0.47</v>
      </c>
      <c r="AC111" s="150">
        <v>0.49</v>
      </c>
      <c r="AD111" s="150">
        <v>0.5</v>
      </c>
      <c r="AE111" s="150">
        <v>0.51</v>
      </c>
    </row>
    <row r="112" spans="2:31" x14ac:dyDescent="0.35">
      <c r="B112" s="116" t="s">
        <v>3456</v>
      </c>
      <c r="C112" s="116" t="s">
        <v>3296</v>
      </c>
      <c r="D112" s="116" t="s">
        <v>3453</v>
      </c>
      <c r="E112" s="116" t="s">
        <v>3435</v>
      </c>
      <c r="F112" s="116" t="s">
        <v>3297</v>
      </c>
      <c r="H112" s="120" t="s">
        <v>3454</v>
      </c>
      <c r="L112" s="150">
        <v>0</v>
      </c>
      <c r="M112" s="150">
        <v>0</v>
      </c>
      <c r="N112" s="150">
        <v>0</v>
      </c>
      <c r="O112" s="150">
        <v>0</v>
      </c>
      <c r="P112" s="150">
        <v>0</v>
      </c>
      <c r="Q112" s="150">
        <v>0</v>
      </c>
      <c r="R112" s="150">
        <v>0.05</v>
      </c>
      <c r="S112" s="150">
        <v>0.12</v>
      </c>
      <c r="T112" s="150">
        <v>0.18</v>
      </c>
      <c r="U112" s="150">
        <v>0.24</v>
      </c>
      <c r="V112" s="150">
        <v>0.28999999999999998</v>
      </c>
      <c r="W112" s="150">
        <v>0.34</v>
      </c>
      <c r="X112" s="150">
        <v>0.39</v>
      </c>
      <c r="Y112" s="150">
        <v>0.44</v>
      </c>
      <c r="Z112" s="150">
        <v>0.49</v>
      </c>
      <c r="AA112" s="150">
        <v>0.54</v>
      </c>
      <c r="AB112" s="150">
        <v>0.59</v>
      </c>
      <c r="AC112" s="150">
        <v>0.64</v>
      </c>
      <c r="AD112" s="150">
        <v>0.69</v>
      </c>
      <c r="AE112" s="150">
        <v>0.74</v>
      </c>
    </row>
    <row r="113" spans="2:31" x14ac:dyDescent="0.35">
      <c r="B113" s="116" t="s">
        <v>3457</v>
      </c>
      <c r="C113" s="116" t="s">
        <v>3299</v>
      </c>
      <c r="D113" s="116" t="s">
        <v>3453</v>
      </c>
      <c r="E113" s="116" t="s">
        <v>3435</v>
      </c>
      <c r="F113" s="116" t="s">
        <v>3300</v>
      </c>
      <c r="H113" s="120" t="s">
        <v>3454</v>
      </c>
      <c r="L113" s="150">
        <v>0</v>
      </c>
      <c r="M113" s="150">
        <v>0</v>
      </c>
      <c r="N113" s="150">
        <v>0</v>
      </c>
      <c r="O113" s="150">
        <v>0</v>
      </c>
      <c r="P113" s="150">
        <v>0</v>
      </c>
      <c r="Q113" s="150">
        <v>0</v>
      </c>
      <c r="R113" s="150">
        <v>0</v>
      </c>
      <c r="S113" s="150">
        <v>0</v>
      </c>
      <c r="T113" s="150">
        <v>0</v>
      </c>
      <c r="U113" s="150">
        <v>0</v>
      </c>
      <c r="V113" s="150">
        <v>0</v>
      </c>
      <c r="W113" s="150">
        <v>0</v>
      </c>
      <c r="X113" s="150">
        <v>0</v>
      </c>
      <c r="Y113" s="150">
        <v>0</v>
      </c>
      <c r="Z113" s="150">
        <v>0</v>
      </c>
      <c r="AA113" s="150">
        <v>0</v>
      </c>
      <c r="AB113" s="150">
        <v>0</v>
      </c>
      <c r="AC113" s="150">
        <v>0</v>
      </c>
      <c r="AD113" s="150">
        <v>0</v>
      </c>
      <c r="AE113" s="150">
        <v>0</v>
      </c>
    </row>
    <row r="114" spans="2:31" x14ac:dyDescent="0.35">
      <c r="B114" s="116" t="s">
        <v>3458</v>
      </c>
      <c r="C114" s="116" t="s">
        <v>3287</v>
      </c>
      <c r="D114" s="116" t="s">
        <v>3459</v>
      </c>
      <c r="E114" s="116" t="s">
        <v>3435</v>
      </c>
      <c r="F114" s="116" t="s">
        <v>3290</v>
      </c>
      <c r="H114" s="120" t="s">
        <v>3460</v>
      </c>
      <c r="L114" s="150">
        <v>0</v>
      </c>
      <c r="M114" s="150">
        <v>0</v>
      </c>
      <c r="N114" s="150">
        <v>0</v>
      </c>
      <c r="O114" s="150">
        <v>0</v>
      </c>
      <c r="P114" s="150">
        <v>0</v>
      </c>
      <c r="Q114" s="150">
        <v>0</v>
      </c>
      <c r="R114" s="150">
        <v>2.34</v>
      </c>
      <c r="S114" s="150">
        <v>2.38</v>
      </c>
      <c r="T114" s="150">
        <v>2.7</v>
      </c>
      <c r="U114" s="150">
        <v>3.04</v>
      </c>
      <c r="V114" s="150">
        <v>3.71</v>
      </c>
      <c r="W114" s="150">
        <v>4.0199999999999996</v>
      </c>
      <c r="X114" s="150">
        <v>4.38</v>
      </c>
      <c r="Y114" s="150">
        <v>4.79</v>
      </c>
      <c r="Z114" s="150">
        <v>5.26</v>
      </c>
      <c r="AA114" s="150">
        <v>5.81</v>
      </c>
      <c r="AB114" s="150">
        <v>6.42</v>
      </c>
      <c r="AC114" s="150">
        <v>7.13</v>
      </c>
      <c r="AD114" s="150">
        <v>7.92</v>
      </c>
      <c r="AE114" s="150">
        <v>8.7899999999999991</v>
      </c>
    </row>
    <row r="115" spans="2:31" x14ac:dyDescent="0.35">
      <c r="B115" s="116" t="s">
        <v>3461</v>
      </c>
      <c r="C115" s="116" t="s">
        <v>3293</v>
      </c>
      <c r="D115" s="116" t="s">
        <v>3459</v>
      </c>
      <c r="E115" s="116" t="s">
        <v>3435</v>
      </c>
      <c r="F115" s="116" t="s">
        <v>3294</v>
      </c>
      <c r="H115" s="120" t="s">
        <v>3460</v>
      </c>
      <c r="L115" s="150">
        <v>0</v>
      </c>
      <c r="M115" s="150">
        <v>0</v>
      </c>
      <c r="N115" s="150">
        <v>0</v>
      </c>
      <c r="O115" s="150">
        <v>0</v>
      </c>
      <c r="P115" s="150">
        <v>0</v>
      </c>
      <c r="Q115" s="150">
        <v>0</v>
      </c>
      <c r="R115" s="150">
        <v>2.34</v>
      </c>
      <c r="S115" s="150">
        <v>2.36</v>
      </c>
      <c r="T115" s="150">
        <v>2.68</v>
      </c>
      <c r="U115" s="150">
        <v>3.02</v>
      </c>
      <c r="V115" s="150">
        <v>3.67</v>
      </c>
      <c r="W115" s="150">
        <v>4</v>
      </c>
      <c r="X115" s="150">
        <v>4.3499999999999996</v>
      </c>
      <c r="Y115" s="150">
        <v>4.75</v>
      </c>
      <c r="Z115" s="150">
        <v>5.21</v>
      </c>
      <c r="AA115" s="150">
        <v>5.75</v>
      </c>
      <c r="AB115" s="150">
        <v>6.35</v>
      </c>
      <c r="AC115" s="150">
        <v>7.04</v>
      </c>
      <c r="AD115" s="150">
        <v>7.81</v>
      </c>
      <c r="AE115" s="150">
        <v>8.67</v>
      </c>
    </row>
    <row r="116" spans="2:31" x14ac:dyDescent="0.35">
      <c r="B116" s="116" t="s">
        <v>3462</v>
      </c>
      <c r="C116" s="116" t="s">
        <v>3296</v>
      </c>
      <c r="D116" s="116" t="s">
        <v>3459</v>
      </c>
      <c r="E116" s="116" t="s">
        <v>3435</v>
      </c>
      <c r="F116" s="116" t="s">
        <v>3297</v>
      </c>
      <c r="H116" s="120" t="s">
        <v>3460</v>
      </c>
      <c r="L116" s="150">
        <v>0</v>
      </c>
      <c r="M116" s="150">
        <v>0</v>
      </c>
      <c r="N116" s="150">
        <v>0</v>
      </c>
      <c r="O116" s="150">
        <v>0</v>
      </c>
      <c r="P116" s="150">
        <v>0</v>
      </c>
      <c r="Q116" s="150">
        <v>0</v>
      </c>
      <c r="R116" s="150">
        <v>0.12</v>
      </c>
      <c r="S116" s="150">
        <v>0.31</v>
      </c>
      <c r="T116" s="150">
        <v>0.49</v>
      </c>
      <c r="U116" s="150">
        <v>0.66</v>
      </c>
      <c r="V116" s="150">
        <v>0.84</v>
      </c>
      <c r="W116" s="150">
        <v>1.01</v>
      </c>
      <c r="X116" s="150">
        <v>1.19</v>
      </c>
      <c r="Y116" s="150">
        <v>1.37</v>
      </c>
      <c r="Z116" s="150">
        <v>1.55</v>
      </c>
      <c r="AA116" s="150">
        <v>1.73</v>
      </c>
      <c r="AB116" s="150">
        <v>1.91</v>
      </c>
      <c r="AC116" s="150">
        <v>2.1</v>
      </c>
      <c r="AD116" s="150">
        <v>2.2999999999999998</v>
      </c>
      <c r="AE116" s="150">
        <v>2.5</v>
      </c>
    </row>
    <row r="117" spans="2:31" x14ac:dyDescent="0.35">
      <c r="B117" s="116" t="s">
        <v>3463</v>
      </c>
      <c r="C117" s="116" t="s">
        <v>3299</v>
      </c>
      <c r="D117" s="116" t="s">
        <v>3459</v>
      </c>
      <c r="E117" s="116" t="s">
        <v>3435</v>
      </c>
      <c r="F117" s="116" t="s">
        <v>3300</v>
      </c>
      <c r="H117" s="120" t="s">
        <v>3460</v>
      </c>
      <c r="L117" s="150">
        <v>0</v>
      </c>
      <c r="M117" s="150">
        <v>0</v>
      </c>
      <c r="N117" s="150">
        <v>0</v>
      </c>
      <c r="O117" s="150">
        <v>0</v>
      </c>
      <c r="P117" s="150">
        <v>0</v>
      </c>
      <c r="Q117" s="150">
        <v>0</v>
      </c>
      <c r="R117" s="150">
        <v>0</v>
      </c>
      <c r="S117" s="150">
        <v>0</v>
      </c>
      <c r="T117" s="150">
        <v>0</v>
      </c>
      <c r="U117" s="150">
        <v>0</v>
      </c>
      <c r="V117" s="150">
        <v>0</v>
      </c>
      <c r="W117" s="150">
        <v>0</v>
      </c>
      <c r="X117" s="150">
        <v>0</v>
      </c>
      <c r="Y117" s="150">
        <v>0</v>
      </c>
      <c r="Z117" s="150">
        <v>0</v>
      </c>
      <c r="AA117" s="150">
        <v>0</v>
      </c>
      <c r="AB117" s="150">
        <v>0</v>
      </c>
      <c r="AC117" s="150">
        <v>0</v>
      </c>
      <c r="AD117" s="150">
        <v>0</v>
      </c>
      <c r="AE117" s="150">
        <v>0</v>
      </c>
    </row>
    <row r="118" spans="2:31" x14ac:dyDescent="0.35">
      <c r="B118" s="116" t="s">
        <v>3464</v>
      </c>
      <c r="C118" s="116" t="s">
        <v>3287</v>
      </c>
      <c r="D118" s="116" t="s">
        <v>3465</v>
      </c>
      <c r="E118" s="116" t="s">
        <v>3435</v>
      </c>
      <c r="F118" s="116" t="s">
        <v>3290</v>
      </c>
      <c r="H118" s="120" t="s">
        <v>3466</v>
      </c>
      <c r="L118" s="150">
        <v>0</v>
      </c>
      <c r="M118" s="150">
        <v>0</v>
      </c>
      <c r="N118" s="150">
        <v>0</v>
      </c>
      <c r="O118" s="150">
        <v>0</v>
      </c>
      <c r="P118" s="150">
        <v>0</v>
      </c>
      <c r="Q118" s="150">
        <v>0</v>
      </c>
      <c r="R118" s="150">
        <v>0.64</v>
      </c>
      <c r="S118" s="150">
        <v>0.66</v>
      </c>
      <c r="T118" s="150">
        <v>0.66</v>
      </c>
      <c r="U118" s="150">
        <v>0.68</v>
      </c>
      <c r="V118" s="150">
        <v>0.79</v>
      </c>
      <c r="W118" s="150">
        <v>0.92</v>
      </c>
      <c r="X118" s="150">
        <v>1.06</v>
      </c>
      <c r="Y118" s="150">
        <v>1.21</v>
      </c>
      <c r="Z118" s="150">
        <v>1.39</v>
      </c>
      <c r="AA118" s="150">
        <v>1.58</v>
      </c>
      <c r="AB118" s="150">
        <v>1.8</v>
      </c>
      <c r="AC118" s="150">
        <v>2.04</v>
      </c>
      <c r="AD118" s="150">
        <v>2.3199999999999998</v>
      </c>
      <c r="AE118" s="150">
        <v>2.63</v>
      </c>
    </row>
    <row r="119" spans="2:31" x14ac:dyDescent="0.35">
      <c r="B119" s="116" t="s">
        <v>3467</v>
      </c>
      <c r="C119" s="116" t="s">
        <v>3293</v>
      </c>
      <c r="D119" s="116" t="s">
        <v>3465</v>
      </c>
      <c r="E119" s="116" t="s">
        <v>3435</v>
      </c>
      <c r="F119" s="116" t="s">
        <v>3294</v>
      </c>
      <c r="H119" s="120" t="s">
        <v>3466</v>
      </c>
      <c r="L119" s="150">
        <v>0</v>
      </c>
      <c r="M119" s="150">
        <v>0</v>
      </c>
      <c r="N119" s="150">
        <v>0</v>
      </c>
      <c r="O119" s="150">
        <v>0</v>
      </c>
      <c r="P119" s="150">
        <v>0</v>
      </c>
      <c r="Q119" s="150">
        <v>0</v>
      </c>
      <c r="R119" s="150">
        <v>0.64</v>
      </c>
      <c r="S119" s="150">
        <v>0.65</v>
      </c>
      <c r="T119" s="150">
        <v>0.66</v>
      </c>
      <c r="U119" s="150">
        <v>0.67</v>
      </c>
      <c r="V119" s="150">
        <v>0.78</v>
      </c>
      <c r="W119" s="150">
        <v>0.9</v>
      </c>
      <c r="X119" s="150">
        <v>1.04</v>
      </c>
      <c r="Y119" s="150">
        <v>1.19</v>
      </c>
      <c r="Z119" s="150">
        <v>1.36</v>
      </c>
      <c r="AA119" s="150">
        <v>1.55</v>
      </c>
      <c r="AB119" s="150">
        <v>1.76</v>
      </c>
      <c r="AC119" s="150">
        <v>2</v>
      </c>
      <c r="AD119" s="150">
        <v>2.27</v>
      </c>
      <c r="AE119" s="150">
        <v>2.57</v>
      </c>
    </row>
    <row r="120" spans="2:31" x14ac:dyDescent="0.35">
      <c r="B120" s="116" t="s">
        <v>3468</v>
      </c>
      <c r="C120" s="116" t="s">
        <v>3296</v>
      </c>
      <c r="D120" s="116" t="s">
        <v>3465</v>
      </c>
      <c r="E120" s="116" t="s">
        <v>3435</v>
      </c>
      <c r="F120" s="116" t="s">
        <v>3297</v>
      </c>
      <c r="H120" s="120" t="s">
        <v>3466</v>
      </c>
      <c r="L120" s="150">
        <v>0</v>
      </c>
      <c r="M120" s="150">
        <v>0</v>
      </c>
      <c r="N120" s="150">
        <v>0</v>
      </c>
      <c r="O120" s="150">
        <v>0</v>
      </c>
      <c r="P120" s="150">
        <v>0</v>
      </c>
      <c r="Q120" s="150">
        <v>0</v>
      </c>
      <c r="R120" s="150">
        <v>0.01</v>
      </c>
      <c r="S120" s="150">
        <v>0.02</v>
      </c>
      <c r="T120" s="150">
        <v>0.03</v>
      </c>
      <c r="U120" s="150">
        <v>0.04</v>
      </c>
      <c r="V120" s="150">
        <v>0.05</v>
      </c>
      <c r="W120" s="150">
        <v>0.06</v>
      </c>
      <c r="X120" s="150">
        <v>0.06</v>
      </c>
      <c r="Y120" s="150">
        <v>7.0000000000000007E-2</v>
      </c>
      <c r="Z120" s="150">
        <v>0.08</v>
      </c>
      <c r="AA120" s="150">
        <v>0.08</v>
      </c>
      <c r="AB120" s="150">
        <v>0.09</v>
      </c>
      <c r="AC120" s="150">
        <v>0.1</v>
      </c>
      <c r="AD120" s="150">
        <v>0.1</v>
      </c>
      <c r="AE120" s="150">
        <v>0.11</v>
      </c>
    </row>
    <row r="121" spans="2:31" x14ac:dyDescent="0.35">
      <c r="B121" s="116" t="s">
        <v>3469</v>
      </c>
      <c r="C121" s="116" t="s">
        <v>3299</v>
      </c>
      <c r="D121" s="116" t="s">
        <v>3465</v>
      </c>
      <c r="E121" s="116" t="s">
        <v>3435</v>
      </c>
      <c r="F121" s="116" t="s">
        <v>3300</v>
      </c>
      <c r="H121" s="120" t="s">
        <v>3466</v>
      </c>
      <c r="L121" s="150">
        <v>0</v>
      </c>
      <c r="M121" s="150">
        <v>0</v>
      </c>
      <c r="N121" s="150">
        <v>0</v>
      </c>
      <c r="O121" s="150">
        <v>0</v>
      </c>
      <c r="P121" s="150">
        <v>0</v>
      </c>
      <c r="Q121" s="150">
        <v>0</v>
      </c>
      <c r="R121" s="150">
        <v>0</v>
      </c>
      <c r="S121" s="150">
        <v>0</v>
      </c>
      <c r="T121" s="150">
        <v>0</v>
      </c>
      <c r="U121" s="150">
        <v>0</v>
      </c>
      <c r="V121" s="150">
        <v>0</v>
      </c>
      <c r="W121" s="150">
        <v>0</v>
      </c>
      <c r="X121" s="150">
        <v>0</v>
      </c>
      <c r="Y121" s="150">
        <v>0</v>
      </c>
      <c r="Z121" s="150">
        <v>0</v>
      </c>
      <c r="AA121" s="150">
        <v>0</v>
      </c>
      <c r="AB121" s="150">
        <v>0</v>
      </c>
      <c r="AC121" s="150">
        <v>0</v>
      </c>
      <c r="AD121" s="150">
        <v>0</v>
      </c>
      <c r="AE121" s="150">
        <v>0</v>
      </c>
    </row>
    <row r="122" spans="2:31" x14ac:dyDescent="0.35">
      <c r="B122" s="116" t="s">
        <v>3470</v>
      </c>
      <c r="C122" s="116" t="s">
        <v>3287</v>
      </c>
      <c r="D122" s="116" t="s">
        <v>3471</v>
      </c>
      <c r="E122" s="116" t="s">
        <v>3435</v>
      </c>
      <c r="F122" s="116" t="s">
        <v>3290</v>
      </c>
      <c r="H122" s="120" t="s">
        <v>3472</v>
      </c>
      <c r="L122" s="150">
        <v>-47.34</v>
      </c>
      <c r="M122" s="150">
        <v>-37.57</v>
      </c>
      <c r="N122" s="150">
        <v>-38.57</v>
      </c>
      <c r="O122" s="150">
        <v>-37.1</v>
      </c>
      <c r="P122" s="150">
        <v>-39.97</v>
      </c>
      <c r="Q122" s="150">
        <v>-40.03</v>
      </c>
      <c r="R122" s="150">
        <v>-41.63</v>
      </c>
      <c r="S122" s="150">
        <v>-44.25</v>
      </c>
      <c r="T122" s="150">
        <v>-47.61</v>
      </c>
      <c r="U122" s="150">
        <v>-52.24</v>
      </c>
      <c r="V122" s="150">
        <v>-60.25</v>
      </c>
      <c r="W122" s="150">
        <v>-69.819999999999993</v>
      </c>
      <c r="X122" s="150">
        <v>-80.180000000000007</v>
      </c>
      <c r="Y122" s="150">
        <v>-93.62</v>
      </c>
      <c r="Z122" s="150">
        <v>-110.58</v>
      </c>
      <c r="AA122" s="150">
        <v>-131.65</v>
      </c>
      <c r="AB122" s="150">
        <v>-157.4</v>
      </c>
      <c r="AC122" s="150">
        <v>-188.37</v>
      </c>
      <c r="AD122" s="150">
        <v>-225.08</v>
      </c>
      <c r="AE122" s="150">
        <v>-266.72000000000003</v>
      </c>
    </row>
    <row r="123" spans="2:31" x14ac:dyDescent="0.35">
      <c r="B123" s="116" t="s">
        <v>3473</v>
      </c>
      <c r="C123" s="116" t="s">
        <v>3293</v>
      </c>
      <c r="D123" s="116" t="s">
        <v>3471</v>
      </c>
      <c r="E123" s="116" t="s">
        <v>3435</v>
      </c>
      <c r="F123" s="116" t="s">
        <v>3294</v>
      </c>
      <c r="H123" s="120" t="s">
        <v>3472</v>
      </c>
      <c r="L123" s="150">
        <v>-47.34</v>
      </c>
      <c r="M123" s="150">
        <v>-37.57</v>
      </c>
      <c r="N123" s="150">
        <v>-38.57</v>
      </c>
      <c r="O123" s="150">
        <v>-37.1</v>
      </c>
      <c r="P123" s="150">
        <v>-39.97</v>
      </c>
      <c r="Q123" s="150">
        <v>-40.03</v>
      </c>
      <c r="R123" s="150">
        <v>-41.63</v>
      </c>
      <c r="S123" s="150">
        <v>-44.25</v>
      </c>
      <c r="T123" s="150">
        <v>-47.61</v>
      </c>
      <c r="U123" s="150">
        <v>-52.24</v>
      </c>
      <c r="V123" s="150">
        <v>-60.25</v>
      </c>
      <c r="W123" s="150">
        <v>-69.819999999999993</v>
      </c>
      <c r="X123" s="150">
        <v>-80.180000000000007</v>
      </c>
      <c r="Y123" s="150">
        <v>-93.62</v>
      </c>
      <c r="Z123" s="150">
        <v>-110.58</v>
      </c>
      <c r="AA123" s="150">
        <v>-131.65</v>
      </c>
      <c r="AB123" s="150">
        <v>-157.4</v>
      </c>
      <c r="AC123" s="150">
        <v>-188.37</v>
      </c>
      <c r="AD123" s="150">
        <v>-225.08</v>
      </c>
      <c r="AE123" s="150">
        <v>-266.72000000000003</v>
      </c>
    </row>
    <row r="124" spans="2:31" x14ac:dyDescent="0.35">
      <c r="B124" s="116" t="s">
        <v>3474</v>
      </c>
      <c r="C124" s="116" t="s">
        <v>3296</v>
      </c>
      <c r="D124" s="116" t="s">
        <v>3471</v>
      </c>
      <c r="E124" s="116" t="s">
        <v>3435</v>
      </c>
      <c r="F124" s="116" t="s">
        <v>3297</v>
      </c>
      <c r="H124" s="120" t="s">
        <v>3472</v>
      </c>
      <c r="L124" s="150">
        <v>-47.34</v>
      </c>
      <c r="M124" s="150">
        <v>-37.57</v>
      </c>
      <c r="N124" s="150">
        <v>-38.57</v>
      </c>
      <c r="O124" s="150">
        <v>-37.1</v>
      </c>
      <c r="P124" s="150">
        <v>-39.97</v>
      </c>
      <c r="Q124" s="150">
        <v>-40.03</v>
      </c>
      <c r="R124" s="150">
        <v>-41.63</v>
      </c>
      <c r="S124" s="150">
        <v>-44.25</v>
      </c>
      <c r="T124" s="150">
        <v>-47.61</v>
      </c>
      <c r="U124" s="150">
        <v>-52.24</v>
      </c>
      <c r="V124" s="150">
        <v>-60.25</v>
      </c>
      <c r="W124" s="150">
        <v>-69.819999999999993</v>
      </c>
      <c r="X124" s="150">
        <v>-80.180000000000007</v>
      </c>
      <c r="Y124" s="150">
        <v>-93.62</v>
      </c>
      <c r="Z124" s="150">
        <v>-110.58</v>
      </c>
      <c r="AA124" s="150">
        <v>-131.65</v>
      </c>
      <c r="AB124" s="150">
        <v>-157.4</v>
      </c>
      <c r="AC124" s="150">
        <v>-188.37</v>
      </c>
      <c r="AD124" s="150">
        <v>-225.08</v>
      </c>
      <c r="AE124" s="150">
        <v>-266.72000000000003</v>
      </c>
    </row>
    <row r="125" spans="2:31" x14ac:dyDescent="0.35">
      <c r="B125" s="116" t="s">
        <v>3475</v>
      </c>
      <c r="C125" s="116" t="s">
        <v>3299</v>
      </c>
      <c r="D125" s="116" t="s">
        <v>3471</v>
      </c>
      <c r="E125" s="116" t="s">
        <v>3435</v>
      </c>
      <c r="F125" s="116" t="s">
        <v>3300</v>
      </c>
      <c r="H125" s="120" t="s">
        <v>3472</v>
      </c>
      <c r="L125" s="150">
        <v>-47.34</v>
      </c>
      <c r="M125" s="150">
        <v>-37.57</v>
      </c>
      <c r="N125" s="150">
        <v>-38.57</v>
      </c>
      <c r="O125" s="150">
        <v>-37.1</v>
      </c>
      <c r="P125" s="150">
        <v>-39.97</v>
      </c>
      <c r="Q125" s="150">
        <v>-40.03</v>
      </c>
      <c r="R125" s="150">
        <v>-41.63</v>
      </c>
      <c r="S125" s="150">
        <v>-44.25</v>
      </c>
      <c r="T125" s="150">
        <v>-47.61</v>
      </c>
      <c r="U125" s="150">
        <v>-52.24</v>
      </c>
      <c r="V125" s="150">
        <v>-60.25</v>
      </c>
      <c r="W125" s="150">
        <v>-69.819999999999993</v>
      </c>
      <c r="X125" s="150">
        <v>-80.180000000000007</v>
      </c>
      <c r="Y125" s="150">
        <v>-93.62</v>
      </c>
      <c r="Z125" s="150">
        <v>-110.58</v>
      </c>
      <c r="AA125" s="150">
        <v>-131.65</v>
      </c>
      <c r="AB125" s="150">
        <v>-157.4</v>
      </c>
      <c r="AC125" s="150">
        <v>-188.37</v>
      </c>
      <c r="AD125" s="150">
        <v>-225.08</v>
      </c>
      <c r="AE125" s="150">
        <v>-266.72000000000003</v>
      </c>
    </row>
    <row r="126" spans="2:31" x14ac:dyDescent="0.35">
      <c r="B126" s="116" t="s">
        <v>3476</v>
      </c>
      <c r="C126" s="116" t="s">
        <v>3287</v>
      </c>
      <c r="D126" s="116" t="s">
        <v>3477</v>
      </c>
      <c r="E126" s="116" t="s">
        <v>3435</v>
      </c>
      <c r="F126" s="116" t="s">
        <v>3290</v>
      </c>
      <c r="H126" s="120" t="s">
        <v>3478</v>
      </c>
      <c r="L126" s="150">
        <v>-47.34</v>
      </c>
      <c r="M126" s="150">
        <v>-37.56</v>
      </c>
      <c r="N126" s="150">
        <v>-38.56</v>
      </c>
      <c r="O126" s="150">
        <v>-37.090000000000003</v>
      </c>
      <c r="P126" s="150">
        <v>-39.96</v>
      </c>
      <c r="Q126" s="150">
        <v>-40.01</v>
      </c>
      <c r="R126" s="150">
        <v>-32.83</v>
      </c>
      <c r="S126" s="150">
        <v>-33.979999999999997</v>
      </c>
      <c r="T126" s="150">
        <v>-37.18</v>
      </c>
      <c r="U126" s="150">
        <v>-41.11</v>
      </c>
      <c r="V126" s="150">
        <v>-48.65</v>
      </c>
      <c r="W126" s="150">
        <v>-55.9</v>
      </c>
      <c r="X126" s="150">
        <v>-65.36</v>
      </c>
      <c r="Y126" s="150">
        <v>-77.8</v>
      </c>
      <c r="Z126" s="150">
        <v>-93.74</v>
      </c>
      <c r="AA126" s="150">
        <v>-113.69</v>
      </c>
      <c r="AB126" s="150">
        <v>-138.22</v>
      </c>
      <c r="AC126" s="150">
        <v>-167.84</v>
      </c>
      <c r="AD126" s="150">
        <v>-203.04</v>
      </c>
      <c r="AE126" s="150">
        <v>-243.01</v>
      </c>
    </row>
    <row r="127" spans="2:31" x14ac:dyDescent="0.35">
      <c r="B127" s="116" t="s">
        <v>3479</v>
      </c>
      <c r="C127" s="116" t="s">
        <v>3293</v>
      </c>
      <c r="D127" s="116" t="s">
        <v>3477</v>
      </c>
      <c r="E127" s="116" t="s">
        <v>3435</v>
      </c>
      <c r="F127" s="116" t="s">
        <v>3294</v>
      </c>
      <c r="H127" s="120" t="s">
        <v>3478</v>
      </c>
      <c r="L127" s="150">
        <v>-47.34</v>
      </c>
      <c r="M127" s="150">
        <v>-37.56</v>
      </c>
      <c r="N127" s="150">
        <v>-38.56</v>
      </c>
      <c r="O127" s="150">
        <v>-37.090000000000003</v>
      </c>
      <c r="P127" s="150">
        <v>-39.96</v>
      </c>
      <c r="Q127" s="150">
        <v>-40.01</v>
      </c>
      <c r="R127" s="150">
        <v>-32.83</v>
      </c>
      <c r="S127" s="150">
        <v>-33.880000000000003</v>
      </c>
      <c r="T127" s="150">
        <v>-36.99</v>
      </c>
      <c r="U127" s="150">
        <v>-40.799999999999997</v>
      </c>
      <c r="V127" s="150">
        <v>-48.24</v>
      </c>
      <c r="W127" s="150">
        <v>-55.49</v>
      </c>
      <c r="X127" s="150">
        <v>-64.849999999999994</v>
      </c>
      <c r="Y127" s="150">
        <v>-77.150000000000006</v>
      </c>
      <c r="Z127" s="150">
        <v>-92.93</v>
      </c>
      <c r="AA127" s="150">
        <v>-112.69</v>
      </c>
      <c r="AB127" s="150">
        <v>-136.97</v>
      </c>
      <c r="AC127" s="150">
        <v>-166.29</v>
      </c>
      <c r="AD127" s="150">
        <v>-201.15</v>
      </c>
      <c r="AE127" s="150">
        <v>-240.75</v>
      </c>
    </row>
    <row r="128" spans="2:31" x14ac:dyDescent="0.35">
      <c r="B128" s="116" t="s">
        <v>3480</v>
      </c>
      <c r="C128" s="116" t="s">
        <v>3296</v>
      </c>
      <c r="D128" s="116" t="s">
        <v>3477</v>
      </c>
      <c r="E128" s="116" t="s">
        <v>3435</v>
      </c>
      <c r="F128" s="116" t="s">
        <v>3297</v>
      </c>
      <c r="H128" s="120" t="s">
        <v>3478</v>
      </c>
      <c r="L128" s="150">
        <v>-47.34</v>
      </c>
      <c r="M128" s="150">
        <v>-37.57</v>
      </c>
      <c r="N128" s="150">
        <v>-38.57</v>
      </c>
      <c r="O128" s="150">
        <v>-37.1</v>
      </c>
      <c r="P128" s="150">
        <v>-39.97</v>
      </c>
      <c r="Q128" s="150">
        <v>-40.020000000000003</v>
      </c>
      <c r="R128" s="150">
        <v>-40.909999999999997</v>
      </c>
      <c r="S128" s="150">
        <v>-42.48</v>
      </c>
      <c r="T128" s="150">
        <v>-44.92</v>
      </c>
      <c r="U128" s="150">
        <v>-48.7</v>
      </c>
      <c r="V128" s="150">
        <v>-56.59</v>
      </c>
      <c r="W128" s="150">
        <v>-63.98</v>
      </c>
      <c r="X128" s="150">
        <v>-74.05</v>
      </c>
      <c r="Y128" s="150">
        <v>-87.56</v>
      </c>
      <c r="Z128" s="150">
        <v>-104.99</v>
      </c>
      <c r="AA128" s="150">
        <v>-126.78</v>
      </c>
      <c r="AB128" s="150">
        <v>-153.47999999999999</v>
      </c>
      <c r="AC128" s="150">
        <v>-185.57</v>
      </c>
      <c r="AD128" s="150">
        <v>-223.55</v>
      </c>
      <c r="AE128" s="150">
        <v>-266.55</v>
      </c>
    </row>
    <row r="129" spans="2:31" x14ac:dyDescent="0.35">
      <c r="B129" s="116" t="s">
        <v>3481</v>
      </c>
      <c r="C129" s="116" t="s">
        <v>3299</v>
      </c>
      <c r="D129" s="116" t="s">
        <v>3477</v>
      </c>
      <c r="E129" s="116" t="s">
        <v>3435</v>
      </c>
      <c r="F129" s="116" t="s">
        <v>3300</v>
      </c>
      <c r="H129" s="120" t="s">
        <v>3478</v>
      </c>
      <c r="L129" s="150">
        <v>-47.34</v>
      </c>
      <c r="M129" s="150">
        <v>-37.57</v>
      </c>
      <c r="N129" s="150">
        <v>-38.57</v>
      </c>
      <c r="O129" s="150">
        <v>-37.1</v>
      </c>
      <c r="P129" s="150">
        <v>-39.97</v>
      </c>
      <c r="Q129" s="150">
        <v>-40.03</v>
      </c>
      <c r="R129" s="150">
        <v>-40.03</v>
      </c>
      <c r="S129" s="150">
        <v>-40.020000000000003</v>
      </c>
      <c r="T129" s="150">
        <v>-40.909999999999997</v>
      </c>
      <c r="U129" s="150">
        <v>-42.54</v>
      </c>
      <c r="V129" s="150">
        <v>-45.43</v>
      </c>
      <c r="W129" s="150">
        <v>-48.77</v>
      </c>
      <c r="X129" s="150">
        <v>-47.11</v>
      </c>
      <c r="Y129" s="150">
        <v>-39.799999999999997</v>
      </c>
      <c r="Z129" s="150">
        <v>-23.6</v>
      </c>
      <c r="AA129" s="150">
        <v>5.51</v>
      </c>
      <c r="AB129" s="150">
        <v>52.16</v>
      </c>
      <c r="AC129" s="150">
        <v>121.59</v>
      </c>
      <c r="AD129" s="150">
        <v>219.69</v>
      </c>
      <c r="AE129" s="150">
        <v>346.84</v>
      </c>
    </row>
    <row r="130" spans="2:31" x14ac:dyDescent="0.35">
      <c r="B130" s="116" t="s">
        <v>3482</v>
      </c>
      <c r="C130" s="116" t="s">
        <v>3287</v>
      </c>
      <c r="D130" s="116" t="s">
        <v>3483</v>
      </c>
      <c r="E130" s="116" t="s">
        <v>2094</v>
      </c>
      <c r="F130" s="116" t="s">
        <v>3290</v>
      </c>
      <c r="H130" s="120" t="s">
        <v>3484</v>
      </c>
      <c r="L130" s="150">
        <v>0</v>
      </c>
      <c r="M130" s="150">
        <v>0</v>
      </c>
      <c r="N130" s="150">
        <v>0</v>
      </c>
      <c r="O130" s="150">
        <v>0</v>
      </c>
      <c r="P130" s="150">
        <v>0</v>
      </c>
      <c r="Q130" s="150">
        <v>-1.0000000000000001E-5</v>
      </c>
      <c r="R130" s="150">
        <v>1.1900000000000001E-3</v>
      </c>
      <c r="S130" s="150">
        <v>1.2800000000000001E-3</v>
      </c>
      <c r="T130" s="150">
        <v>1.2999999999999999E-3</v>
      </c>
      <c r="U130" s="150">
        <v>1.1999999999999999E-3</v>
      </c>
      <c r="V130" s="150">
        <v>1.24E-3</v>
      </c>
      <c r="W130" s="150">
        <v>1.4499999999999999E-3</v>
      </c>
      <c r="X130" s="150">
        <v>1.2099999999999999E-3</v>
      </c>
      <c r="Y130" s="150">
        <v>1.32E-3</v>
      </c>
      <c r="Z130" s="150">
        <v>1.01E-3</v>
      </c>
      <c r="AA130" s="150">
        <v>1.0200000000000001E-3</v>
      </c>
      <c r="AB130" s="150">
        <v>9.5E-4</v>
      </c>
      <c r="AC130" s="150">
        <v>8.7000000000000001E-4</v>
      </c>
      <c r="AD130" s="150">
        <v>8.4000000000000003E-4</v>
      </c>
      <c r="AE130" s="150">
        <v>8.0000000000000004E-4</v>
      </c>
    </row>
    <row r="131" spans="2:31" x14ac:dyDescent="0.35">
      <c r="B131" s="116" t="s">
        <v>3485</v>
      </c>
      <c r="C131" s="116" t="s">
        <v>3293</v>
      </c>
      <c r="D131" s="116" t="s">
        <v>3483</v>
      </c>
      <c r="E131" s="116" t="s">
        <v>2094</v>
      </c>
      <c r="F131" s="116" t="s">
        <v>3294</v>
      </c>
      <c r="H131" s="120" t="s">
        <v>3484</v>
      </c>
      <c r="L131" s="150">
        <v>0</v>
      </c>
      <c r="M131" s="150">
        <v>0</v>
      </c>
      <c r="N131" s="150">
        <v>0</v>
      </c>
      <c r="O131" s="150">
        <v>0</v>
      </c>
      <c r="P131" s="150">
        <v>0</v>
      </c>
      <c r="Q131" s="150">
        <v>-1.0000000000000001E-5</v>
      </c>
      <c r="R131" s="150">
        <v>1.1900000000000001E-3</v>
      </c>
      <c r="S131" s="150">
        <v>1.31E-3</v>
      </c>
      <c r="T131" s="150">
        <v>1.3600000000000001E-3</v>
      </c>
      <c r="U131" s="150">
        <v>1.42E-3</v>
      </c>
      <c r="V131" s="150">
        <v>1.5E-3</v>
      </c>
      <c r="W131" s="150">
        <v>1.73E-3</v>
      </c>
      <c r="X131" s="150">
        <v>1.4400000000000001E-3</v>
      </c>
      <c r="Y131" s="150">
        <v>1.58E-3</v>
      </c>
      <c r="Z131" s="150">
        <v>1.31E-3</v>
      </c>
      <c r="AA131" s="150">
        <v>1.25E-3</v>
      </c>
      <c r="AB131" s="150">
        <v>1.2199999999999999E-3</v>
      </c>
      <c r="AC131" s="150">
        <v>1.1100000000000001E-3</v>
      </c>
      <c r="AD131" s="150">
        <v>1.06E-3</v>
      </c>
      <c r="AE131" s="150">
        <v>1.0200000000000001E-3</v>
      </c>
    </row>
    <row r="132" spans="2:31" x14ac:dyDescent="0.35">
      <c r="B132" s="116" t="s">
        <v>3486</v>
      </c>
      <c r="C132" s="116" t="s">
        <v>3296</v>
      </c>
      <c r="D132" s="116" t="s">
        <v>3483</v>
      </c>
      <c r="E132" s="116" t="s">
        <v>2094</v>
      </c>
      <c r="F132" s="116" t="s">
        <v>3297</v>
      </c>
      <c r="H132" s="120" t="s">
        <v>3484</v>
      </c>
      <c r="L132" s="150">
        <v>0</v>
      </c>
      <c r="M132" s="150">
        <v>0</v>
      </c>
      <c r="N132" s="150">
        <v>0</v>
      </c>
      <c r="O132" s="150">
        <v>0</v>
      </c>
      <c r="P132" s="150">
        <v>0</v>
      </c>
      <c r="Q132" s="150">
        <v>1.0000000000000001E-5</v>
      </c>
      <c r="R132" s="150">
        <v>1.1E-4</v>
      </c>
      <c r="S132" s="150">
        <v>2.7E-4</v>
      </c>
      <c r="T132" s="150">
        <v>4.4999999999999999E-4</v>
      </c>
      <c r="U132" s="150">
        <v>9.2000000000000003E-4</v>
      </c>
      <c r="V132" s="150">
        <v>1.3600000000000001E-3</v>
      </c>
      <c r="W132" s="150">
        <v>1.9499999999999999E-3</v>
      </c>
      <c r="X132" s="150">
        <v>1.8400000000000001E-3</v>
      </c>
      <c r="Y132" s="150">
        <v>2.2200000000000002E-3</v>
      </c>
      <c r="Z132" s="150">
        <v>2.1900000000000001E-3</v>
      </c>
      <c r="AA132" s="150">
        <v>2.0300000000000001E-3</v>
      </c>
      <c r="AB132" s="150">
        <v>2.1700000000000001E-3</v>
      </c>
      <c r="AC132" s="150">
        <v>2E-3</v>
      </c>
      <c r="AD132" s="150">
        <v>1.92E-3</v>
      </c>
      <c r="AE132" s="150">
        <v>1.8400000000000001E-3</v>
      </c>
    </row>
    <row r="133" spans="2:31" x14ac:dyDescent="0.35">
      <c r="B133" s="116" t="s">
        <v>3487</v>
      </c>
      <c r="C133" s="116" t="s">
        <v>3299</v>
      </c>
      <c r="D133" s="116" t="s">
        <v>3483</v>
      </c>
      <c r="E133" s="116" t="s">
        <v>2094</v>
      </c>
      <c r="F133" s="116" t="s">
        <v>3300</v>
      </c>
      <c r="H133" s="120" t="s">
        <v>3484</v>
      </c>
      <c r="L133" s="150">
        <v>0</v>
      </c>
      <c r="M133" s="150">
        <v>0</v>
      </c>
      <c r="N133" s="150">
        <v>0</v>
      </c>
      <c r="O133" s="150">
        <v>0</v>
      </c>
      <c r="P133" s="150">
        <v>0</v>
      </c>
      <c r="Q133" s="150">
        <v>0</v>
      </c>
      <c r="R133" s="150">
        <v>0</v>
      </c>
      <c r="S133" s="150">
        <v>9.0000000000000006E-5</v>
      </c>
      <c r="T133" s="150">
        <v>1.8000000000000001E-4</v>
      </c>
      <c r="U133" s="150">
        <v>2.7999999999999998E-4</v>
      </c>
      <c r="V133" s="150">
        <v>1.8600000000000001E-3</v>
      </c>
      <c r="W133" s="150">
        <v>1.9599999999999999E-3</v>
      </c>
      <c r="X133" s="150">
        <v>1.6999999999999999E-3</v>
      </c>
      <c r="Y133" s="150">
        <v>1.97E-3</v>
      </c>
      <c r="Z133" s="150">
        <v>1.8799999999999999E-3</v>
      </c>
      <c r="AA133" s="150">
        <v>1.7799999999999999E-3</v>
      </c>
      <c r="AB133" s="150">
        <v>1.91E-3</v>
      </c>
      <c r="AC133" s="150">
        <v>1.7799999999999999E-3</v>
      </c>
      <c r="AD133" s="150">
        <v>1.7099999999999999E-3</v>
      </c>
      <c r="AE133" s="150">
        <v>1.64E-3</v>
      </c>
    </row>
    <row r="135" spans="2:31" x14ac:dyDescent="0.35">
      <c r="B135" s="116" t="s">
        <v>3488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0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33.7304687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31.2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3489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3490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1742</v>
      </c>
      <c r="C5" s="7" t="s">
        <v>1743</v>
      </c>
      <c r="D5" s="6" t="s">
        <v>3491</v>
      </c>
      <c r="E5" s="7" t="s">
        <v>3492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5">
      <c r="B6" s="116" t="str">
        <f>Scenarios!$B$17</f>
        <v>LEGACY</v>
      </c>
      <c r="C6" s="116" t="str">
        <f>Scenarios!$C$17</f>
        <v>CPAT default policy scenario (regression)</v>
      </c>
      <c r="D6" s="151" t="s">
        <v>77</v>
      </c>
      <c r="E6" s="116" t="str">
        <f>Scenarios!$L$17</f>
        <v>All sectors</v>
      </c>
      <c r="F6" s="152" t="s">
        <v>3493</v>
      </c>
    </row>
    <row r="7" spans="1:35" x14ac:dyDescent="0.35">
      <c r="B7" s="116" t="str">
        <f>Scenarios!$B$18</f>
        <v>1A</v>
      </c>
      <c r="C7" s="116" t="str">
        <f>Scenarios!$C$18</f>
        <v>Comprehensive levy + CBAM process fee</v>
      </c>
      <c r="D7" s="151" t="s">
        <v>3287</v>
      </c>
      <c r="E7" s="116" t="str">
        <f>Scenarios!$L$18</f>
        <v>All sectors</v>
      </c>
      <c r="F7" s="116" t="s">
        <v>3494</v>
      </c>
    </row>
    <row r="8" spans="1:35" x14ac:dyDescent="0.35">
      <c r="B8" s="116" t="str">
        <f>Scenarios!$B$19</f>
        <v>2A</v>
      </c>
      <c r="C8" s="116" t="str">
        <f>Scenarios!$C$19</f>
        <v>Upstream levy, public investment</v>
      </c>
      <c r="D8" s="151" t="s">
        <v>3287</v>
      </c>
      <c r="E8" s="116" t="str">
        <f>Scenarios!$L$19</f>
        <v>All sectors</v>
      </c>
      <c r="F8" s="116" t="s">
        <v>3494</v>
      </c>
    </row>
    <row r="9" spans="1:35" x14ac:dyDescent="0.35">
      <c r="B9" s="116" t="str">
        <f>Scenarios!$B$20</f>
        <v>2B</v>
      </c>
      <c r="C9" s="116" t="str">
        <f>Scenarios!$C$20</f>
        <v>Upstream levy, households</v>
      </c>
      <c r="D9" s="151" t="s">
        <v>3293</v>
      </c>
      <c r="E9" s="116" t="str">
        <f>Scenarios!$L$20</f>
        <v>All sectors</v>
      </c>
      <c r="F9" s="116" t="s">
        <v>3494</v>
      </c>
    </row>
    <row r="10" spans="1:35" x14ac:dyDescent="0.35">
      <c r="B10" s="116" t="str">
        <f>Scenarios!$B$21</f>
        <v>3A</v>
      </c>
      <c r="C10" s="116" t="str">
        <f>Scenarios!$C$21</f>
        <v>Downstream heavy industry, households</v>
      </c>
      <c r="D10" s="151" t="s">
        <v>3296</v>
      </c>
      <c r="E10" s="116" t="str">
        <f>Scenarios!$L$21</f>
        <v>Industry only</v>
      </c>
      <c r="F10" s="116" t="s">
        <v>3494</v>
      </c>
    </row>
    <row r="11" spans="1:35" x14ac:dyDescent="0.35">
      <c r="B11" s="116" t="str">
        <f>Scenarios!$B$22</f>
        <v>3B</v>
      </c>
      <c r="C11" s="116" t="str">
        <f>Scenarios!$C$22</f>
        <v>Downstream heavy industry, free allocation (benchmark)</v>
      </c>
      <c r="D11" s="151" t="s">
        <v>3296</v>
      </c>
      <c r="E11" s="116" t="str">
        <f>Scenarios!$L$22</f>
        <v>Industry only</v>
      </c>
      <c r="F11" s="116" t="s">
        <v>3494</v>
      </c>
    </row>
    <row r="12" spans="1:35" x14ac:dyDescent="0.35">
      <c r="B12" s="116" t="str">
        <f>Scenarios!$B$23</f>
        <v>3C</v>
      </c>
      <c r="C12" s="116" t="str">
        <f>Scenarios!$C$23</f>
        <v>Downstream heavy industry, abatement rebate</v>
      </c>
      <c r="D12" s="151" t="s">
        <v>3296</v>
      </c>
      <c r="E12" s="116" t="str">
        <f>Scenarios!$L$23</f>
        <v>Industry only</v>
      </c>
      <c r="F12" s="116" t="s">
        <v>3494</v>
      </c>
    </row>
    <row r="14" spans="1:35" x14ac:dyDescent="0.35">
      <c r="C14" s="116" t="s">
        <v>3495</v>
      </c>
      <c r="D14" s="116" t="str">
        <f>Scenarios!$B$27</f>
        <v>LEGACY</v>
      </c>
    </row>
    <row r="15" spans="1:35" x14ac:dyDescent="0.35">
      <c r="C15" s="116" t="s">
        <v>3491</v>
      </c>
      <c r="D15" s="116" t="str">
        <f>INDEX($D$6:$D$12,MATCH(D14,$B$6:$B$12,0))</f>
        <v>-</v>
      </c>
    </row>
    <row r="16" spans="1:35" x14ac:dyDescent="0.35">
      <c r="C16" s="116" t="s">
        <v>3496</v>
      </c>
      <c r="D16" s="116" t="str">
        <f>Scenarios!$L$27</f>
        <v>All sectors</v>
      </c>
    </row>
    <row r="17" spans="1:35" x14ac:dyDescent="0.35">
      <c r="C17" s="116" t="s">
        <v>1747</v>
      </c>
      <c r="D17" s="116">
        <f>Scenarios!$G$27</f>
        <v>0</v>
      </c>
    </row>
    <row r="18" spans="1:35" x14ac:dyDescent="0.35">
      <c r="C18" s="116" t="s">
        <v>3497</v>
      </c>
      <c r="D18" s="116" t="str">
        <f>Scenarios!$K$27</f>
        <v>CPAT default</v>
      </c>
    </row>
    <row r="19" spans="1:35" x14ac:dyDescent="0.35">
      <c r="C19" s="116" t="s">
        <v>3498</v>
      </c>
      <c r="D19" s="151">
        <v>2030</v>
      </c>
      <c r="E19" s="116" t="s">
        <v>3499</v>
      </c>
    </row>
    <row r="22" spans="1:35" customFormat="1" ht="18" customHeight="1" x14ac:dyDescent="0.45">
      <c r="A22" s="8"/>
      <c r="B22" s="9" t="s">
        <v>3500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4.25" x14ac:dyDescent="0.45">
      <c r="A24" s="11"/>
      <c r="B24" s="6" t="s">
        <v>1504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35">
      <c r="B25" s="116" t="s">
        <v>3501</v>
      </c>
      <c r="C25" s="116" t="s">
        <v>3502</v>
      </c>
      <c r="D25" s="116" t="s">
        <v>3503</v>
      </c>
      <c r="E25" s="116" t="s">
        <v>1868</v>
      </c>
      <c r="F25" s="116" t="s">
        <v>3504</v>
      </c>
      <c r="G25" s="116" t="s">
        <v>3423</v>
      </c>
      <c r="H25" s="120" t="str">
        <f>Settings!$B$3&amp;".mit.t2.ghg1"</f>
        <v>egy.mit.t2.ghg1</v>
      </c>
      <c r="L25" s="153">
        <f>IF($D$15="-",0,INDEX(CPAT_National!L$6:L$133,MATCH($G25&amp;"|"&amp;$D$15,CPAT_National!$B$6:$B$133,0)))</f>
        <v>0</v>
      </c>
      <c r="M25" s="153">
        <f>IF($D$15="-",0,INDEX(CPAT_National!M$6:M$133,MATCH($G25&amp;"|"&amp;$D$15,CPAT_National!$B$6:$B$133,0)))</f>
        <v>0</v>
      </c>
      <c r="N25" s="153">
        <f>IF($D$15="-",0,INDEX(CPAT_National!N$6:N$133,MATCH($G25&amp;"|"&amp;$D$15,CPAT_National!$B$6:$B$133,0)))</f>
        <v>0</v>
      </c>
      <c r="O25" s="153">
        <f>IF($D$15="-",0,INDEX(CPAT_National!O$6:O$133,MATCH($G25&amp;"|"&amp;$D$15,CPAT_National!$B$6:$B$133,0)))</f>
        <v>0</v>
      </c>
      <c r="P25" s="153">
        <f>IF($D$15="-",0,INDEX(CPAT_National!P$6:P$133,MATCH($G25&amp;"|"&amp;$D$15,CPAT_National!$B$6:$B$133,0)))</f>
        <v>0</v>
      </c>
      <c r="Q25" s="153">
        <f>IF($D$15="-",0,INDEX(CPAT_National!Q$6:Q$133,MATCH($G25&amp;"|"&amp;$D$15,CPAT_National!$B$6:$B$133,0)))</f>
        <v>0</v>
      </c>
      <c r="R25" s="153">
        <f>IF($D$15="-",0,INDEX(CPAT_National!R$6:R$133,MATCH($G25&amp;"|"&amp;$D$15,CPAT_National!$B$6:$B$133,0)))</f>
        <v>0</v>
      </c>
      <c r="S25" s="153">
        <f>IF($D$15="-",0,INDEX(CPAT_National!S$6:S$133,MATCH($G25&amp;"|"&amp;$D$15,CPAT_National!$B$6:$B$133,0)))</f>
        <v>0</v>
      </c>
      <c r="T25" s="153">
        <f>IF($D$15="-",0,INDEX(CPAT_National!T$6:T$133,MATCH($G25&amp;"|"&amp;$D$15,CPAT_National!$B$6:$B$133,0)))</f>
        <v>0</v>
      </c>
      <c r="U25" s="153">
        <f>IF($D$15="-",0,INDEX(CPAT_National!U$6:U$133,MATCH($G25&amp;"|"&amp;$D$15,CPAT_National!$B$6:$B$133,0)))</f>
        <v>0</v>
      </c>
      <c r="V25" s="153">
        <f>IF($D$15="-",0,INDEX(CPAT_National!V$6:V$133,MATCH($G25&amp;"|"&amp;$D$15,CPAT_National!$B$6:$B$133,0)))</f>
        <v>0</v>
      </c>
      <c r="W25" s="153">
        <f>IF($D$15="-",0,INDEX(CPAT_National!W$6:W$133,MATCH($G25&amp;"|"&amp;$D$15,CPAT_National!$B$6:$B$133,0)))</f>
        <v>0</v>
      </c>
      <c r="X25" s="153">
        <f>IF($D$15="-",0,INDEX(CPAT_National!X$6:X$133,MATCH($G25&amp;"|"&amp;$D$15,CPAT_National!$B$6:$B$133,0)))</f>
        <v>0</v>
      </c>
      <c r="Y25" s="153">
        <f>IF($D$15="-",0,INDEX(CPAT_National!Y$6:Y$133,MATCH($G25&amp;"|"&amp;$D$15,CPAT_National!$B$6:$B$133,0)))</f>
        <v>0</v>
      </c>
      <c r="Z25" s="153">
        <f>IF($D$15="-",0,INDEX(CPAT_National!Z$6:Z$133,MATCH($G25&amp;"|"&amp;$D$15,CPAT_National!$B$6:$B$133,0)))</f>
        <v>0</v>
      </c>
      <c r="AA25" s="153">
        <f>IF($D$15="-",0,INDEX(CPAT_National!AA$6:AA$133,MATCH($G25&amp;"|"&amp;$D$15,CPAT_National!$B$6:$B$133,0)))</f>
        <v>0</v>
      </c>
      <c r="AB25" s="153">
        <f>IF($D$15="-",0,INDEX(CPAT_National!AB$6:AB$133,MATCH($G25&amp;"|"&amp;$D$15,CPAT_National!$B$6:$B$133,0)))</f>
        <v>0</v>
      </c>
      <c r="AC25" s="153">
        <f>IF($D$15="-",0,INDEX(CPAT_National!AC$6:AC$133,MATCH($G25&amp;"|"&amp;$D$15,CPAT_National!$B$6:$B$133,0)))</f>
        <v>0</v>
      </c>
      <c r="AD25" s="153">
        <f>IF($D$15="-",0,INDEX(CPAT_National!AD$6:AD$133,MATCH($G25&amp;"|"&amp;$D$15,CPAT_National!$B$6:$B$133,0)))</f>
        <v>0</v>
      </c>
      <c r="AE25" s="153">
        <f>IF($D$15="-",0,INDEX(CPAT_National!AE$6:AE$133,MATCH($G25&amp;"|"&amp;$D$15,CPAT_National!$B$6:$B$133,0)))</f>
        <v>0</v>
      </c>
    </row>
    <row r="26" spans="1:35" x14ac:dyDescent="0.35">
      <c r="B26" s="116" t="s">
        <v>3501</v>
      </c>
      <c r="C26" s="116" t="s">
        <v>3502</v>
      </c>
      <c r="D26" s="116" t="s">
        <v>3505</v>
      </c>
      <c r="E26" s="116" t="s">
        <v>1868</v>
      </c>
      <c r="F26" s="116" t="s">
        <v>3504</v>
      </c>
      <c r="G26" s="116" t="s">
        <v>3429</v>
      </c>
      <c r="H26" s="120" t="str">
        <f>Settings!$B$3&amp;".mit.t2.ghg2"</f>
        <v>egy.mit.t2.ghg2</v>
      </c>
      <c r="L26" s="153">
        <f>IF($D$15="-",0,INDEX(CPAT_National!L$6:L$133,MATCH($G26&amp;"|"&amp;$D$15,CPAT_National!$B$6:$B$133,0)))</f>
        <v>0</v>
      </c>
      <c r="M26" s="153">
        <f>IF($D$15="-",0,INDEX(CPAT_National!M$6:M$133,MATCH($G26&amp;"|"&amp;$D$15,CPAT_National!$B$6:$B$133,0)))</f>
        <v>0</v>
      </c>
      <c r="N26" s="153">
        <f>IF($D$15="-",0,INDEX(CPAT_National!N$6:N$133,MATCH($G26&amp;"|"&amp;$D$15,CPAT_National!$B$6:$B$133,0)))</f>
        <v>0</v>
      </c>
      <c r="O26" s="153">
        <f>IF($D$15="-",0,INDEX(CPAT_National!O$6:O$133,MATCH($G26&amp;"|"&amp;$D$15,CPAT_National!$B$6:$B$133,0)))</f>
        <v>0</v>
      </c>
      <c r="P26" s="153">
        <f>IF($D$15="-",0,INDEX(CPAT_National!P$6:P$133,MATCH($G26&amp;"|"&amp;$D$15,CPAT_National!$B$6:$B$133,0)))</f>
        <v>0</v>
      </c>
      <c r="Q26" s="153">
        <f>IF($D$15="-",0,INDEX(CPAT_National!Q$6:Q$133,MATCH($G26&amp;"|"&amp;$D$15,CPAT_National!$B$6:$B$133,0)))</f>
        <v>0</v>
      </c>
      <c r="R26" s="153">
        <f>IF($D$15="-",0,INDEX(CPAT_National!R$6:R$133,MATCH($G26&amp;"|"&amp;$D$15,CPAT_National!$B$6:$B$133,0)))</f>
        <v>0</v>
      </c>
      <c r="S26" s="153">
        <f>IF($D$15="-",0,INDEX(CPAT_National!S$6:S$133,MATCH($G26&amp;"|"&amp;$D$15,CPAT_National!$B$6:$B$133,0)))</f>
        <v>0</v>
      </c>
      <c r="T26" s="153">
        <f>IF($D$15="-",0,INDEX(CPAT_National!T$6:T$133,MATCH($G26&amp;"|"&amp;$D$15,CPAT_National!$B$6:$B$133,0)))</f>
        <v>0</v>
      </c>
      <c r="U26" s="153">
        <f>IF($D$15="-",0,INDEX(CPAT_National!U$6:U$133,MATCH($G26&amp;"|"&amp;$D$15,CPAT_National!$B$6:$B$133,0)))</f>
        <v>0</v>
      </c>
      <c r="V26" s="153">
        <f>IF($D$15="-",0,INDEX(CPAT_National!V$6:V$133,MATCH($G26&amp;"|"&amp;$D$15,CPAT_National!$B$6:$B$133,0)))</f>
        <v>0</v>
      </c>
      <c r="W26" s="153">
        <f>IF($D$15="-",0,INDEX(CPAT_National!W$6:W$133,MATCH($G26&amp;"|"&amp;$D$15,CPAT_National!$B$6:$B$133,0)))</f>
        <v>0</v>
      </c>
      <c r="X26" s="153">
        <f>IF($D$15="-",0,INDEX(CPAT_National!X$6:X$133,MATCH($G26&amp;"|"&amp;$D$15,CPAT_National!$B$6:$B$133,0)))</f>
        <v>0</v>
      </c>
      <c r="Y26" s="153">
        <f>IF($D$15="-",0,INDEX(CPAT_National!Y$6:Y$133,MATCH($G26&amp;"|"&amp;$D$15,CPAT_National!$B$6:$B$133,0)))</f>
        <v>0</v>
      </c>
      <c r="Z26" s="153">
        <f>IF($D$15="-",0,INDEX(CPAT_National!Z$6:Z$133,MATCH($G26&amp;"|"&amp;$D$15,CPAT_National!$B$6:$B$133,0)))</f>
        <v>0</v>
      </c>
      <c r="AA26" s="153">
        <f>IF($D$15="-",0,INDEX(CPAT_National!AA$6:AA$133,MATCH($G26&amp;"|"&amp;$D$15,CPAT_National!$B$6:$B$133,0)))</f>
        <v>0</v>
      </c>
      <c r="AB26" s="153">
        <f>IF($D$15="-",0,INDEX(CPAT_National!AB$6:AB$133,MATCH($G26&amp;"|"&amp;$D$15,CPAT_National!$B$6:$B$133,0)))</f>
        <v>0</v>
      </c>
      <c r="AC26" s="153">
        <f>IF($D$15="-",0,INDEX(CPAT_National!AC$6:AC$133,MATCH($G26&amp;"|"&amp;$D$15,CPAT_National!$B$6:$B$133,0)))</f>
        <v>0</v>
      </c>
      <c r="AD26" s="153">
        <f>IF($D$15="-",0,INDEX(CPAT_National!AD$6:AD$133,MATCH($G26&amp;"|"&amp;$D$15,CPAT_National!$B$6:$B$133,0)))</f>
        <v>0</v>
      </c>
      <c r="AE26" s="153">
        <f>IF($D$15="-",0,INDEX(CPAT_National!AE$6:AE$133,MATCH($G26&amp;"|"&amp;$D$15,CPAT_National!$B$6:$B$133,0)))</f>
        <v>0</v>
      </c>
    </row>
    <row r="27" spans="1:35" x14ac:dyDescent="0.35">
      <c r="B27" s="116" t="s">
        <v>3501</v>
      </c>
      <c r="C27" s="116" t="s">
        <v>3502</v>
      </c>
      <c r="D27" s="116" t="s">
        <v>3506</v>
      </c>
      <c r="E27" s="116" t="s">
        <v>1868</v>
      </c>
      <c r="F27" s="116" t="s">
        <v>3504</v>
      </c>
      <c r="G27" s="116" t="s">
        <v>3411</v>
      </c>
      <c r="H27" s="120" t="str">
        <f>Settings!$B$3&amp;".mit.t2.ipr1"</f>
        <v>egy.mit.t2.ipr1</v>
      </c>
      <c r="L27" s="153">
        <f>IF($D$15="-",0,INDEX(CPAT_National!L$6:L$133,MATCH($G27&amp;"|"&amp;$D$15,CPAT_National!$B$6:$B$133,0)))</f>
        <v>0</v>
      </c>
      <c r="M27" s="153">
        <f>IF($D$15="-",0,INDEX(CPAT_National!M$6:M$133,MATCH($G27&amp;"|"&amp;$D$15,CPAT_National!$B$6:$B$133,0)))</f>
        <v>0</v>
      </c>
      <c r="N27" s="153">
        <f>IF($D$15="-",0,INDEX(CPAT_National!N$6:N$133,MATCH($G27&amp;"|"&amp;$D$15,CPAT_National!$B$6:$B$133,0)))</f>
        <v>0</v>
      </c>
      <c r="O27" s="153">
        <f>IF($D$15="-",0,INDEX(CPAT_National!O$6:O$133,MATCH($G27&amp;"|"&amp;$D$15,CPAT_National!$B$6:$B$133,0)))</f>
        <v>0</v>
      </c>
      <c r="P27" s="153">
        <f>IF($D$15="-",0,INDEX(CPAT_National!P$6:P$133,MATCH($G27&amp;"|"&amp;$D$15,CPAT_National!$B$6:$B$133,0)))</f>
        <v>0</v>
      </c>
      <c r="Q27" s="153">
        <f>IF($D$15="-",0,INDEX(CPAT_National!Q$6:Q$133,MATCH($G27&amp;"|"&amp;$D$15,CPAT_National!$B$6:$B$133,0)))</f>
        <v>0</v>
      </c>
      <c r="R27" s="153">
        <f>IF($D$15="-",0,INDEX(CPAT_National!R$6:R$133,MATCH($G27&amp;"|"&amp;$D$15,CPAT_National!$B$6:$B$133,0)))</f>
        <v>0</v>
      </c>
      <c r="S27" s="153">
        <f>IF($D$15="-",0,INDEX(CPAT_National!S$6:S$133,MATCH($G27&amp;"|"&amp;$D$15,CPAT_National!$B$6:$B$133,0)))</f>
        <v>0</v>
      </c>
      <c r="T27" s="153">
        <f>IF($D$15="-",0,INDEX(CPAT_National!T$6:T$133,MATCH($G27&amp;"|"&amp;$D$15,CPAT_National!$B$6:$B$133,0)))</f>
        <v>0</v>
      </c>
      <c r="U27" s="153">
        <f>IF($D$15="-",0,INDEX(CPAT_National!U$6:U$133,MATCH($G27&amp;"|"&amp;$D$15,CPAT_National!$B$6:$B$133,0)))</f>
        <v>0</v>
      </c>
      <c r="V27" s="153">
        <f>IF($D$15="-",0,INDEX(CPAT_National!V$6:V$133,MATCH($G27&amp;"|"&amp;$D$15,CPAT_National!$B$6:$B$133,0)))</f>
        <v>0</v>
      </c>
      <c r="W27" s="153">
        <f>IF($D$15="-",0,INDEX(CPAT_National!W$6:W$133,MATCH($G27&amp;"|"&amp;$D$15,CPAT_National!$B$6:$B$133,0)))</f>
        <v>0</v>
      </c>
      <c r="X27" s="153">
        <f>IF($D$15="-",0,INDEX(CPAT_National!X$6:X$133,MATCH($G27&amp;"|"&amp;$D$15,CPAT_National!$B$6:$B$133,0)))</f>
        <v>0</v>
      </c>
      <c r="Y27" s="153">
        <f>IF($D$15="-",0,INDEX(CPAT_National!Y$6:Y$133,MATCH($G27&amp;"|"&amp;$D$15,CPAT_National!$B$6:$B$133,0)))</f>
        <v>0</v>
      </c>
      <c r="Z27" s="153">
        <f>IF($D$15="-",0,INDEX(CPAT_National!Z$6:Z$133,MATCH($G27&amp;"|"&amp;$D$15,CPAT_National!$B$6:$B$133,0)))</f>
        <v>0</v>
      </c>
      <c r="AA27" s="153">
        <f>IF($D$15="-",0,INDEX(CPAT_National!AA$6:AA$133,MATCH($G27&amp;"|"&amp;$D$15,CPAT_National!$B$6:$B$133,0)))</f>
        <v>0</v>
      </c>
      <c r="AB27" s="153">
        <f>IF($D$15="-",0,INDEX(CPAT_National!AB$6:AB$133,MATCH($G27&amp;"|"&amp;$D$15,CPAT_National!$B$6:$B$133,0)))</f>
        <v>0</v>
      </c>
      <c r="AC27" s="153">
        <f>IF($D$15="-",0,INDEX(CPAT_National!AC$6:AC$133,MATCH($G27&amp;"|"&amp;$D$15,CPAT_National!$B$6:$B$133,0)))</f>
        <v>0</v>
      </c>
      <c r="AD27" s="153">
        <f>IF($D$15="-",0,INDEX(CPAT_National!AD$6:AD$133,MATCH($G27&amp;"|"&amp;$D$15,CPAT_National!$B$6:$B$133,0)))</f>
        <v>0</v>
      </c>
      <c r="AE27" s="153">
        <f>IF($D$15="-",0,INDEX(CPAT_National!AE$6:AE$133,MATCH($G27&amp;"|"&amp;$D$15,CPAT_National!$B$6:$B$133,0)))</f>
        <v>0</v>
      </c>
    </row>
    <row r="28" spans="1:35" x14ac:dyDescent="0.35">
      <c r="B28" s="116" t="s">
        <v>3501</v>
      </c>
      <c r="C28" s="116" t="s">
        <v>3502</v>
      </c>
      <c r="D28" s="116" t="s">
        <v>3507</v>
      </c>
      <c r="E28" s="116" t="s">
        <v>1868</v>
      </c>
      <c r="F28" s="116" t="s">
        <v>3504</v>
      </c>
      <c r="G28" s="116" t="s">
        <v>3417</v>
      </c>
      <c r="H28" s="120" t="str">
        <f>Settings!$B$3&amp;".mit.t2.ipr2"</f>
        <v>egy.mit.t2.ipr2</v>
      </c>
      <c r="L28" s="153">
        <f>IF($D$15="-",0,INDEX(CPAT_National!L$6:L$133,MATCH($G28&amp;"|"&amp;$D$15,CPAT_National!$B$6:$B$133,0)))</f>
        <v>0</v>
      </c>
      <c r="M28" s="153">
        <f>IF($D$15="-",0,INDEX(CPAT_National!M$6:M$133,MATCH($G28&amp;"|"&amp;$D$15,CPAT_National!$B$6:$B$133,0)))</f>
        <v>0</v>
      </c>
      <c r="N28" s="153">
        <f>IF($D$15="-",0,INDEX(CPAT_National!N$6:N$133,MATCH($G28&amp;"|"&amp;$D$15,CPAT_National!$B$6:$B$133,0)))</f>
        <v>0</v>
      </c>
      <c r="O28" s="153">
        <f>IF($D$15="-",0,INDEX(CPAT_National!O$6:O$133,MATCH($G28&amp;"|"&amp;$D$15,CPAT_National!$B$6:$B$133,0)))</f>
        <v>0</v>
      </c>
      <c r="P28" s="153">
        <f>IF($D$15="-",0,INDEX(CPAT_National!P$6:P$133,MATCH($G28&amp;"|"&amp;$D$15,CPAT_National!$B$6:$B$133,0)))</f>
        <v>0</v>
      </c>
      <c r="Q28" s="153">
        <f>IF($D$15="-",0,INDEX(CPAT_National!Q$6:Q$133,MATCH($G28&amp;"|"&amp;$D$15,CPAT_National!$B$6:$B$133,0)))</f>
        <v>0</v>
      </c>
      <c r="R28" s="153">
        <f>IF($D$15="-",0,INDEX(CPAT_National!R$6:R$133,MATCH($G28&amp;"|"&amp;$D$15,CPAT_National!$B$6:$B$133,0)))</f>
        <v>0</v>
      </c>
      <c r="S28" s="153">
        <f>IF($D$15="-",0,INDEX(CPAT_National!S$6:S$133,MATCH($G28&amp;"|"&amp;$D$15,CPAT_National!$B$6:$B$133,0)))</f>
        <v>0</v>
      </c>
      <c r="T28" s="153">
        <f>IF($D$15="-",0,INDEX(CPAT_National!T$6:T$133,MATCH($G28&amp;"|"&amp;$D$15,CPAT_National!$B$6:$B$133,0)))</f>
        <v>0</v>
      </c>
      <c r="U28" s="153">
        <f>IF($D$15="-",0,INDEX(CPAT_National!U$6:U$133,MATCH($G28&amp;"|"&amp;$D$15,CPAT_National!$B$6:$B$133,0)))</f>
        <v>0</v>
      </c>
      <c r="V28" s="153">
        <f>IF($D$15="-",0,INDEX(CPAT_National!V$6:V$133,MATCH($G28&amp;"|"&amp;$D$15,CPAT_National!$B$6:$B$133,0)))</f>
        <v>0</v>
      </c>
      <c r="W28" s="153">
        <f>IF($D$15="-",0,INDEX(CPAT_National!W$6:W$133,MATCH($G28&amp;"|"&amp;$D$15,CPAT_National!$B$6:$B$133,0)))</f>
        <v>0</v>
      </c>
      <c r="X28" s="153">
        <f>IF($D$15="-",0,INDEX(CPAT_National!X$6:X$133,MATCH($G28&amp;"|"&amp;$D$15,CPAT_National!$B$6:$B$133,0)))</f>
        <v>0</v>
      </c>
      <c r="Y28" s="153">
        <f>IF($D$15="-",0,INDEX(CPAT_National!Y$6:Y$133,MATCH($G28&amp;"|"&amp;$D$15,CPAT_National!$B$6:$B$133,0)))</f>
        <v>0</v>
      </c>
      <c r="Z28" s="153">
        <f>IF($D$15="-",0,INDEX(CPAT_National!Z$6:Z$133,MATCH($G28&amp;"|"&amp;$D$15,CPAT_National!$B$6:$B$133,0)))</f>
        <v>0</v>
      </c>
      <c r="AA28" s="153">
        <f>IF($D$15="-",0,INDEX(CPAT_National!AA$6:AA$133,MATCH($G28&amp;"|"&amp;$D$15,CPAT_National!$B$6:$B$133,0)))</f>
        <v>0</v>
      </c>
      <c r="AB28" s="153">
        <f>IF($D$15="-",0,INDEX(CPAT_National!AB$6:AB$133,MATCH($G28&amp;"|"&amp;$D$15,CPAT_National!$B$6:$B$133,0)))</f>
        <v>0</v>
      </c>
      <c r="AC28" s="153">
        <f>IF($D$15="-",0,INDEX(CPAT_National!AC$6:AC$133,MATCH($G28&amp;"|"&amp;$D$15,CPAT_National!$B$6:$B$133,0)))</f>
        <v>0</v>
      </c>
      <c r="AD28" s="153">
        <f>IF($D$15="-",0,INDEX(CPAT_National!AD$6:AD$133,MATCH($G28&amp;"|"&amp;$D$15,CPAT_National!$B$6:$B$133,0)))</f>
        <v>0</v>
      </c>
      <c r="AE28" s="153">
        <f>IF($D$15="-",0,INDEX(CPAT_National!AE$6:AE$133,MATCH($G28&amp;"|"&amp;$D$15,CPAT_National!$B$6:$B$133,0)))</f>
        <v>0</v>
      </c>
    </row>
    <row r="29" spans="1:35" x14ac:dyDescent="0.35">
      <c r="B29" s="116" t="s">
        <v>3501</v>
      </c>
      <c r="C29" s="116" t="s">
        <v>3502</v>
      </c>
      <c r="D29" s="116" t="s">
        <v>3508</v>
      </c>
      <c r="E29" s="116" t="s">
        <v>2094</v>
      </c>
      <c r="F29" s="116" t="s">
        <v>3504</v>
      </c>
      <c r="G29" s="116" t="s">
        <v>3328</v>
      </c>
      <c r="H29" s="120" t="str">
        <f>Settings!$B$3&amp;".mit.t2.enr1"</f>
        <v>egy.mit.t2.enr1</v>
      </c>
      <c r="L29" s="153">
        <f>IF($D$15="-",0,INDEX(CPAT_National!L$6:L$133,MATCH($G29&amp;"|"&amp;$D$15,CPAT_National!$B$6:$B$133,0)))</f>
        <v>0</v>
      </c>
      <c r="M29" s="153">
        <f>IF($D$15="-",0,INDEX(CPAT_National!M$6:M$133,MATCH($G29&amp;"|"&amp;$D$15,CPAT_National!$B$6:$B$133,0)))</f>
        <v>0</v>
      </c>
      <c r="N29" s="153">
        <f>IF($D$15="-",0,INDEX(CPAT_National!N$6:N$133,MATCH($G29&amp;"|"&amp;$D$15,CPAT_National!$B$6:$B$133,0)))</f>
        <v>0</v>
      </c>
      <c r="O29" s="153">
        <f>IF($D$15="-",0,INDEX(CPAT_National!O$6:O$133,MATCH($G29&amp;"|"&amp;$D$15,CPAT_National!$B$6:$B$133,0)))</f>
        <v>0</v>
      </c>
      <c r="P29" s="153">
        <f>IF($D$15="-",0,INDEX(CPAT_National!P$6:P$133,MATCH($G29&amp;"|"&amp;$D$15,CPAT_National!$B$6:$B$133,0)))</f>
        <v>0</v>
      </c>
      <c r="Q29" s="153">
        <f>IF($D$15="-",0,INDEX(CPAT_National!Q$6:Q$133,MATCH($G29&amp;"|"&amp;$D$15,CPAT_National!$B$6:$B$133,0)))</f>
        <v>0</v>
      </c>
      <c r="R29" s="153">
        <f>IF($D$15="-",0,INDEX(CPAT_National!R$6:R$133,MATCH($G29&amp;"|"&amp;$D$15,CPAT_National!$B$6:$B$133,0)))</f>
        <v>0</v>
      </c>
      <c r="S29" s="153">
        <f>IF($D$15="-",0,INDEX(CPAT_National!S$6:S$133,MATCH($G29&amp;"|"&amp;$D$15,CPAT_National!$B$6:$B$133,0)))</f>
        <v>0</v>
      </c>
      <c r="T29" s="153">
        <f>IF($D$15="-",0,INDEX(CPAT_National!T$6:T$133,MATCH($G29&amp;"|"&amp;$D$15,CPAT_National!$B$6:$B$133,0)))</f>
        <v>0</v>
      </c>
      <c r="U29" s="153">
        <f>IF($D$15="-",0,INDEX(CPAT_National!U$6:U$133,MATCH($G29&amp;"|"&amp;$D$15,CPAT_National!$B$6:$B$133,0)))</f>
        <v>0</v>
      </c>
      <c r="V29" s="153">
        <f>IF($D$15="-",0,INDEX(CPAT_National!V$6:V$133,MATCH($G29&amp;"|"&amp;$D$15,CPAT_National!$B$6:$B$133,0)))</f>
        <v>0</v>
      </c>
      <c r="W29" s="153">
        <f>IF($D$15="-",0,INDEX(CPAT_National!W$6:W$133,MATCH($G29&amp;"|"&amp;$D$15,CPAT_National!$B$6:$B$133,0)))</f>
        <v>0</v>
      </c>
      <c r="X29" s="153">
        <f>IF($D$15="-",0,INDEX(CPAT_National!X$6:X$133,MATCH($G29&amp;"|"&amp;$D$15,CPAT_National!$B$6:$B$133,0)))</f>
        <v>0</v>
      </c>
      <c r="Y29" s="153">
        <f>IF($D$15="-",0,INDEX(CPAT_National!Y$6:Y$133,MATCH($G29&amp;"|"&amp;$D$15,CPAT_National!$B$6:$B$133,0)))</f>
        <v>0</v>
      </c>
      <c r="Z29" s="153">
        <f>IF($D$15="-",0,INDEX(CPAT_National!Z$6:Z$133,MATCH($G29&amp;"|"&amp;$D$15,CPAT_National!$B$6:$B$133,0)))</f>
        <v>0</v>
      </c>
      <c r="AA29" s="153">
        <f>IF($D$15="-",0,INDEX(CPAT_National!AA$6:AA$133,MATCH($G29&amp;"|"&amp;$D$15,CPAT_National!$B$6:$B$133,0)))</f>
        <v>0</v>
      </c>
      <c r="AB29" s="153">
        <f>IF($D$15="-",0,INDEX(CPAT_National!AB$6:AB$133,MATCH($G29&amp;"|"&amp;$D$15,CPAT_National!$B$6:$B$133,0)))</f>
        <v>0</v>
      </c>
      <c r="AC29" s="153">
        <f>IF($D$15="-",0,INDEX(CPAT_National!AC$6:AC$133,MATCH($G29&amp;"|"&amp;$D$15,CPAT_National!$B$6:$B$133,0)))</f>
        <v>0</v>
      </c>
      <c r="AD29" s="153">
        <f>IF($D$15="-",0,INDEX(CPAT_National!AD$6:AD$133,MATCH($G29&amp;"|"&amp;$D$15,CPAT_National!$B$6:$B$133,0)))</f>
        <v>0</v>
      </c>
      <c r="AE29" s="153">
        <f>IF($D$15="-",0,INDEX(CPAT_National!AE$6:AE$133,MATCH($G29&amp;"|"&amp;$D$15,CPAT_National!$B$6:$B$133,0)))</f>
        <v>0</v>
      </c>
    </row>
    <row r="30" spans="1:35" x14ac:dyDescent="0.35">
      <c r="B30" s="116" t="s">
        <v>3501</v>
      </c>
      <c r="C30" s="116" t="s">
        <v>3502</v>
      </c>
      <c r="D30" s="116" t="s">
        <v>3509</v>
      </c>
      <c r="E30" s="116" t="s">
        <v>2094</v>
      </c>
      <c r="F30" s="116" t="s">
        <v>3504</v>
      </c>
      <c r="G30" s="116" t="s">
        <v>3334</v>
      </c>
      <c r="H30" s="120" t="str">
        <f>Settings!$B$3&amp;".mit.t2.enr2"</f>
        <v>egy.mit.t2.enr2</v>
      </c>
      <c r="L30" s="153">
        <f>IF($D$15="-",0,INDEX(CPAT_National!L$6:L$133,MATCH($G30&amp;"|"&amp;$D$15,CPAT_National!$B$6:$B$133,0)))</f>
        <v>0</v>
      </c>
      <c r="M30" s="153">
        <f>IF($D$15="-",0,INDEX(CPAT_National!M$6:M$133,MATCH($G30&amp;"|"&amp;$D$15,CPAT_National!$B$6:$B$133,0)))</f>
        <v>0</v>
      </c>
      <c r="N30" s="153">
        <f>IF($D$15="-",0,INDEX(CPAT_National!N$6:N$133,MATCH($G30&amp;"|"&amp;$D$15,CPAT_National!$B$6:$B$133,0)))</f>
        <v>0</v>
      </c>
      <c r="O30" s="153">
        <f>IF($D$15="-",0,INDEX(CPAT_National!O$6:O$133,MATCH($G30&amp;"|"&amp;$D$15,CPAT_National!$B$6:$B$133,0)))</f>
        <v>0</v>
      </c>
      <c r="P30" s="153">
        <f>IF($D$15="-",0,INDEX(CPAT_National!P$6:P$133,MATCH($G30&amp;"|"&amp;$D$15,CPAT_National!$B$6:$B$133,0)))</f>
        <v>0</v>
      </c>
      <c r="Q30" s="153">
        <f>IF($D$15="-",0,INDEX(CPAT_National!Q$6:Q$133,MATCH($G30&amp;"|"&amp;$D$15,CPAT_National!$B$6:$B$133,0)))</f>
        <v>0</v>
      </c>
      <c r="R30" s="153">
        <f>IF($D$15="-",0,INDEX(CPAT_National!R$6:R$133,MATCH($G30&amp;"|"&amp;$D$15,CPAT_National!$B$6:$B$133,0)))</f>
        <v>0</v>
      </c>
      <c r="S30" s="153">
        <f>IF($D$15="-",0,INDEX(CPAT_National!S$6:S$133,MATCH($G30&amp;"|"&amp;$D$15,CPAT_National!$B$6:$B$133,0)))</f>
        <v>0</v>
      </c>
      <c r="T30" s="153">
        <f>IF($D$15="-",0,INDEX(CPAT_National!T$6:T$133,MATCH($G30&amp;"|"&amp;$D$15,CPAT_National!$B$6:$B$133,0)))</f>
        <v>0</v>
      </c>
      <c r="U30" s="153">
        <f>IF($D$15="-",0,INDEX(CPAT_National!U$6:U$133,MATCH($G30&amp;"|"&amp;$D$15,CPAT_National!$B$6:$B$133,0)))</f>
        <v>0</v>
      </c>
      <c r="V30" s="153">
        <f>IF($D$15="-",0,INDEX(CPAT_National!V$6:V$133,MATCH($G30&amp;"|"&amp;$D$15,CPAT_National!$B$6:$B$133,0)))</f>
        <v>0</v>
      </c>
      <c r="W30" s="153">
        <f>IF($D$15="-",0,INDEX(CPAT_National!W$6:W$133,MATCH($G30&amp;"|"&amp;$D$15,CPAT_National!$B$6:$B$133,0)))</f>
        <v>0</v>
      </c>
      <c r="X30" s="153">
        <f>IF($D$15="-",0,INDEX(CPAT_National!X$6:X$133,MATCH($G30&amp;"|"&amp;$D$15,CPAT_National!$B$6:$B$133,0)))</f>
        <v>0</v>
      </c>
      <c r="Y30" s="153">
        <f>IF($D$15="-",0,INDEX(CPAT_National!Y$6:Y$133,MATCH($G30&amp;"|"&amp;$D$15,CPAT_National!$B$6:$B$133,0)))</f>
        <v>0</v>
      </c>
      <c r="Z30" s="153">
        <f>IF($D$15="-",0,INDEX(CPAT_National!Z$6:Z$133,MATCH($G30&amp;"|"&amp;$D$15,CPAT_National!$B$6:$B$133,0)))</f>
        <v>0</v>
      </c>
      <c r="AA30" s="153">
        <f>IF($D$15="-",0,INDEX(CPAT_National!AA$6:AA$133,MATCH($G30&amp;"|"&amp;$D$15,CPAT_National!$B$6:$B$133,0)))</f>
        <v>0</v>
      </c>
      <c r="AB30" s="153">
        <f>IF($D$15="-",0,INDEX(CPAT_National!AB$6:AB$133,MATCH($G30&amp;"|"&amp;$D$15,CPAT_National!$B$6:$B$133,0)))</f>
        <v>0</v>
      </c>
      <c r="AC30" s="153">
        <f>IF($D$15="-",0,INDEX(CPAT_National!AC$6:AC$133,MATCH($G30&amp;"|"&amp;$D$15,CPAT_National!$B$6:$B$133,0)))</f>
        <v>0</v>
      </c>
      <c r="AD30" s="153">
        <f>IF($D$15="-",0,INDEX(CPAT_National!AD$6:AD$133,MATCH($G30&amp;"|"&amp;$D$15,CPAT_National!$B$6:$B$133,0)))</f>
        <v>0</v>
      </c>
      <c r="AE30" s="153">
        <f>IF($D$15="-",0,INDEX(CPAT_National!AE$6:AE$133,MATCH($G30&amp;"|"&amp;$D$15,CPAT_National!$B$6:$B$133,0)))</f>
        <v>0</v>
      </c>
    </row>
    <row r="31" spans="1:35" x14ac:dyDescent="0.35">
      <c r="B31" s="116" t="s">
        <v>3501</v>
      </c>
      <c r="C31" s="116" t="s">
        <v>3502</v>
      </c>
      <c r="D31" s="116" t="s">
        <v>3510</v>
      </c>
      <c r="E31" s="116" t="s">
        <v>2094</v>
      </c>
      <c r="F31" s="116" t="s">
        <v>3504</v>
      </c>
      <c r="G31" s="116" t="s">
        <v>3340</v>
      </c>
      <c r="H31" s="120" t="str">
        <f>Settings!$B$3&amp;".mit.t2.ind1"</f>
        <v>egy.mit.t2.ind1</v>
      </c>
      <c r="L31" s="153">
        <f>IF($D$15="-",0,INDEX(CPAT_National!L$6:L$133,MATCH($G31&amp;"|"&amp;$D$15,CPAT_National!$B$6:$B$133,0)))</f>
        <v>0</v>
      </c>
      <c r="M31" s="153">
        <f>IF($D$15="-",0,INDEX(CPAT_National!M$6:M$133,MATCH($G31&amp;"|"&amp;$D$15,CPAT_National!$B$6:$B$133,0)))</f>
        <v>0</v>
      </c>
      <c r="N31" s="153">
        <f>IF($D$15="-",0,INDEX(CPAT_National!N$6:N$133,MATCH($G31&amp;"|"&amp;$D$15,CPAT_National!$B$6:$B$133,0)))</f>
        <v>0</v>
      </c>
      <c r="O31" s="153">
        <f>IF($D$15="-",0,INDEX(CPAT_National!O$6:O$133,MATCH($G31&amp;"|"&amp;$D$15,CPAT_National!$B$6:$B$133,0)))</f>
        <v>0</v>
      </c>
      <c r="P31" s="153">
        <f>IF($D$15="-",0,INDEX(CPAT_National!P$6:P$133,MATCH($G31&amp;"|"&amp;$D$15,CPAT_National!$B$6:$B$133,0)))</f>
        <v>0</v>
      </c>
      <c r="Q31" s="153">
        <f>IF($D$15="-",0,INDEX(CPAT_National!Q$6:Q$133,MATCH($G31&amp;"|"&amp;$D$15,CPAT_National!$B$6:$B$133,0)))</f>
        <v>0</v>
      </c>
      <c r="R31" s="153">
        <f>IF($D$15="-",0,INDEX(CPAT_National!R$6:R$133,MATCH($G31&amp;"|"&amp;$D$15,CPAT_National!$B$6:$B$133,0)))</f>
        <v>0</v>
      </c>
      <c r="S31" s="153">
        <f>IF($D$15="-",0,INDEX(CPAT_National!S$6:S$133,MATCH($G31&amp;"|"&amp;$D$15,CPAT_National!$B$6:$B$133,0)))</f>
        <v>0</v>
      </c>
      <c r="T31" s="153">
        <f>IF($D$15="-",0,INDEX(CPAT_National!T$6:T$133,MATCH($G31&amp;"|"&amp;$D$15,CPAT_National!$B$6:$B$133,0)))</f>
        <v>0</v>
      </c>
      <c r="U31" s="153">
        <f>IF($D$15="-",0,INDEX(CPAT_National!U$6:U$133,MATCH($G31&amp;"|"&amp;$D$15,CPAT_National!$B$6:$B$133,0)))</f>
        <v>0</v>
      </c>
      <c r="V31" s="153">
        <f>IF($D$15="-",0,INDEX(CPAT_National!V$6:V$133,MATCH($G31&amp;"|"&amp;$D$15,CPAT_National!$B$6:$B$133,0)))</f>
        <v>0</v>
      </c>
      <c r="W31" s="153">
        <f>IF($D$15="-",0,INDEX(CPAT_National!W$6:W$133,MATCH($G31&amp;"|"&amp;$D$15,CPAT_National!$B$6:$B$133,0)))</f>
        <v>0</v>
      </c>
      <c r="X31" s="153">
        <f>IF($D$15="-",0,INDEX(CPAT_National!X$6:X$133,MATCH($G31&amp;"|"&amp;$D$15,CPAT_National!$B$6:$B$133,0)))</f>
        <v>0</v>
      </c>
      <c r="Y31" s="153">
        <f>IF($D$15="-",0,INDEX(CPAT_National!Y$6:Y$133,MATCH($G31&amp;"|"&amp;$D$15,CPAT_National!$B$6:$B$133,0)))</f>
        <v>0</v>
      </c>
      <c r="Z31" s="153">
        <f>IF($D$15="-",0,INDEX(CPAT_National!Z$6:Z$133,MATCH($G31&amp;"|"&amp;$D$15,CPAT_National!$B$6:$B$133,0)))</f>
        <v>0</v>
      </c>
      <c r="AA31" s="153">
        <f>IF($D$15="-",0,INDEX(CPAT_National!AA$6:AA$133,MATCH($G31&amp;"|"&amp;$D$15,CPAT_National!$B$6:$B$133,0)))</f>
        <v>0</v>
      </c>
      <c r="AB31" s="153">
        <f>IF($D$15="-",0,INDEX(CPAT_National!AB$6:AB$133,MATCH($G31&amp;"|"&amp;$D$15,CPAT_National!$B$6:$B$133,0)))</f>
        <v>0</v>
      </c>
      <c r="AC31" s="153">
        <f>IF($D$15="-",0,INDEX(CPAT_National!AC$6:AC$133,MATCH($G31&amp;"|"&amp;$D$15,CPAT_National!$B$6:$B$133,0)))</f>
        <v>0</v>
      </c>
      <c r="AD31" s="153">
        <f>IF($D$15="-",0,INDEX(CPAT_National!AD$6:AD$133,MATCH($G31&amp;"|"&amp;$D$15,CPAT_National!$B$6:$B$133,0)))</f>
        <v>0</v>
      </c>
      <c r="AE31" s="153">
        <f>IF($D$15="-",0,INDEX(CPAT_National!AE$6:AE$133,MATCH($G31&amp;"|"&amp;$D$15,CPAT_National!$B$6:$B$133,0)))</f>
        <v>0</v>
      </c>
    </row>
    <row r="32" spans="1:35" x14ac:dyDescent="0.35">
      <c r="B32" s="116" t="s">
        <v>3501</v>
      </c>
      <c r="C32" s="116" t="s">
        <v>3502</v>
      </c>
      <c r="D32" s="116" t="s">
        <v>3511</v>
      </c>
      <c r="E32" s="116" t="s">
        <v>2094</v>
      </c>
      <c r="F32" s="116" t="s">
        <v>3504</v>
      </c>
      <c r="G32" s="116" t="s">
        <v>3346</v>
      </c>
      <c r="H32" s="120" t="str">
        <f>Settings!$B$3&amp;".mit.t2.ind2"</f>
        <v>egy.mit.t2.ind2</v>
      </c>
      <c r="L32" s="153">
        <f>IF($D$15="-",0,INDEX(CPAT_National!L$6:L$133,MATCH($G32&amp;"|"&amp;$D$15,CPAT_National!$B$6:$B$133,0)))</f>
        <v>0</v>
      </c>
      <c r="M32" s="153">
        <f>IF($D$15="-",0,INDEX(CPAT_National!M$6:M$133,MATCH($G32&amp;"|"&amp;$D$15,CPAT_National!$B$6:$B$133,0)))</f>
        <v>0</v>
      </c>
      <c r="N32" s="153">
        <f>IF($D$15="-",0,INDEX(CPAT_National!N$6:N$133,MATCH($G32&amp;"|"&amp;$D$15,CPAT_National!$B$6:$B$133,0)))</f>
        <v>0</v>
      </c>
      <c r="O32" s="153">
        <f>IF($D$15="-",0,INDEX(CPAT_National!O$6:O$133,MATCH($G32&amp;"|"&amp;$D$15,CPAT_National!$B$6:$B$133,0)))</f>
        <v>0</v>
      </c>
      <c r="P32" s="153">
        <f>IF($D$15="-",0,INDEX(CPAT_National!P$6:P$133,MATCH($G32&amp;"|"&amp;$D$15,CPAT_National!$B$6:$B$133,0)))</f>
        <v>0</v>
      </c>
      <c r="Q32" s="153">
        <f>IF($D$15="-",0,INDEX(CPAT_National!Q$6:Q$133,MATCH($G32&amp;"|"&amp;$D$15,CPAT_National!$B$6:$B$133,0)))</f>
        <v>0</v>
      </c>
      <c r="R32" s="153">
        <f>IF($D$15="-",0,INDEX(CPAT_National!R$6:R$133,MATCH($G32&amp;"|"&amp;$D$15,CPAT_National!$B$6:$B$133,0)))</f>
        <v>0</v>
      </c>
      <c r="S32" s="153">
        <f>IF($D$15="-",0,INDEX(CPAT_National!S$6:S$133,MATCH($G32&amp;"|"&amp;$D$15,CPAT_National!$B$6:$B$133,0)))</f>
        <v>0</v>
      </c>
      <c r="T32" s="153">
        <f>IF($D$15="-",0,INDEX(CPAT_National!T$6:T$133,MATCH($G32&amp;"|"&amp;$D$15,CPAT_National!$B$6:$B$133,0)))</f>
        <v>0</v>
      </c>
      <c r="U32" s="153">
        <f>IF($D$15="-",0,INDEX(CPAT_National!U$6:U$133,MATCH($G32&amp;"|"&amp;$D$15,CPAT_National!$B$6:$B$133,0)))</f>
        <v>0</v>
      </c>
      <c r="V32" s="153">
        <f>IF($D$15="-",0,INDEX(CPAT_National!V$6:V$133,MATCH($G32&amp;"|"&amp;$D$15,CPAT_National!$B$6:$B$133,0)))</f>
        <v>0</v>
      </c>
      <c r="W32" s="153">
        <f>IF($D$15="-",0,INDEX(CPAT_National!W$6:W$133,MATCH($G32&amp;"|"&amp;$D$15,CPAT_National!$B$6:$B$133,0)))</f>
        <v>0</v>
      </c>
      <c r="X32" s="153">
        <f>IF($D$15="-",0,INDEX(CPAT_National!X$6:X$133,MATCH($G32&amp;"|"&amp;$D$15,CPAT_National!$B$6:$B$133,0)))</f>
        <v>0</v>
      </c>
      <c r="Y32" s="153">
        <f>IF($D$15="-",0,INDEX(CPAT_National!Y$6:Y$133,MATCH($G32&amp;"|"&amp;$D$15,CPAT_National!$B$6:$B$133,0)))</f>
        <v>0</v>
      </c>
      <c r="Z32" s="153">
        <f>IF($D$15="-",0,INDEX(CPAT_National!Z$6:Z$133,MATCH($G32&amp;"|"&amp;$D$15,CPAT_National!$B$6:$B$133,0)))</f>
        <v>0</v>
      </c>
      <c r="AA32" s="153">
        <f>IF($D$15="-",0,INDEX(CPAT_National!AA$6:AA$133,MATCH($G32&amp;"|"&amp;$D$15,CPAT_National!$B$6:$B$133,0)))</f>
        <v>0</v>
      </c>
      <c r="AB32" s="153">
        <f>IF($D$15="-",0,INDEX(CPAT_National!AB$6:AB$133,MATCH($G32&amp;"|"&amp;$D$15,CPAT_National!$B$6:$B$133,0)))</f>
        <v>0</v>
      </c>
      <c r="AC32" s="153">
        <f>IF($D$15="-",0,INDEX(CPAT_National!AC$6:AC$133,MATCH($G32&amp;"|"&amp;$D$15,CPAT_National!$B$6:$B$133,0)))</f>
        <v>0</v>
      </c>
      <c r="AD32" s="153">
        <f>IF($D$15="-",0,INDEX(CPAT_National!AD$6:AD$133,MATCH($G32&amp;"|"&amp;$D$15,CPAT_National!$B$6:$B$133,0)))</f>
        <v>0</v>
      </c>
      <c r="AE32" s="153">
        <f>IF($D$15="-",0,INDEX(CPAT_National!AE$6:AE$133,MATCH($G32&amp;"|"&amp;$D$15,CPAT_National!$B$6:$B$133,0)))</f>
        <v>0</v>
      </c>
    </row>
    <row r="33" spans="2:31" x14ac:dyDescent="0.35">
      <c r="B33" s="116" t="s">
        <v>3501</v>
      </c>
      <c r="C33" s="116" t="s">
        <v>3502</v>
      </c>
      <c r="D33" s="116" t="s">
        <v>3512</v>
      </c>
      <c r="E33" s="116" t="s">
        <v>16</v>
      </c>
      <c r="F33" s="116" t="s">
        <v>3504</v>
      </c>
      <c r="G33" s="116" t="s">
        <v>1419</v>
      </c>
      <c r="H33" s="120" t="str">
        <f>Settings!$B$3&amp;".mit.t2.cptraj"</f>
        <v>egy.mit.t2.cptraj</v>
      </c>
      <c r="L33" s="153">
        <f>IF($D$15="-",0,INDEX(CPAT_National!L$6:L$133,MATCH($G33&amp;"|"&amp;$D$15,CPAT_National!$B$6:$B$133,0)))</f>
        <v>0</v>
      </c>
      <c r="M33" s="153">
        <f>IF($D$15="-",0,INDEX(CPAT_National!M$6:M$133,MATCH($G33&amp;"|"&amp;$D$15,CPAT_National!$B$6:$B$133,0)))</f>
        <v>0</v>
      </c>
      <c r="N33" s="153">
        <f>IF($D$15="-",0,INDEX(CPAT_National!N$6:N$133,MATCH($G33&amp;"|"&amp;$D$15,CPAT_National!$B$6:$B$133,0)))</f>
        <v>0</v>
      </c>
      <c r="O33" s="153">
        <f>IF($D$15="-",0,INDEX(CPAT_National!O$6:O$133,MATCH($G33&amp;"|"&amp;$D$15,CPAT_National!$B$6:$B$133,0)))</f>
        <v>0</v>
      </c>
      <c r="P33" s="153">
        <f>IF($D$15="-",0,INDEX(CPAT_National!P$6:P$133,MATCH($G33&amp;"|"&amp;$D$15,CPAT_National!$B$6:$B$133,0)))</f>
        <v>0</v>
      </c>
      <c r="Q33" s="153">
        <f>IF($D$15="-",0,INDEX(CPAT_National!Q$6:Q$133,MATCH($G33&amp;"|"&amp;$D$15,CPAT_National!$B$6:$B$133,0)))</f>
        <v>0</v>
      </c>
      <c r="R33" s="153">
        <f>IF($D$15="-",0,INDEX(CPAT_National!R$6:R$133,MATCH($G33&amp;"|"&amp;$D$15,CPAT_National!$B$6:$B$133,0)))</f>
        <v>0</v>
      </c>
      <c r="S33" s="153">
        <f>IF($D$15="-",0,INDEX(CPAT_National!S$6:S$133,MATCH($G33&amp;"|"&amp;$D$15,CPAT_National!$B$6:$B$133,0)))</f>
        <v>0</v>
      </c>
      <c r="T33" s="153">
        <f>IF($D$15="-",0,INDEX(CPAT_National!T$6:T$133,MATCH($G33&amp;"|"&amp;$D$15,CPAT_National!$B$6:$B$133,0)))</f>
        <v>0</v>
      </c>
      <c r="U33" s="153">
        <f>IF($D$15="-",0,INDEX(CPAT_National!U$6:U$133,MATCH($G33&amp;"|"&amp;$D$15,CPAT_National!$B$6:$B$133,0)))</f>
        <v>0</v>
      </c>
      <c r="V33" s="153">
        <f>IF($D$15="-",0,INDEX(CPAT_National!V$6:V$133,MATCH($G33&amp;"|"&amp;$D$15,CPAT_National!$B$6:$B$133,0)))</f>
        <v>0</v>
      </c>
      <c r="W33" s="153">
        <f>IF($D$15="-",0,INDEX(CPAT_National!W$6:W$133,MATCH($G33&amp;"|"&amp;$D$15,CPAT_National!$B$6:$B$133,0)))</f>
        <v>0</v>
      </c>
      <c r="X33" s="153">
        <f>IF($D$15="-",0,INDEX(CPAT_National!X$6:X$133,MATCH($G33&amp;"|"&amp;$D$15,CPAT_National!$B$6:$B$133,0)))</f>
        <v>0</v>
      </c>
      <c r="Y33" s="153">
        <f>IF($D$15="-",0,INDEX(CPAT_National!Y$6:Y$133,MATCH($G33&amp;"|"&amp;$D$15,CPAT_National!$B$6:$B$133,0)))</f>
        <v>0</v>
      </c>
      <c r="Z33" s="153">
        <f>IF($D$15="-",0,INDEX(CPAT_National!Z$6:Z$133,MATCH($G33&amp;"|"&amp;$D$15,CPAT_National!$B$6:$B$133,0)))</f>
        <v>0</v>
      </c>
      <c r="AA33" s="153">
        <f>IF($D$15="-",0,INDEX(CPAT_National!AA$6:AA$133,MATCH($G33&amp;"|"&amp;$D$15,CPAT_National!$B$6:$B$133,0)))</f>
        <v>0</v>
      </c>
      <c r="AB33" s="153">
        <f>IF($D$15="-",0,INDEX(CPAT_National!AB$6:AB$133,MATCH($G33&amp;"|"&amp;$D$15,CPAT_National!$B$6:$B$133,0)))</f>
        <v>0</v>
      </c>
      <c r="AC33" s="153">
        <f>IF($D$15="-",0,INDEX(CPAT_National!AC$6:AC$133,MATCH($G33&amp;"|"&amp;$D$15,CPAT_National!$B$6:$B$133,0)))</f>
        <v>0</v>
      </c>
      <c r="AD33" s="153">
        <f>IF($D$15="-",0,INDEX(CPAT_National!AD$6:AD$133,MATCH($G33&amp;"|"&amp;$D$15,CPAT_National!$B$6:$B$133,0)))</f>
        <v>0</v>
      </c>
      <c r="AE33" s="153">
        <f>IF($D$15="-",0,INDEX(CPAT_National!AE$6:AE$133,MATCH($G33&amp;"|"&amp;$D$15,CPAT_National!$B$6:$B$133,0)))</f>
        <v>0</v>
      </c>
    </row>
    <row r="34" spans="2:31" x14ac:dyDescent="0.35">
      <c r="B34" s="116" t="s">
        <v>3501</v>
      </c>
      <c r="C34" s="116" t="s">
        <v>3502</v>
      </c>
      <c r="D34" s="116" t="s">
        <v>3513</v>
      </c>
      <c r="E34" s="116" t="s">
        <v>16</v>
      </c>
      <c r="F34" s="116" t="s">
        <v>3504</v>
      </c>
      <c r="G34" s="116" t="s">
        <v>3405</v>
      </c>
      <c r="H34" s="120" t="str">
        <f>Settings!$B$3&amp;".mit.t2.effcp"</f>
        <v>egy.mit.t2.effcp</v>
      </c>
      <c r="L34" s="153">
        <f>IF($D$15="-",0,INDEX(CPAT_National!L$6:L$133,MATCH($G34&amp;"|"&amp;$D$15,CPAT_National!$B$6:$B$133,0)))</f>
        <v>0</v>
      </c>
      <c r="M34" s="153">
        <f>IF($D$15="-",0,INDEX(CPAT_National!M$6:M$133,MATCH($G34&amp;"|"&amp;$D$15,CPAT_National!$B$6:$B$133,0)))</f>
        <v>0</v>
      </c>
      <c r="N34" s="153">
        <f>IF($D$15="-",0,INDEX(CPAT_National!N$6:N$133,MATCH($G34&amp;"|"&amp;$D$15,CPAT_National!$B$6:$B$133,0)))</f>
        <v>0</v>
      </c>
      <c r="O34" s="153">
        <f>IF($D$15="-",0,INDEX(CPAT_National!O$6:O$133,MATCH($G34&amp;"|"&amp;$D$15,CPAT_National!$B$6:$B$133,0)))</f>
        <v>0</v>
      </c>
      <c r="P34" s="153">
        <f>IF($D$15="-",0,INDEX(CPAT_National!P$6:P$133,MATCH($G34&amp;"|"&amp;$D$15,CPAT_National!$B$6:$B$133,0)))</f>
        <v>0</v>
      </c>
      <c r="Q34" s="153">
        <f>IF($D$15="-",0,INDEX(CPAT_National!Q$6:Q$133,MATCH($G34&amp;"|"&amp;$D$15,CPAT_National!$B$6:$B$133,0)))</f>
        <v>0</v>
      </c>
      <c r="R34" s="153">
        <f>IF($D$15="-",0,INDEX(CPAT_National!R$6:R$133,MATCH($G34&amp;"|"&amp;$D$15,CPAT_National!$B$6:$B$133,0)))</f>
        <v>0</v>
      </c>
      <c r="S34" s="153">
        <f>IF($D$15="-",0,INDEX(CPAT_National!S$6:S$133,MATCH($G34&amp;"|"&amp;$D$15,CPAT_National!$B$6:$B$133,0)))</f>
        <v>0</v>
      </c>
      <c r="T34" s="153">
        <f>IF($D$15="-",0,INDEX(CPAT_National!T$6:T$133,MATCH($G34&amp;"|"&amp;$D$15,CPAT_National!$B$6:$B$133,0)))</f>
        <v>0</v>
      </c>
      <c r="U34" s="153">
        <f>IF($D$15="-",0,INDEX(CPAT_National!U$6:U$133,MATCH($G34&amp;"|"&amp;$D$15,CPAT_National!$B$6:$B$133,0)))</f>
        <v>0</v>
      </c>
      <c r="V34" s="153">
        <f>IF($D$15="-",0,INDEX(CPAT_National!V$6:V$133,MATCH($G34&amp;"|"&amp;$D$15,CPAT_National!$B$6:$B$133,0)))</f>
        <v>0</v>
      </c>
      <c r="W34" s="153">
        <f>IF($D$15="-",0,INDEX(CPAT_National!W$6:W$133,MATCH($G34&amp;"|"&amp;$D$15,CPAT_National!$B$6:$B$133,0)))</f>
        <v>0</v>
      </c>
      <c r="X34" s="153">
        <f>IF($D$15="-",0,INDEX(CPAT_National!X$6:X$133,MATCH($G34&amp;"|"&amp;$D$15,CPAT_National!$B$6:$B$133,0)))</f>
        <v>0</v>
      </c>
      <c r="Y34" s="153">
        <f>IF($D$15="-",0,INDEX(CPAT_National!Y$6:Y$133,MATCH($G34&amp;"|"&amp;$D$15,CPAT_National!$B$6:$B$133,0)))</f>
        <v>0</v>
      </c>
      <c r="Z34" s="153">
        <f>IF($D$15="-",0,INDEX(CPAT_National!Z$6:Z$133,MATCH($G34&amp;"|"&amp;$D$15,CPAT_National!$B$6:$B$133,0)))</f>
        <v>0</v>
      </c>
      <c r="AA34" s="153">
        <f>IF($D$15="-",0,INDEX(CPAT_National!AA$6:AA$133,MATCH($G34&amp;"|"&amp;$D$15,CPAT_National!$B$6:$B$133,0)))</f>
        <v>0</v>
      </c>
      <c r="AB34" s="153">
        <f>IF($D$15="-",0,INDEX(CPAT_National!AB$6:AB$133,MATCH($G34&amp;"|"&amp;$D$15,CPAT_National!$B$6:$B$133,0)))</f>
        <v>0</v>
      </c>
      <c r="AC34" s="153">
        <f>IF($D$15="-",0,INDEX(CPAT_National!AC$6:AC$133,MATCH($G34&amp;"|"&amp;$D$15,CPAT_National!$B$6:$B$133,0)))</f>
        <v>0</v>
      </c>
      <c r="AD34" s="153">
        <f>IF($D$15="-",0,INDEX(CPAT_National!AD$6:AD$133,MATCH($G34&amp;"|"&amp;$D$15,CPAT_National!$B$6:$B$133,0)))</f>
        <v>0</v>
      </c>
      <c r="AE34" s="153">
        <f>IF($D$15="-",0,INDEX(CPAT_National!AE$6:AE$133,MATCH($G34&amp;"|"&amp;$D$15,CPAT_National!$B$6:$B$133,0)))</f>
        <v>0</v>
      </c>
    </row>
    <row r="35" spans="2:31" x14ac:dyDescent="0.35">
      <c r="B35" s="116" t="s">
        <v>3501</v>
      </c>
      <c r="C35" s="116" t="s">
        <v>3502</v>
      </c>
      <c r="D35" s="116" t="s">
        <v>3514</v>
      </c>
      <c r="E35" s="116" t="s">
        <v>3435</v>
      </c>
      <c r="F35" s="116" t="s">
        <v>3504</v>
      </c>
      <c r="G35" s="116" t="s">
        <v>3472</v>
      </c>
      <c r="H35" s="120" t="str">
        <f>Settings!$B$3&amp;".mit.t2.rev1"</f>
        <v>egy.mit.t2.rev1</v>
      </c>
      <c r="L35" s="153">
        <f>IF($D$15="-",0,INDEX(CPAT_National!L$6:L$133,MATCH($G35&amp;"|"&amp;$D$15,CPAT_National!$B$6:$B$133,0)))</f>
        <v>0</v>
      </c>
      <c r="M35" s="153">
        <f>IF($D$15="-",0,INDEX(CPAT_National!M$6:M$133,MATCH($G35&amp;"|"&amp;$D$15,CPAT_National!$B$6:$B$133,0)))</f>
        <v>0</v>
      </c>
      <c r="N35" s="153">
        <f>IF($D$15="-",0,INDEX(CPAT_National!N$6:N$133,MATCH($G35&amp;"|"&amp;$D$15,CPAT_National!$B$6:$B$133,0)))</f>
        <v>0</v>
      </c>
      <c r="O35" s="153">
        <f>IF($D$15="-",0,INDEX(CPAT_National!O$6:O$133,MATCH($G35&amp;"|"&amp;$D$15,CPAT_National!$B$6:$B$133,0)))</f>
        <v>0</v>
      </c>
      <c r="P35" s="153">
        <f>IF($D$15="-",0,INDEX(CPAT_National!P$6:P$133,MATCH($G35&amp;"|"&amp;$D$15,CPAT_National!$B$6:$B$133,0)))</f>
        <v>0</v>
      </c>
      <c r="Q35" s="153">
        <f>IF($D$15="-",0,INDEX(CPAT_National!Q$6:Q$133,MATCH($G35&amp;"|"&amp;$D$15,CPAT_National!$B$6:$B$133,0)))</f>
        <v>0</v>
      </c>
      <c r="R35" s="153">
        <f>IF($D$15="-",0,INDEX(CPAT_National!R$6:R$133,MATCH($G35&amp;"|"&amp;$D$15,CPAT_National!$B$6:$B$133,0)))</f>
        <v>0</v>
      </c>
      <c r="S35" s="153">
        <f>IF($D$15="-",0,INDEX(CPAT_National!S$6:S$133,MATCH($G35&amp;"|"&amp;$D$15,CPAT_National!$B$6:$B$133,0)))</f>
        <v>0</v>
      </c>
      <c r="T35" s="153">
        <f>IF($D$15="-",0,INDEX(CPAT_National!T$6:T$133,MATCH($G35&amp;"|"&amp;$D$15,CPAT_National!$B$6:$B$133,0)))</f>
        <v>0</v>
      </c>
      <c r="U35" s="153">
        <f>IF($D$15="-",0,INDEX(CPAT_National!U$6:U$133,MATCH($G35&amp;"|"&amp;$D$15,CPAT_National!$B$6:$B$133,0)))</f>
        <v>0</v>
      </c>
      <c r="V35" s="153">
        <f>IF($D$15="-",0,INDEX(CPAT_National!V$6:V$133,MATCH($G35&amp;"|"&amp;$D$15,CPAT_National!$B$6:$B$133,0)))</f>
        <v>0</v>
      </c>
      <c r="W35" s="153">
        <f>IF($D$15="-",0,INDEX(CPAT_National!W$6:W$133,MATCH($G35&amp;"|"&amp;$D$15,CPAT_National!$B$6:$B$133,0)))</f>
        <v>0</v>
      </c>
      <c r="X35" s="153">
        <f>IF($D$15="-",0,INDEX(CPAT_National!X$6:X$133,MATCH($G35&amp;"|"&amp;$D$15,CPAT_National!$B$6:$B$133,0)))</f>
        <v>0</v>
      </c>
      <c r="Y35" s="153">
        <f>IF($D$15="-",0,INDEX(CPAT_National!Y$6:Y$133,MATCH($G35&amp;"|"&amp;$D$15,CPAT_National!$B$6:$B$133,0)))</f>
        <v>0</v>
      </c>
      <c r="Z35" s="153">
        <f>IF($D$15="-",0,INDEX(CPAT_National!Z$6:Z$133,MATCH($G35&amp;"|"&amp;$D$15,CPAT_National!$B$6:$B$133,0)))</f>
        <v>0</v>
      </c>
      <c r="AA35" s="153">
        <f>IF($D$15="-",0,INDEX(CPAT_National!AA$6:AA$133,MATCH($G35&amp;"|"&amp;$D$15,CPAT_National!$B$6:$B$133,0)))</f>
        <v>0</v>
      </c>
      <c r="AB35" s="153">
        <f>IF($D$15="-",0,INDEX(CPAT_National!AB$6:AB$133,MATCH($G35&amp;"|"&amp;$D$15,CPAT_National!$B$6:$B$133,0)))</f>
        <v>0</v>
      </c>
      <c r="AC35" s="153">
        <f>IF($D$15="-",0,INDEX(CPAT_National!AC$6:AC$133,MATCH($G35&amp;"|"&amp;$D$15,CPAT_National!$B$6:$B$133,0)))</f>
        <v>0</v>
      </c>
      <c r="AD35" s="153">
        <f>IF($D$15="-",0,INDEX(CPAT_National!AD$6:AD$133,MATCH($G35&amp;"|"&amp;$D$15,CPAT_National!$B$6:$B$133,0)))</f>
        <v>0</v>
      </c>
      <c r="AE35" s="153">
        <f>IF($D$15="-",0,INDEX(CPAT_National!AE$6:AE$133,MATCH($G35&amp;"|"&amp;$D$15,CPAT_National!$B$6:$B$133,0)))</f>
        <v>0</v>
      </c>
    </row>
    <row r="36" spans="2:31" x14ac:dyDescent="0.35">
      <c r="B36" s="116" t="s">
        <v>3501</v>
      </c>
      <c r="C36" s="116" t="s">
        <v>3502</v>
      </c>
      <c r="D36" s="116" t="s">
        <v>3515</v>
      </c>
      <c r="E36" s="116" t="s">
        <v>3435</v>
      </c>
      <c r="F36" s="116" t="s">
        <v>3504</v>
      </c>
      <c r="G36" s="116" t="s">
        <v>3478</v>
      </c>
      <c r="H36" s="120" t="str">
        <f>Settings!$B$3&amp;".mit.t2.rev2"</f>
        <v>egy.mit.t2.rev2</v>
      </c>
      <c r="L36" s="153">
        <f>IF($D$15="-",0,INDEX(CPAT_National!L$6:L$133,MATCH($G36&amp;"|"&amp;$D$15,CPAT_National!$B$6:$B$133,0)))</f>
        <v>0</v>
      </c>
      <c r="M36" s="153">
        <f>IF($D$15="-",0,INDEX(CPAT_National!M$6:M$133,MATCH($G36&amp;"|"&amp;$D$15,CPAT_National!$B$6:$B$133,0)))</f>
        <v>0</v>
      </c>
      <c r="N36" s="153">
        <f>IF($D$15="-",0,INDEX(CPAT_National!N$6:N$133,MATCH($G36&amp;"|"&amp;$D$15,CPAT_National!$B$6:$B$133,0)))</f>
        <v>0</v>
      </c>
      <c r="O36" s="153">
        <f>IF($D$15="-",0,INDEX(CPAT_National!O$6:O$133,MATCH($G36&amp;"|"&amp;$D$15,CPAT_National!$B$6:$B$133,0)))</f>
        <v>0</v>
      </c>
      <c r="P36" s="153">
        <f>IF($D$15="-",0,INDEX(CPAT_National!P$6:P$133,MATCH($G36&amp;"|"&amp;$D$15,CPAT_National!$B$6:$B$133,0)))</f>
        <v>0</v>
      </c>
      <c r="Q36" s="153">
        <f>IF($D$15="-",0,INDEX(CPAT_National!Q$6:Q$133,MATCH($G36&amp;"|"&amp;$D$15,CPAT_National!$B$6:$B$133,0)))</f>
        <v>0</v>
      </c>
      <c r="R36" s="153">
        <f>IF($D$15="-",0,INDEX(CPAT_National!R$6:R$133,MATCH($G36&amp;"|"&amp;$D$15,CPAT_National!$B$6:$B$133,0)))</f>
        <v>0</v>
      </c>
      <c r="S36" s="153">
        <f>IF($D$15="-",0,INDEX(CPAT_National!S$6:S$133,MATCH($G36&amp;"|"&amp;$D$15,CPAT_National!$B$6:$B$133,0)))</f>
        <v>0</v>
      </c>
      <c r="T36" s="153">
        <f>IF($D$15="-",0,INDEX(CPAT_National!T$6:T$133,MATCH($G36&amp;"|"&amp;$D$15,CPAT_National!$B$6:$B$133,0)))</f>
        <v>0</v>
      </c>
      <c r="U36" s="153">
        <f>IF($D$15="-",0,INDEX(CPAT_National!U$6:U$133,MATCH($G36&amp;"|"&amp;$D$15,CPAT_National!$B$6:$B$133,0)))</f>
        <v>0</v>
      </c>
      <c r="V36" s="153">
        <f>IF($D$15="-",0,INDEX(CPAT_National!V$6:V$133,MATCH($G36&amp;"|"&amp;$D$15,CPAT_National!$B$6:$B$133,0)))</f>
        <v>0</v>
      </c>
      <c r="W36" s="153">
        <f>IF($D$15="-",0,INDEX(CPAT_National!W$6:W$133,MATCH($G36&amp;"|"&amp;$D$15,CPAT_National!$B$6:$B$133,0)))</f>
        <v>0</v>
      </c>
      <c r="X36" s="153">
        <f>IF($D$15="-",0,INDEX(CPAT_National!X$6:X$133,MATCH($G36&amp;"|"&amp;$D$15,CPAT_National!$B$6:$B$133,0)))</f>
        <v>0</v>
      </c>
      <c r="Y36" s="153">
        <f>IF($D$15="-",0,INDEX(CPAT_National!Y$6:Y$133,MATCH($G36&amp;"|"&amp;$D$15,CPAT_National!$B$6:$B$133,0)))</f>
        <v>0</v>
      </c>
      <c r="Z36" s="153">
        <f>IF($D$15="-",0,INDEX(CPAT_National!Z$6:Z$133,MATCH($G36&amp;"|"&amp;$D$15,CPAT_National!$B$6:$B$133,0)))</f>
        <v>0</v>
      </c>
      <c r="AA36" s="153">
        <f>IF($D$15="-",0,INDEX(CPAT_National!AA$6:AA$133,MATCH($G36&amp;"|"&amp;$D$15,CPAT_National!$B$6:$B$133,0)))</f>
        <v>0</v>
      </c>
      <c r="AB36" s="153">
        <f>IF($D$15="-",0,INDEX(CPAT_National!AB$6:AB$133,MATCH($G36&amp;"|"&amp;$D$15,CPAT_National!$B$6:$B$133,0)))</f>
        <v>0</v>
      </c>
      <c r="AC36" s="153">
        <f>IF($D$15="-",0,INDEX(CPAT_National!AC$6:AC$133,MATCH($G36&amp;"|"&amp;$D$15,CPAT_National!$B$6:$B$133,0)))</f>
        <v>0</v>
      </c>
      <c r="AD36" s="153">
        <f>IF($D$15="-",0,INDEX(CPAT_National!AD$6:AD$133,MATCH($G36&amp;"|"&amp;$D$15,CPAT_National!$B$6:$B$133,0)))</f>
        <v>0</v>
      </c>
      <c r="AE36" s="153">
        <f>IF($D$15="-",0,INDEX(CPAT_National!AE$6:AE$133,MATCH($G36&amp;"|"&amp;$D$15,CPAT_National!$B$6:$B$133,0)))</f>
        <v>0</v>
      </c>
    </row>
    <row r="37" spans="2:31" x14ac:dyDescent="0.35">
      <c r="B37" s="116" t="s">
        <v>3501</v>
      </c>
      <c r="C37" s="116" t="s">
        <v>3502</v>
      </c>
      <c r="D37" s="116" t="s">
        <v>3516</v>
      </c>
      <c r="E37" s="116" t="s">
        <v>3435</v>
      </c>
      <c r="F37" s="116" t="s">
        <v>3504</v>
      </c>
      <c r="G37" s="116" t="s">
        <v>3436</v>
      </c>
      <c r="H37" s="120" t="str">
        <f>Settings!$B$3&amp;".mit.t2.rcoa"</f>
        <v>egy.mit.t2.rcoa</v>
      </c>
      <c r="L37" s="153">
        <f>IF($D$15="-",0,INDEX(CPAT_National!L$6:L$133,MATCH($G37&amp;"|"&amp;$D$15,CPAT_National!$B$6:$B$133,0)))</f>
        <v>0</v>
      </c>
      <c r="M37" s="153">
        <f>IF($D$15="-",0,INDEX(CPAT_National!M$6:M$133,MATCH($G37&amp;"|"&amp;$D$15,CPAT_National!$B$6:$B$133,0)))</f>
        <v>0</v>
      </c>
      <c r="N37" s="153">
        <f>IF($D$15="-",0,INDEX(CPAT_National!N$6:N$133,MATCH($G37&amp;"|"&amp;$D$15,CPAT_National!$B$6:$B$133,0)))</f>
        <v>0</v>
      </c>
      <c r="O37" s="153">
        <f>IF($D$15="-",0,INDEX(CPAT_National!O$6:O$133,MATCH($G37&amp;"|"&amp;$D$15,CPAT_National!$B$6:$B$133,0)))</f>
        <v>0</v>
      </c>
      <c r="P37" s="153">
        <f>IF($D$15="-",0,INDEX(CPAT_National!P$6:P$133,MATCH($G37&amp;"|"&amp;$D$15,CPAT_National!$B$6:$B$133,0)))</f>
        <v>0</v>
      </c>
      <c r="Q37" s="153">
        <f>IF($D$15="-",0,INDEX(CPAT_National!Q$6:Q$133,MATCH($G37&amp;"|"&amp;$D$15,CPAT_National!$B$6:$B$133,0)))</f>
        <v>0</v>
      </c>
      <c r="R37" s="153">
        <f>IF($D$15="-",0,INDEX(CPAT_National!R$6:R$133,MATCH($G37&amp;"|"&amp;$D$15,CPAT_National!$B$6:$B$133,0)))</f>
        <v>0</v>
      </c>
      <c r="S37" s="153">
        <f>IF($D$15="-",0,INDEX(CPAT_National!S$6:S$133,MATCH($G37&amp;"|"&amp;$D$15,CPAT_National!$B$6:$B$133,0)))</f>
        <v>0</v>
      </c>
      <c r="T37" s="153">
        <f>IF($D$15="-",0,INDEX(CPAT_National!T$6:T$133,MATCH($G37&amp;"|"&amp;$D$15,CPAT_National!$B$6:$B$133,0)))</f>
        <v>0</v>
      </c>
      <c r="U37" s="153">
        <f>IF($D$15="-",0,INDEX(CPAT_National!U$6:U$133,MATCH($G37&amp;"|"&amp;$D$15,CPAT_National!$B$6:$B$133,0)))</f>
        <v>0</v>
      </c>
      <c r="V37" s="153">
        <f>IF($D$15="-",0,INDEX(CPAT_National!V$6:V$133,MATCH($G37&amp;"|"&amp;$D$15,CPAT_National!$B$6:$B$133,0)))</f>
        <v>0</v>
      </c>
      <c r="W37" s="153">
        <f>IF($D$15="-",0,INDEX(CPAT_National!W$6:W$133,MATCH($G37&amp;"|"&amp;$D$15,CPAT_National!$B$6:$B$133,0)))</f>
        <v>0</v>
      </c>
      <c r="X37" s="153">
        <f>IF($D$15="-",0,INDEX(CPAT_National!X$6:X$133,MATCH($G37&amp;"|"&amp;$D$15,CPAT_National!$B$6:$B$133,0)))</f>
        <v>0</v>
      </c>
      <c r="Y37" s="153">
        <f>IF($D$15="-",0,INDEX(CPAT_National!Y$6:Y$133,MATCH($G37&amp;"|"&amp;$D$15,CPAT_National!$B$6:$B$133,0)))</f>
        <v>0</v>
      </c>
      <c r="Z37" s="153">
        <f>IF($D$15="-",0,INDEX(CPAT_National!Z$6:Z$133,MATCH($G37&amp;"|"&amp;$D$15,CPAT_National!$B$6:$B$133,0)))</f>
        <v>0</v>
      </c>
      <c r="AA37" s="153">
        <f>IF($D$15="-",0,INDEX(CPAT_National!AA$6:AA$133,MATCH($G37&amp;"|"&amp;$D$15,CPAT_National!$B$6:$B$133,0)))</f>
        <v>0</v>
      </c>
      <c r="AB37" s="153">
        <f>IF($D$15="-",0,INDEX(CPAT_National!AB$6:AB$133,MATCH($G37&amp;"|"&amp;$D$15,CPAT_National!$B$6:$B$133,0)))</f>
        <v>0</v>
      </c>
      <c r="AC37" s="153">
        <f>IF($D$15="-",0,INDEX(CPAT_National!AC$6:AC$133,MATCH($G37&amp;"|"&amp;$D$15,CPAT_National!$B$6:$B$133,0)))</f>
        <v>0</v>
      </c>
      <c r="AD37" s="153">
        <f>IF($D$15="-",0,INDEX(CPAT_National!AD$6:AD$133,MATCH($G37&amp;"|"&amp;$D$15,CPAT_National!$B$6:$B$133,0)))</f>
        <v>0</v>
      </c>
      <c r="AE37" s="153">
        <f>IF($D$15="-",0,INDEX(CPAT_National!AE$6:AE$133,MATCH($G37&amp;"|"&amp;$D$15,CPAT_National!$B$6:$B$133,0)))</f>
        <v>0</v>
      </c>
    </row>
    <row r="38" spans="2:31" x14ac:dyDescent="0.35">
      <c r="B38" s="116" t="s">
        <v>3501</v>
      </c>
      <c r="C38" s="116" t="s">
        <v>3502</v>
      </c>
      <c r="D38" s="116" t="s">
        <v>3517</v>
      </c>
      <c r="E38" s="116" t="s">
        <v>3435</v>
      </c>
      <c r="F38" s="116" t="s">
        <v>3504</v>
      </c>
      <c r="G38" s="116" t="s">
        <v>3442</v>
      </c>
      <c r="H38" s="120" t="str">
        <f>Settings!$B$3&amp;".mit.t2.rdie"</f>
        <v>egy.mit.t2.rdie</v>
      </c>
      <c r="L38" s="153">
        <f>IF($D$15="-",0,INDEX(CPAT_National!L$6:L$133,MATCH($G38&amp;"|"&amp;$D$15,CPAT_National!$B$6:$B$133,0)))</f>
        <v>0</v>
      </c>
      <c r="M38" s="153">
        <f>IF($D$15="-",0,INDEX(CPAT_National!M$6:M$133,MATCH($G38&amp;"|"&amp;$D$15,CPAT_National!$B$6:$B$133,0)))</f>
        <v>0</v>
      </c>
      <c r="N38" s="153">
        <f>IF($D$15="-",0,INDEX(CPAT_National!N$6:N$133,MATCH($G38&amp;"|"&amp;$D$15,CPAT_National!$B$6:$B$133,0)))</f>
        <v>0</v>
      </c>
      <c r="O38" s="153">
        <f>IF($D$15="-",0,INDEX(CPAT_National!O$6:O$133,MATCH($G38&amp;"|"&amp;$D$15,CPAT_National!$B$6:$B$133,0)))</f>
        <v>0</v>
      </c>
      <c r="P38" s="153">
        <f>IF($D$15="-",0,INDEX(CPAT_National!P$6:P$133,MATCH($G38&amp;"|"&amp;$D$15,CPAT_National!$B$6:$B$133,0)))</f>
        <v>0</v>
      </c>
      <c r="Q38" s="153">
        <f>IF($D$15="-",0,INDEX(CPAT_National!Q$6:Q$133,MATCH($G38&amp;"|"&amp;$D$15,CPAT_National!$B$6:$B$133,0)))</f>
        <v>0</v>
      </c>
      <c r="R38" s="153">
        <f>IF($D$15="-",0,INDEX(CPAT_National!R$6:R$133,MATCH($G38&amp;"|"&amp;$D$15,CPAT_National!$B$6:$B$133,0)))</f>
        <v>0</v>
      </c>
      <c r="S38" s="153">
        <f>IF($D$15="-",0,INDEX(CPAT_National!S$6:S$133,MATCH($G38&amp;"|"&amp;$D$15,CPAT_National!$B$6:$B$133,0)))</f>
        <v>0</v>
      </c>
      <c r="T38" s="153">
        <f>IF($D$15="-",0,INDEX(CPAT_National!T$6:T$133,MATCH($G38&amp;"|"&amp;$D$15,CPAT_National!$B$6:$B$133,0)))</f>
        <v>0</v>
      </c>
      <c r="U38" s="153">
        <f>IF($D$15="-",0,INDEX(CPAT_National!U$6:U$133,MATCH($G38&amp;"|"&amp;$D$15,CPAT_National!$B$6:$B$133,0)))</f>
        <v>0</v>
      </c>
      <c r="V38" s="153">
        <f>IF($D$15="-",0,INDEX(CPAT_National!V$6:V$133,MATCH($G38&amp;"|"&amp;$D$15,CPAT_National!$B$6:$B$133,0)))</f>
        <v>0</v>
      </c>
      <c r="W38" s="153">
        <f>IF($D$15="-",0,INDEX(CPAT_National!W$6:W$133,MATCH($G38&amp;"|"&amp;$D$15,CPAT_National!$B$6:$B$133,0)))</f>
        <v>0</v>
      </c>
      <c r="X38" s="153">
        <f>IF($D$15="-",0,INDEX(CPAT_National!X$6:X$133,MATCH($G38&amp;"|"&amp;$D$15,CPAT_National!$B$6:$B$133,0)))</f>
        <v>0</v>
      </c>
      <c r="Y38" s="153">
        <f>IF($D$15="-",0,INDEX(CPAT_National!Y$6:Y$133,MATCH($G38&amp;"|"&amp;$D$15,CPAT_National!$B$6:$B$133,0)))</f>
        <v>0</v>
      </c>
      <c r="Z38" s="153">
        <f>IF($D$15="-",0,INDEX(CPAT_National!Z$6:Z$133,MATCH($G38&amp;"|"&amp;$D$15,CPAT_National!$B$6:$B$133,0)))</f>
        <v>0</v>
      </c>
      <c r="AA38" s="153">
        <f>IF($D$15="-",0,INDEX(CPAT_National!AA$6:AA$133,MATCH($G38&amp;"|"&amp;$D$15,CPAT_National!$B$6:$B$133,0)))</f>
        <v>0</v>
      </c>
      <c r="AB38" s="153">
        <f>IF($D$15="-",0,INDEX(CPAT_National!AB$6:AB$133,MATCH($G38&amp;"|"&amp;$D$15,CPAT_National!$B$6:$B$133,0)))</f>
        <v>0</v>
      </c>
      <c r="AC38" s="153">
        <f>IF($D$15="-",0,INDEX(CPAT_National!AC$6:AC$133,MATCH($G38&amp;"|"&amp;$D$15,CPAT_National!$B$6:$B$133,0)))</f>
        <v>0</v>
      </c>
      <c r="AD38" s="153">
        <f>IF($D$15="-",0,INDEX(CPAT_National!AD$6:AD$133,MATCH($G38&amp;"|"&amp;$D$15,CPAT_National!$B$6:$B$133,0)))</f>
        <v>0</v>
      </c>
      <c r="AE38" s="153">
        <f>IF($D$15="-",0,INDEX(CPAT_National!AE$6:AE$133,MATCH($G38&amp;"|"&amp;$D$15,CPAT_National!$B$6:$B$133,0)))</f>
        <v>0</v>
      </c>
    </row>
    <row r="39" spans="2:31" x14ac:dyDescent="0.35">
      <c r="B39" s="116" t="s">
        <v>3501</v>
      </c>
      <c r="C39" s="116" t="s">
        <v>3502</v>
      </c>
      <c r="D39" s="116" t="s">
        <v>3518</v>
      </c>
      <c r="E39" s="116" t="s">
        <v>3435</v>
      </c>
      <c r="F39" s="116" t="s">
        <v>3504</v>
      </c>
      <c r="G39" s="116" t="s">
        <v>3448</v>
      </c>
      <c r="H39" s="120" t="str">
        <f>Settings!$B$3&amp;".mit.t2.rgso"</f>
        <v>egy.mit.t2.rgso</v>
      </c>
      <c r="L39" s="153">
        <f>IF($D$15="-",0,INDEX(CPAT_National!L$6:L$133,MATCH($G39&amp;"|"&amp;$D$15,CPAT_National!$B$6:$B$133,0)))</f>
        <v>0</v>
      </c>
      <c r="M39" s="153">
        <f>IF($D$15="-",0,INDEX(CPAT_National!M$6:M$133,MATCH($G39&amp;"|"&amp;$D$15,CPAT_National!$B$6:$B$133,0)))</f>
        <v>0</v>
      </c>
      <c r="N39" s="153">
        <f>IF($D$15="-",0,INDEX(CPAT_National!N$6:N$133,MATCH($G39&amp;"|"&amp;$D$15,CPAT_National!$B$6:$B$133,0)))</f>
        <v>0</v>
      </c>
      <c r="O39" s="153">
        <f>IF($D$15="-",0,INDEX(CPAT_National!O$6:O$133,MATCH($G39&amp;"|"&amp;$D$15,CPAT_National!$B$6:$B$133,0)))</f>
        <v>0</v>
      </c>
      <c r="P39" s="153">
        <f>IF($D$15="-",0,INDEX(CPAT_National!P$6:P$133,MATCH($G39&amp;"|"&amp;$D$15,CPAT_National!$B$6:$B$133,0)))</f>
        <v>0</v>
      </c>
      <c r="Q39" s="153">
        <f>IF($D$15="-",0,INDEX(CPAT_National!Q$6:Q$133,MATCH($G39&amp;"|"&amp;$D$15,CPAT_National!$B$6:$B$133,0)))</f>
        <v>0</v>
      </c>
      <c r="R39" s="153">
        <f>IF($D$15="-",0,INDEX(CPAT_National!R$6:R$133,MATCH($G39&amp;"|"&amp;$D$15,CPAT_National!$B$6:$B$133,0)))</f>
        <v>0</v>
      </c>
      <c r="S39" s="153">
        <f>IF($D$15="-",0,INDEX(CPAT_National!S$6:S$133,MATCH($G39&amp;"|"&amp;$D$15,CPAT_National!$B$6:$B$133,0)))</f>
        <v>0</v>
      </c>
      <c r="T39" s="153">
        <f>IF($D$15="-",0,INDEX(CPAT_National!T$6:T$133,MATCH($G39&amp;"|"&amp;$D$15,CPAT_National!$B$6:$B$133,0)))</f>
        <v>0</v>
      </c>
      <c r="U39" s="153">
        <f>IF($D$15="-",0,INDEX(CPAT_National!U$6:U$133,MATCH($G39&amp;"|"&amp;$D$15,CPAT_National!$B$6:$B$133,0)))</f>
        <v>0</v>
      </c>
      <c r="V39" s="153">
        <f>IF($D$15="-",0,INDEX(CPAT_National!V$6:V$133,MATCH($G39&amp;"|"&amp;$D$15,CPAT_National!$B$6:$B$133,0)))</f>
        <v>0</v>
      </c>
      <c r="W39" s="153">
        <f>IF($D$15="-",0,INDEX(CPAT_National!W$6:W$133,MATCH($G39&amp;"|"&amp;$D$15,CPAT_National!$B$6:$B$133,0)))</f>
        <v>0</v>
      </c>
      <c r="X39" s="153">
        <f>IF($D$15="-",0,INDEX(CPAT_National!X$6:X$133,MATCH($G39&amp;"|"&amp;$D$15,CPAT_National!$B$6:$B$133,0)))</f>
        <v>0</v>
      </c>
      <c r="Y39" s="153">
        <f>IF($D$15="-",0,INDEX(CPAT_National!Y$6:Y$133,MATCH($G39&amp;"|"&amp;$D$15,CPAT_National!$B$6:$B$133,0)))</f>
        <v>0</v>
      </c>
      <c r="Z39" s="153">
        <f>IF($D$15="-",0,INDEX(CPAT_National!Z$6:Z$133,MATCH($G39&amp;"|"&amp;$D$15,CPAT_National!$B$6:$B$133,0)))</f>
        <v>0</v>
      </c>
      <c r="AA39" s="153">
        <f>IF($D$15="-",0,INDEX(CPAT_National!AA$6:AA$133,MATCH($G39&amp;"|"&amp;$D$15,CPAT_National!$B$6:$B$133,0)))</f>
        <v>0</v>
      </c>
      <c r="AB39" s="153">
        <f>IF($D$15="-",0,INDEX(CPAT_National!AB$6:AB$133,MATCH($G39&amp;"|"&amp;$D$15,CPAT_National!$B$6:$B$133,0)))</f>
        <v>0</v>
      </c>
      <c r="AC39" s="153">
        <f>IF($D$15="-",0,INDEX(CPAT_National!AC$6:AC$133,MATCH($G39&amp;"|"&amp;$D$15,CPAT_National!$B$6:$B$133,0)))</f>
        <v>0</v>
      </c>
      <c r="AD39" s="153">
        <f>IF($D$15="-",0,INDEX(CPAT_National!AD$6:AD$133,MATCH($G39&amp;"|"&amp;$D$15,CPAT_National!$B$6:$B$133,0)))</f>
        <v>0</v>
      </c>
      <c r="AE39" s="153">
        <f>IF($D$15="-",0,INDEX(CPAT_National!AE$6:AE$133,MATCH($G39&amp;"|"&amp;$D$15,CPAT_National!$B$6:$B$133,0)))</f>
        <v>0</v>
      </c>
    </row>
    <row r="40" spans="2:31" x14ac:dyDescent="0.35">
      <c r="B40" s="116" t="s">
        <v>3501</v>
      </c>
      <c r="C40" s="116" t="s">
        <v>3502</v>
      </c>
      <c r="D40" s="116" t="s">
        <v>3519</v>
      </c>
      <c r="E40" s="116" t="s">
        <v>3435</v>
      </c>
      <c r="F40" s="116" t="s">
        <v>3504</v>
      </c>
      <c r="G40" s="116" t="s">
        <v>3454</v>
      </c>
      <c r="H40" s="120" t="str">
        <f>Settings!$B$3&amp;".mit.t2.rlpk"</f>
        <v>egy.mit.t2.rlpk</v>
      </c>
      <c r="L40" s="153">
        <f>IF($D$15="-",0,INDEX(CPAT_National!L$6:L$133,MATCH($G40&amp;"|"&amp;$D$15,CPAT_National!$B$6:$B$133,0)))</f>
        <v>0</v>
      </c>
      <c r="M40" s="153">
        <f>IF($D$15="-",0,INDEX(CPAT_National!M$6:M$133,MATCH($G40&amp;"|"&amp;$D$15,CPAT_National!$B$6:$B$133,0)))</f>
        <v>0</v>
      </c>
      <c r="N40" s="153">
        <f>IF($D$15="-",0,INDEX(CPAT_National!N$6:N$133,MATCH($G40&amp;"|"&amp;$D$15,CPAT_National!$B$6:$B$133,0)))</f>
        <v>0</v>
      </c>
      <c r="O40" s="153">
        <f>IF($D$15="-",0,INDEX(CPAT_National!O$6:O$133,MATCH($G40&amp;"|"&amp;$D$15,CPAT_National!$B$6:$B$133,0)))</f>
        <v>0</v>
      </c>
      <c r="P40" s="153">
        <f>IF($D$15="-",0,INDEX(CPAT_National!P$6:P$133,MATCH($G40&amp;"|"&amp;$D$15,CPAT_National!$B$6:$B$133,0)))</f>
        <v>0</v>
      </c>
      <c r="Q40" s="153">
        <f>IF($D$15="-",0,INDEX(CPAT_National!Q$6:Q$133,MATCH($G40&amp;"|"&amp;$D$15,CPAT_National!$B$6:$B$133,0)))</f>
        <v>0</v>
      </c>
      <c r="R40" s="153">
        <f>IF($D$15="-",0,INDEX(CPAT_National!R$6:R$133,MATCH($G40&amp;"|"&amp;$D$15,CPAT_National!$B$6:$B$133,0)))</f>
        <v>0</v>
      </c>
      <c r="S40" s="153">
        <f>IF($D$15="-",0,INDEX(CPAT_National!S$6:S$133,MATCH($G40&amp;"|"&amp;$D$15,CPAT_National!$B$6:$B$133,0)))</f>
        <v>0</v>
      </c>
      <c r="T40" s="153">
        <f>IF($D$15="-",0,INDEX(CPAT_National!T$6:T$133,MATCH($G40&amp;"|"&amp;$D$15,CPAT_National!$B$6:$B$133,0)))</f>
        <v>0</v>
      </c>
      <c r="U40" s="153">
        <f>IF($D$15="-",0,INDEX(CPAT_National!U$6:U$133,MATCH($G40&amp;"|"&amp;$D$15,CPAT_National!$B$6:$B$133,0)))</f>
        <v>0</v>
      </c>
      <c r="V40" s="153">
        <f>IF($D$15="-",0,INDEX(CPAT_National!V$6:V$133,MATCH($G40&amp;"|"&amp;$D$15,CPAT_National!$B$6:$B$133,0)))</f>
        <v>0</v>
      </c>
      <c r="W40" s="153">
        <f>IF($D$15="-",0,INDEX(CPAT_National!W$6:W$133,MATCH($G40&amp;"|"&amp;$D$15,CPAT_National!$B$6:$B$133,0)))</f>
        <v>0</v>
      </c>
      <c r="X40" s="153">
        <f>IF($D$15="-",0,INDEX(CPAT_National!X$6:X$133,MATCH($G40&amp;"|"&amp;$D$15,CPAT_National!$B$6:$B$133,0)))</f>
        <v>0</v>
      </c>
      <c r="Y40" s="153">
        <f>IF($D$15="-",0,INDEX(CPAT_National!Y$6:Y$133,MATCH($G40&amp;"|"&amp;$D$15,CPAT_National!$B$6:$B$133,0)))</f>
        <v>0</v>
      </c>
      <c r="Z40" s="153">
        <f>IF($D$15="-",0,INDEX(CPAT_National!Z$6:Z$133,MATCH($G40&amp;"|"&amp;$D$15,CPAT_National!$B$6:$B$133,0)))</f>
        <v>0</v>
      </c>
      <c r="AA40" s="153">
        <f>IF($D$15="-",0,INDEX(CPAT_National!AA$6:AA$133,MATCH($G40&amp;"|"&amp;$D$15,CPAT_National!$B$6:$B$133,0)))</f>
        <v>0</v>
      </c>
      <c r="AB40" s="153">
        <f>IF($D$15="-",0,INDEX(CPAT_National!AB$6:AB$133,MATCH($G40&amp;"|"&amp;$D$15,CPAT_National!$B$6:$B$133,0)))</f>
        <v>0</v>
      </c>
      <c r="AC40" s="153">
        <f>IF($D$15="-",0,INDEX(CPAT_National!AC$6:AC$133,MATCH($G40&amp;"|"&amp;$D$15,CPAT_National!$B$6:$B$133,0)))</f>
        <v>0</v>
      </c>
      <c r="AD40" s="153">
        <f>IF($D$15="-",0,INDEX(CPAT_National!AD$6:AD$133,MATCH($G40&amp;"|"&amp;$D$15,CPAT_National!$B$6:$B$133,0)))</f>
        <v>0</v>
      </c>
      <c r="AE40" s="153">
        <f>IF($D$15="-",0,INDEX(CPAT_National!AE$6:AE$133,MATCH($G40&amp;"|"&amp;$D$15,CPAT_National!$B$6:$B$133,0)))</f>
        <v>0</v>
      </c>
    </row>
    <row r="41" spans="2:31" x14ac:dyDescent="0.35">
      <c r="B41" s="116" t="s">
        <v>3501</v>
      </c>
      <c r="C41" s="116" t="s">
        <v>3502</v>
      </c>
      <c r="D41" s="116" t="s">
        <v>3520</v>
      </c>
      <c r="E41" s="116" t="s">
        <v>3435</v>
      </c>
      <c r="F41" s="116" t="s">
        <v>3504</v>
      </c>
      <c r="G41" s="116" t="s">
        <v>3460</v>
      </c>
      <c r="H41" s="120" t="str">
        <f>Settings!$B$3&amp;".mit.t2.rnga"</f>
        <v>egy.mit.t2.rnga</v>
      </c>
      <c r="L41" s="153">
        <f>IF($D$15="-",0,INDEX(CPAT_National!L$6:L$133,MATCH($G41&amp;"|"&amp;$D$15,CPAT_National!$B$6:$B$133,0)))</f>
        <v>0</v>
      </c>
      <c r="M41" s="153">
        <f>IF($D$15="-",0,INDEX(CPAT_National!M$6:M$133,MATCH($G41&amp;"|"&amp;$D$15,CPAT_National!$B$6:$B$133,0)))</f>
        <v>0</v>
      </c>
      <c r="N41" s="153">
        <f>IF($D$15="-",0,INDEX(CPAT_National!N$6:N$133,MATCH($G41&amp;"|"&amp;$D$15,CPAT_National!$B$6:$B$133,0)))</f>
        <v>0</v>
      </c>
      <c r="O41" s="153">
        <f>IF($D$15="-",0,INDEX(CPAT_National!O$6:O$133,MATCH($G41&amp;"|"&amp;$D$15,CPAT_National!$B$6:$B$133,0)))</f>
        <v>0</v>
      </c>
      <c r="P41" s="153">
        <f>IF($D$15="-",0,INDEX(CPAT_National!P$6:P$133,MATCH($G41&amp;"|"&amp;$D$15,CPAT_National!$B$6:$B$133,0)))</f>
        <v>0</v>
      </c>
      <c r="Q41" s="153">
        <f>IF($D$15="-",0,INDEX(CPAT_National!Q$6:Q$133,MATCH($G41&amp;"|"&amp;$D$15,CPAT_National!$B$6:$B$133,0)))</f>
        <v>0</v>
      </c>
      <c r="R41" s="153">
        <f>IF($D$15="-",0,INDEX(CPAT_National!R$6:R$133,MATCH($G41&amp;"|"&amp;$D$15,CPAT_National!$B$6:$B$133,0)))</f>
        <v>0</v>
      </c>
      <c r="S41" s="153">
        <f>IF($D$15="-",0,INDEX(CPAT_National!S$6:S$133,MATCH($G41&amp;"|"&amp;$D$15,CPAT_National!$B$6:$B$133,0)))</f>
        <v>0</v>
      </c>
      <c r="T41" s="153">
        <f>IF($D$15="-",0,INDEX(CPAT_National!T$6:T$133,MATCH($G41&amp;"|"&amp;$D$15,CPAT_National!$B$6:$B$133,0)))</f>
        <v>0</v>
      </c>
      <c r="U41" s="153">
        <f>IF($D$15="-",0,INDEX(CPAT_National!U$6:U$133,MATCH($G41&amp;"|"&amp;$D$15,CPAT_National!$B$6:$B$133,0)))</f>
        <v>0</v>
      </c>
      <c r="V41" s="153">
        <f>IF($D$15="-",0,INDEX(CPAT_National!V$6:V$133,MATCH($G41&amp;"|"&amp;$D$15,CPAT_National!$B$6:$B$133,0)))</f>
        <v>0</v>
      </c>
      <c r="W41" s="153">
        <f>IF($D$15="-",0,INDEX(CPAT_National!W$6:W$133,MATCH($G41&amp;"|"&amp;$D$15,CPAT_National!$B$6:$B$133,0)))</f>
        <v>0</v>
      </c>
      <c r="X41" s="153">
        <f>IF($D$15="-",0,INDEX(CPAT_National!X$6:X$133,MATCH($G41&amp;"|"&amp;$D$15,CPAT_National!$B$6:$B$133,0)))</f>
        <v>0</v>
      </c>
      <c r="Y41" s="153">
        <f>IF($D$15="-",0,INDEX(CPAT_National!Y$6:Y$133,MATCH($G41&amp;"|"&amp;$D$15,CPAT_National!$B$6:$B$133,0)))</f>
        <v>0</v>
      </c>
      <c r="Z41" s="153">
        <f>IF($D$15="-",0,INDEX(CPAT_National!Z$6:Z$133,MATCH($G41&amp;"|"&amp;$D$15,CPAT_National!$B$6:$B$133,0)))</f>
        <v>0</v>
      </c>
      <c r="AA41" s="153">
        <f>IF($D$15="-",0,INDEX(CPAT_National!AA$6:AA$133,MATCH($G41&amp;"|"&amp;$D$15,CPAT_National!$B$6:$B$133,0)))</f>
        <v>0</v>
      </c>
      <c r="AB41" s="153">
        <f>IF($D$15="-",0,INDEX(CPAT_National!AB$6:AB$133,MATCH($G41&amp;"|"&amp;$D$15,CPAT_National!$B$6:$B$133,0)))</f>
        <v>0</v>
      </c>
      <c r="AC41" s="153">
        <f>IF($D$15="-",0,INDEX(CPAT_National!AC$6:AC$133,MATCH($G41&amp;"|"&amp;$D$15,CPAT_National!$B$6:$B$133,0)))</f>
        <v>0</v>
      </c>
      <c r="AD41" s="153">
        <f>IF($D$15="-",0,INDEX(CPAT_National!AD$6:AD$133,MATCH($G41&amp;"|"&amp;$D$15,CPAT_National!$B$6:$B$133,0)))</f>
        <v>0</v>
      </c>
      <c r="AE41" s="153">
        <f>IF($D$15="-",0,INDEX(CPAT_National!AE$6:AE$133,MATCH($G41&amp;"|"&amp;$D$15,CPAT_National!$B$6:$B$133,0)))</f>
        <v>0</v>
      </c>
    </row>
    <row r="42" spans="2:31" x14ac:dyDescent="0.35">
      <c r="B42" s="116" t="s">
        <v>3501</v>
      </c>
      <c r="C42" s="116" t="s">
        <v>3502</v>
      </c>
      <c r="D42" s="116" t="s">
        <v>3521</v>
      </c>
      <c r="E42" s="116" t="s">
        <v>3435</v>
      </c>
      <c r="F42" s="116" t="s">
        <v>3504</v>
      </c>
      <c r="G42" s="116" t="s">
        <v>3466</v>
      </c>
      <c r="H42" s="120" t="str">
        <f>Settings!$B$3&amp;".mit.t2.roil"</f>
        <v>egy.mit.t2.roil</v>
      </c>
      <c r="L42" s="153">
        <f>IF($D$15="-",0,INDEX(CPAT_National!L$6:L$133,MATCH($G42&amp;"|"&amp;$D$15,CPAT_National!$B$6:$B$133,0)))</f>
        <v>0</v>
      </c>
      <c r="M42" s="153">
        <f>IF($D$15="-",0,INDEX(CPAT_National!M$6:M$133,MATCH($G42&amp;"|"&amp;$D$15,CPAT_National!$B$6:$B$133,0)))</f>
        <v>0</v>
      </c>
      <c r="N42" s="153">
        <f>IF($D$15="-",0,INDEX(CPAT_National!N$6:N$133,MATCH($G42&amp;"|"&amp;$D$15,CPAT_National!$B$6:$B$133,0)))</f>
        <v>0</v>
      </c>
      <c r="O42" s="153">
        <f>IF($D$15="-",0,INDEX(CPAT_National!O$6:O$133,MATCH($G42&amp;"|"&amp;$D$15,CPAT_National!$B$6:$B$133,0)))</f>
        <v>0</v>
      </c>
      <c r="P42" s="153">
        <f>IF($D$15="-",0,INDEX(CPAT_National!P$6:P$133,MATCH($G42&amp;"|"&amp;$D$15,CPAT_National!$B$6:$B$133,0)))</f>
        <v>0</v>
      </c>
      <c r="Q42" s="153">
        <f>IF($D$15="-",0,INDEX(CPAT_National!Q$6:Q$133,MATCH($G42&amp;"|"&amp;$D$15,CPAT_National!$B$6:$B$133,0)))</f>
        <v>0</v>
      </c>
      <c r="R42" s="153">
        <f>IF($D$15="-",0,INDEX(CPAT_National!R$6:R$133,MATCH($G42&amp;"|"&amp;$D$15,CPAT_National!$B$6:$B$133,0)))</f>
        <v>0</v>
      </c>
      <c r="S42" s="153">
        <f>IF($D$15="-",0,INDEX(CPAT_National!S$6:S$133,MATCH($G42&amp;"|"&amp;$D$15,CPAT_National!$B$6:$B$133,0)))</f>
        <v>0</v>
      </c>
      <c r="T42" s="153">
        <f>IF($D$15="-",0,INDEX(CPAT_National!T$6:T$133,MATCH($G42&amp;"|"&amp;$D$15,CPAT_National!$B$6:$B$133,0)))</f>
        <v>0</v>
      </c>
      <c r="U42" s="153">
        <f>IF($D$15="-",0,INDEX(CPAT_National!U$6:U$133,MATCH($G42&amp;"|"&amp;$D$15,CPAT_National!$B$6:$B$133,0)))</f>
        <v>0</v>
      </c>
      <c r="V42" s="153">
        <f>IF($D$15="-",0,INDEX(CPAT_National!V$6:V$133,MATCH($G42&amp;"|"&amp;$D$15,CPAT_National!$B$6:$B$133,0)))</f>
        <v>0</v>
      </c>
      <c r="W42" s="153">
        <f>IF($D$15="-",0,INDEX(CPAT_National!W$6:W$133,MATCH($G42&amp;"|"&amp;$D$15,CPAT_National!$B$6:$B$133,0)))</f>
        <v>0</v>
      </c>
      <c r="X42" s="153">
        <f>IF($D$15="-",0,INDEX(CPAT_National!X$6:X$133,MATCH($G42&amp;"|"&amp;$D$15,CPAT_National!$B$6:$B$133,0)))</f>
        <v>0</v>
      </c>
      <c r="Y42" s="153">
        <f>IF($D$15="-",0,INDEX(CPAT_National!Y$6:Y$133,MATCH($G42&amp;"|"&amp;$D$15,CPAT_National!$B$6:$B$133,0)))</f>
        <v>0</v>
      </c>
      <c r="Z42" s="153">
        <f>IF($D$15="-",0,INDEX(CPAT_National!Z$6:Z$133,MATCH($G42&amp;"|"&amp;$D$15,CPAT_National!$B$6:$B$133,0)))</f>
        <v>0</v>
      </c>
      <c r="AA42" s="153">
        <f>IF($D$15="-",0,INDEX(CPAT_National!AA$6:AA$133,MATCH($G42&amp;"|"&amp;$D$15,CPAT_National!$B$6:$B$133,0)))</f>
        <v>0</v>
      </c>
      <c r="AB42" s="153">
        <f>IF($D$15="-",0,INDEX(CPAT_National!AB$6:AB$133,MATCH($G42&amp;"|"&amp;$D$15,CPAT_National!$B$6:$B$133,0)))</f>
        <v>0</v>
      </c>
      <c r="AC42" s="153">
        <f>IF($D$15="-",0,INDEX(CPAT_National!AC$6:AC$133,MATCH($G42&amp;"|"&amp;$D$15,CPAT_National!$B$6:$B$133,0)))</f>
        <v>0</v>
      </c>
      <c r="AD42" s="153">
        <f>IF($D$15="-",0,INDEX(CPAT_National!AD$6:AD$133,MATCH($G42&amp;"|"&amp;$D$15,CPAT_National!$B$6:$B$133,0)))</f>
        <v>0</v>
      </c>
      <c r="AE42" s="153">
        <f>IF($D$15="-",0,INDEX(CPAT_National!AE$6:AE$133,MATCH($G42&amp;"|"&amp;$D$15,CPAT_National!$B$6:$B$133,0)))</f>
        <v>0</v>
      </c>
    </row>
    <row r="43" spans="2:31" x14ac:dyDescent="0.35">
      <c r="B43" s="116" t="s">
        <v>3501</v>
      </c>
      <c r="C43" s="116" t="s">
        <v>3502</v>
      </c>
      <c r="D43" s="116" t="s">
        <v>3522</v>
      </c>
      <c r="E43" s="116" t="s">
        <v>3289</v>
      </c>
      <c r="F43" s="116" t="s">
        <v>3504</v>
      </c>
      <c r="G43" s="116" t="s">
        <v>3291</v>
      </c>
      <c r="H43" s="120" t="str">
        <f>Settings!$B$3&amp;".mit.t2.d2464"</f>
        <v>egy.mit.t2.d2464</v>
      </c>
      <c r="L43" s="153">
        <f>IF($D$15="-",0,INDEX(CPAT_National!L$6:L$133,MATCH($G43&amp;"|"&amp;$D$15,CPAT_National!$B$6:$B$133,0)))</f>
        <v>0</v>
      </c>
      <c r="M43" s="153">
        <f>IF($D$15="-",0,INDEX(CPAT_National!M$6:M$133,MATCH($G43&amp;"|"&amp;$D$15,CPAT_National!$B$6:$B$133,0)))</f>
        <v>0</v>
      </c>
      <c r="N43" s="153">
        <f>IF($D$15="-",0,INDEX(CPAT_National!N$6:N$133,MATCH($G43&amp;"|"&amp;$D$15,CPAT_National!$B$6:$B$133,0)))</f>
        <v>0</v>
      </c>
      <c r="O43" s="153">
        <f>IF($D$15="-",0,INDEX(CPAT_National!O$6:O$133,MATCH($G43&amp;"|"&amp;$D$15,CPAT_National!$B$6:$B$133,0)))</f>
        <v>0</v>
      </c>
      <c r="P43" s="153">
        <f>IF($D$15="-",0,INDEX(CPAT_National!P$6:P$133,MATCH($G43&amp;"|"&amp;$D$15,CPAT_National!$B$6:$B$133,0)))</f>
        <v>0</v>
      </c>
      <c r="Q43" s="153">
        <f>IF($D$15="-",0,INDEX(CPAT_National!Q$6:Q$133,MATCH($G43&amp;"|"&amp;$D$15,CPAT_National!$B$6:$B$133,0)))</f>
        <v>0</v>
      </c>
      <c r="R43" s="153">
        <f>IF($D$15="-",0,INDEX(CPAT_National!R$6:R$133,MATCH($G43&amp;"|"&amp;$D$15,CPAT_National!$B$6:$B$133,0)))</f>
        <v>0</v>
      </c>
      <c r="S43" s="153">
        <f>IF($D$15="-",0,INDEX(CPAT_National!S$6:S$133,MATCH($G43&amp;"|"&amp;$D$15,CPAT_National!$B$6:$B$133,0)))</f>
        <v>0</v>
      </c>
      <c r="T43" s="153">
        <f>IF($D$15="-",0,INDEX(CPAT_National!T$6:T$133,MATCH($G43&amp;"|"&amp;$D$15,CPAT_National!$B$6:$B$133,0)))</f>
        <v>0</v>
      </c>
      <c r="U43" s="153">
        <f>IF($D$15="-",0,INDEX(CPAT_National!U$6:U$133,MATCH($G43&amp;"|"&amp;$D$15,CPAT_National!$B$6:$B$133,0)))</f>
        <v>0</v>
      </c>
      <c r="V43" s="153">
        <f>IF($D$15="-",0,INDEX(CPAT_National!V$6:V$133,MATCH($G43&amp;"|"&amp;$D$15,CPAT_National!$B$6:$B$133,0)))</f>
        <v>0</v>
      </c>
      <c r="W43" s="153">
        <f>IF($D$15="-",0,INDEX(CPAT_National!W$6:W$133,MATCH($G43&amp;"|"&amp;$D$15,CPAT_National!$B$6:$B$133,0)))</f>
        <v>0</v>
      </c>
      <c r="X43" s="153">
        <f>IF($D$15="-",0,INDEX(CPAT_National!X$6:X$133,MATCH($G43&amp;"|"&amp;$D$15,CPAT_National!$B$6:$B$133,0)))</f>
        <v>0</v>
      </c>
      <c r="Y43" s="153">
        <f>IF($D$15="-",0,INDEX(CPAT_National!Y$6:Y$133,MATCH($G43&amp;"|"&amp;$D$15,CPAT_National!$B$6:$B$133,0)))</f>
        <v>0</v>
      </c>
      <c r="Z43" s="153">
        <f>IF($D$15="-",0,INDEX(CPAT_National!Z$6:Z$133,MATCH($G43&amp;"|"&amp;$D$15,CPAT_National!$B$6:$B$133,0)))</f>
        <v>0</v>
      </c>
      <c r="AA43" s="153">
        <f>IF($D$15="-",0,INDEX(CPAT_National!AA$6:AA$133,MATCH($G43&amp;"|"&amp;$D$15,CPAT_National!$B$6:$B$133,0)))</f>
        <v>0</v>
      </c>
      <c r="AB43" s="153">
        <f>IF($D$15="-",0,INDEX(CPAT_National!AB$6:AB$133,MATCH($G43&amp;"|"&amp;$D$15,CPAT_National!$B$6:$B$133,0)))</f>
        <v>0</v>
      </c>
      <c r="AC43" s="153">
        <f>IF($D$15="-",0,INDEX(CPAT_National!AC$6:AC$133,MATCH($G43&amp;"|"&amp;$D$15,CPAT_National!$B$6:$B$133,0)))</f>
        <v>0</v>
      </c>
      <c r="AD43" s="153">
        <f>IF($D$15="-",0,INDEX(CPAT_National!AD$6:AD$133,MATCH($G43&amp;"|"&amp;$D$15,CPAT_National!$B$6:$B$133,0)))</f>
        <v>0</v>
      </c>
      <c r="AE43" s="153">
        <f>IF($D$15="-",0,INDEX(CPAT_National!AE$6:AE$133,MATCH($G43&amp;"|"&amp;$D$15,CPAT_National!$B$6:$B$133,0)))</f>
        <v>0</v>
      </c>
    </row>
    <row r="44" spans="2:31" x14ac:dyDescent="0.35">
      <c r="B44" s="116" t="s">
        <v>3501</v>
      </c>
      <c r="C44" s="116" t="s">
        <v>3502</v>
      </c>
      <c r="D44" s="116" t="s">
        <v>3523</v>
      </c>
      <c r="E44" s="116" t="s">
        <v>3289</v>
      </c>
      <c r="F44" s="116" t="s">
        <v>3504</v>
      </c>
      <c r="G44" s="116" t="s">
        <v>3303</v>
      </c>
      <c r="H44" s="120" t="str">
        <f>Settings!$B$3&amp;".mit.t2.d65"</f>
        <v>egy.mit.t2.d65</v>
      </c>
      <c r="L44" s="153">
        <f>IF($D$15="-",0,INDEX(CPAT_National!L$6:L$133,MATCH($G44&amp;"|"&amp;$D$15,CPAT_National!$B$6:$B$133,0)))</f>
        <v>0</v>
      </c>
      <c r="M44" s="153">
        <f>IF($D$15="-",0,INDEX(CPAT_National!M$6:M$133,MATCH($G44&amp;"|"&amp;$D$15,CPAT_National!$B$6:$B$133,0)))</f>
        <v>0</v>
      </c>
      <c r="N44" s="153">
        <f>IF($D$15="-",0,INDEX(CPAT_National!N$6:N$133,MATCH($G44&amp;"|"&amp;$D$15,CPAT_National!$B$6:$B$133,0)))</f>
        <v>0</v>
      </c>
      <c r="O44" s="153">
        <f>IF($D$15="-",0,INDEX(CPAT_National!O$6:O$133,MATCH($G44&amp;"|"&amp;$D$15,CPAT_National!$B$6:$B$133,0)))</f>
        <v>0</v>
      </c>
      <c r="P44" s="153">
        <f>IF($D$15="-",0,INDEX(CPAT_National!P$6:P$133,MATCH($G44&amp;"|"&amp;$D$15,CPAT_National!$B$6:$B$133,0)))</f>
        <v>0</v>
      </c>
      <c r="Q44" s="153">
        <f>IF($D$15="-",0,INDEX(CPAT_National!Q$6:Q$133,MATCH($G44&amp;"|"&amp;$D$15,CPAT_National!$B$6:$B$133,0)))</f>
        <v>0</v>
      </c>
      <c r="R44" s="153">
        <f>IF($D$15="-",0,INDEX(CPAT_National!R$6:R$133,MATCH($G44&amp;"|"&amp;$D$15,CPAT_National!$B$6:$B$133,0)))</f>
        <v>0</v>
      </c>
      <c r="S44" s="153">
        <f>IF($D$15="-",0,INDEX(CPAT_National!S$6:S$133,MATCH($G44&amp;"|"&amp;$D$15,CPAT_National!$B$6:$B$133,0)))</f>
        <v>0</v>
      </c>
      <c r="T44" s="153">
        <f>IF($D$15="-",0,INDEX(CPAT_National!T$6:T$133,MATCH($G44&amp;"|"&amp;$D$15,CPAT_National!$B$6:$B$133,0)))</f>
        <v>0</v>
      </c>
      <c r="U44" s="153">
        <f>IF($D$15="-",0,INDEX(CPAT_National!U$6:U$133,MATCH($G44&amp;"|"&amp;$D$15,CPAT_National!$B$6:$B$133,0)))</f>
        <v>0</v>
      </c>
      <c r="V44" s="153">
        <f>IF($D$15="-",0,INDEX(CPAT_National!V$6:V$133,MATCH($G44&amp;"|"&amp;$D$15,CPAT_National!$B$6:$B$133,0)))</f>
        <v>0</v>
      </c>
      <c r="W44" s="153">
        <f>IF($D$15="-",0,INDEX(CPAT_National!W$6:W$133,MATCH($G44&amp;"|"&amp;$D$15,CPAT_National!$B$6:$B$133,0)))</f>
        <v>0</v>
      </c>
      <c r="X44" s="153">
        <f>IF($D$15="-",0,INDEX(CPAT_National!X$6:X$133,MATCH($G44&amp;"|"&amp;$D$15,CPAT_National!$B$6:$B$133,0)))</f>
        <v>0</v>
      </c>
      <c r="Y44" s="153">
        <f>IF($D$15="-",0,INDEX(CPAT_National!Y$6:Y$133,MATCH($G44&amp;"|"&amp;$D$15,CPAT_National!$B$6:$B$133,0)))</f>
        <v>0</v>
      </c>
      <c r="Z44" s="153">
        <f>IF($D$15="-",0,INDEX(CPAT_National!Z$6:Z$133,MATCH($G44&amp;"|"&amp;$D$15,CPAT_National!$B$6:$B$133,0)))</f>
        <v>0</v>
      </c>
      <c r="AA44" s="153">
        <f>IF($D$15="-",0,INDEX(CPAT_National!AA$6:AA$133,MATCH($G44&amp;"|"&amp;$D$15,CPAT_National!$B$6:$B$133,0)))</f>
        <v>0</v>
      </c>
      <c r="AB44" s="153">
        <f>IF($D$15="-",0,INDEX(CPAT_National!AB$6:AB$133,MATCH($G44&amp;"|"&amp;$D$15,CPAT_National!$B$6:$B$133,0)))</f>
        <v>0</v>
      </c>
      <c r="AC44" s="153">
        <f>IF($D$15="-",0,INDEX(CPAT_National!AC$6:AC$133,MATCH($G44&amp;"|"&amp;$D$15,CPAT_National!$B$6:$B$133,0)))</f>
        <v>0</v>
      </c>
      <c r="AD44" s="153">
        <f>IF($D$15="-",0,INDEX(CPAT_National!AD$6:AD$133,MATCH($G44&amp;"|"&amp;$D$15,CPAT_National!$B$6:$B$133,0)))</f>
        <v>0</v>
      </c>
      <c r="AE44" s="153">
        <f>IF($D$15="-",0,INDEX(CPAT_National!AE$6:AE$133,MATCH($G44&amp;"|"&amp;$D$15,CPAT_National!$B$6:$B$133,0)))</f>
        <v>0</v>
      </c>
    </row>
    <row r="45" spans="2:31" x14ac:dyDescent="0.35">
      <c r="B45" s="116" t="s">
        <v>3501</v>
      </c>
      <c r="C45" s="116" t="s">
        <v>3502</v>
      </c>
      <c r="D45" s="116" t="s">
        <v>3524</v>
      </c>
      <c r="E45" s="116" t="s">
        <v>3289</v>
      </c>
      <c r="F45" s="116" t="s">
        <v>3504</v>
      </c>
      <c r="G45" s="116" t="s">
        <v>3309</v>
      </c>
      <c r="H45" s="120" t="str">
        <f>Settings!$B$3&amp;".mit.t2.du24"</f>
        <v>egy.mit.t2.du24</v>
      </c>
      <c r="L45" s="153">
        <f>IF($D$15="-",0,INDEX(CPAT_National!L$6:L$133,MATCH($G45&amp;"|"&amp;$D$15,CPAT_National!$B$6:$B$133,0)))</f>
        <v>0</v>
      </c>
      <c r="M45" s="153">
        <f>IF($D$15="-",0,INDEX(CPAT_National!M$6:M$133,MATCH($G45&amp;"|"&amp;$D$15,CPAT_National!$B$6:$B$133,0)))</f>
        <v>0</v>
      </c>
      <c r="N45" s="153">
        <f>IF($D$15="-",0,INDEX(CPAT_National!N$6:N$133,MATCH($G45&amp;"|"&amp;$D$15,CPAT_National!$B$6:$B$133,0)))</f>
        <v>0</v>
      </c>
      <c r="O45" s="153">
        <f>IF($D$15="-",0,INDEX(CPAT_National!O$6:O$133,MATCH($G45&amp;"|"&amp;$D$15,CPAT_National!$B$6:$B$133,0)))</f>
        <v>0</v>
      </c>
      <c r="P45" s="153">
        <f>IF($D$15="-",0,INDEX(CPAT_National!P$6:P$133,MATCH($G45&amp;"|"&amp;$D$15,CPAT_National!$B$6:$B$133,0)))</f>
        <v>0</v>
      </c>
      <c r="Q45" s="153">
        <f>IF($D$15="-",0,INDEX(CPAT_National!Q$6:Q$133,MATCH($G45&amp;"|"&amp;$D$15,CPAT_National!$B$6:$B$133,0)))</f>
        <v>0</v>
      </c>
      <c r="R45" s="153">
        <f>IF($D$15="-",0,INDEX(CPAT_National!R$6:R$133,MATCH($G45&amp;"|"&amp;$D$15,CPAT_National!$B$6:$B$133,0)))</f>
        <v>0</v>
      </c>
      <c r="S45" s="153">
        <f>IF($D$15="-",0,INDEX(CPAT_National!S$6:S$133,MATCH($G45&amp;"|"&amp;$D$15,CPAT_National!$B$6:$B$133,0)))</f>
        <v>0</v>
      </c>
      <c r="T45" s="153">
        <f>IF($D$15="-",0,INDEX(CPAT_National!T$6:T$133,MATCH($G45&amp;"|"&amp;$D$15,CPAT_National!$B$6:$B$133,0)))</f>
        <v>0</v>
      </c>
      <c r="U45" s="153">
        <f>IF($D$15="-",0,INDEX(CPAT_National!U$6:U$133,MATCH($G45&amp;"|"&amp;$D$15,CPAT_National!$B$6:$B$133,0)))</f>
        <v>0</v>
      </c>
      <c r="V45" s="153">
        <f>IF($D$15="-",0,INDEX(CPAT_National!V$6:V$133,MATCH($G45&amp;"|"&amp;$D$15,CPAT_National!$B$6:$B$133,0)))</f>
        <v>0</v>
      </c>
      <c r="W45" s="153">
        <f>IF($D$15="-",0,INDEX(CPAT_National!W$6:W$133,MATCH($G45&amp;"|"&amp;$D$15,CPAT_National!$B$6:$B$133,0)))</f>
        <v>0</v>
      </c>
      <c r="X45" s="153">
        <f>IF($D$15="-",0,INDEX(CPAT_National!X$6:X$133,MATCH($G45&amp;"|"&amp;$D$15,CPAT_National!$B$6:$B$133,0)))</f>
        <v>0</v>
      </c>
      <c r="Y45" s="153">
        <f>IF($D$15="-",0,INDEX(CPAT_National!Y$6:Y$133,MATCH($G45&amp;"|"&amp;$D$15,CPAT_National!$B$6:$B$133,0)))</f>
        <v>0</v>
      </c>
      <c r="Z45" s="153">
        <f>IF($D$15="-",0,INDEX(CPAT_National!Z$6:Z$133,MATCH($G45&amp;"|"&amp;$D$15,CPAT_National!$B$6:$B$133,0)))</f>
        <v>0</v>
      </c>
      <c r="AA45" s="153">
        <f>IF($D$15="-",0,INDEX(CPAT_National!AA$6:AA$133,MATCH($G45&amp;"|"&amp;$D$15,CPAT_National!$B$6:$B$133,0)))</f>
        <v>0</v>
      </c>
      <c r="AB45" s="153">
        <f>IF($D$15="-",0,INDEX(CPAT_National!AB$6:AB$133,MATCH($G45&amp;"|"&amp;$D$15,CPAT_National!$B$6:$B$133,0)))</f>
        <v>0</v>
      </c>
      <c r="AC45" s="153">
        <f>IF($D$15="-",0,INDEX(CPAT_National!AC$6:AC$133,MATCH($G45&amp;"|"&amp;$D$15,CPAT_National!$B$6:$B$133,0)))</f>
        <v>0</v>
      </c>
      <c r="AD45" s="153">
        <f>IF($D$15="-",0,INDEX(CPAT_National!AD$6:AD$133,MATCH($G45&amp;"|"&amp;$D$15,CPAT_National!$B$6:$B$133,0)))</f>
        <v>0</v>
      </c>
      <c r="AE45" s="153">
        <f>IF($D$15="-",0,INDEX(CPAT_National!AE$6:AE$133,MATCH($G45&amp;"|"&amp;$D$15,CPAT_National!$B$6:$B$133,0)))</f>
        <v>0</v>
      </c>
    </row>
    <row r="46" spans="2:31" x14ac:dyDescent="0.35">
      <c r="B46" s="116" t="s">
        <v>3501</v>
      </c>
      <c r="C46" s="116" t="s">
        <v>3502</v>
      </c>
      <c r="D46" s="116" t="s">
        <v>3525</v>
      </c>
      <c r="E46" s="116" t="s">
        <v>3289</v>
      </c>
      <c r="F46" s="116" t="s">
        <v>3504</v>
      </c>
      <c r="G46" s="116" t="s">
        <v>3322</v>
      </c>
      <c r="H46" s="120" t="str">
        <f>Settings!$B$3&amp;".mit.t2.mort"</f>
        <v>egy.mit.t2.mort</v>
      </c>
      <c r="L46" s="153">
        <f>IF($D$15="-",0,INDEX(CPAT_National!L$6:L$133,MATCH($G46&amp;"|"&amp;$D$15,CPAT_National!$B$6:$B$133,0)))</f>
        <v>0</v>
      </c>
      <c r="M46" s="153">
        <f>IF($D$15="-",0,INDEX(CPAT_National!M$6:M$133,MATCH($G46&amp;"|"&amp;$D$15,CPAT_National!$B$6:$B$133,0)))</f>
        <v>0</v>
      </c>
      <c r="N46" s="153">
        <f>IF($D$15="-",0,INDEX(CPAT_National!N$6:N$133,MATCH($G46&amp;"|"&amp;$D$15,CPAT_National!$B$6:$B$133,0)))</f>
        <v>0</v>
      </c>
      <c r="O46" s="153">
        <f>IF($D$15="-",0,INDEX(CPAT_National!O$6:O$133,MATCH($G46&amp;"|"&amp;$D$15,CPAT_National!$B$6:$B$133,0)))</f>
        <v>0</v>
      </c>
      <c r="P46" s="153">
        <f>IF($D$15="-",0,INDEX(CPAT_National!P$6:P$133,MATCH($G46&amp;"|"&amp;$D$15,CPAT_National!$B$6:$B$133,0)))</f>
        <v>0</v>
      </c>
      <c r="Q46" s="153">
        <f>IF($D$15="-",0,INDEX(CPAT_National!Q$6:Q$133,MATCH($G46&amp;"|"&amp;$D$15,CPAT_National!$B$6:$B$133,0)))</f>
        <v>0</v>
      </c>
      <c r="R46" s="153">
        <f>IF($D$15="-",0,INDEX(CPAT_National!R$6:R$133,MATCH($G46&amp;"|"&amp;$D$15,CPAT_National!$B$6:$B$133,0)))</f>
        <v>0</v>
      </c>
      <c r="S46" s="153">
        <f>IF($D$15="-",0,INDEX(CPAT_National!S$6:S$133,MATCH($G46&amp;"|"&amp;$D$15,CPAT_National!$B$6:$B$133,0)))</f>
        <v>0</v>
      </c>
      <c r="T46" s="153">
        <f>IF($D$15="-",0,INDEX(CPAT_National!T$6:T$133,MATCH($G46&amp;"|"&amp;$D$15,CPAT_National!$B$6:$B$133,0)))</f>
        <v>0</v>
      </c>
      <c r="U46" s="153">
        <f>IF($D$15="-",0,INDEX(CPAT_National!U$6:U$133,MATCH($G46&amp;"|"&amp;$D$15,CPAT_National!$B$6:$B$133,0)))</f>
        <v>0</v>
      </c>
      <c r="V46" s="153">
        <f>IF($D$15="-",0,INDEX(CPAT_National!V$6:V$133,MATCH($G46&amp;"|"&amp;$D$15,CPAT_National!$B$6:$B$133,0)))</f>
        <v>0</v>
      </c>
      <c r="W46" s="153">
        <f>IF($D$15="-",0,INDEX(CPAT_National!W$6:W$133,MATCH($G46&amp;"|"&amp;$D$15,CPAT_National!$B$6:$B$133,0)))</f>
        <v>0</v>
      </c>
      <c r="X46" s="153">
        <f>IF($D$15="-",0,INDEX(CPAT_National!X$6:X$133,MATCH($G46&amp;"|"&amp;$D$15,CPAT_National!$B$6:$B$133,0)))</f>
        <v>0</v>
      </c>
      <c r="Y46" s="153">
        <f>IF($D$15="-",0,INDEX(CPAT_National!Y$6:Y$133,MATCH($G46&amp;"|"&amp;$D$15,CPAT_National!$B$6:$B$133,0)))</f>
        <v>0</v>
      </c>
      <c r="Z46" s="153">
        <f>IF($D$15="-",0,INDEX(CPAT_National!Z$6:Z$133,MATCH($G46&amp;"|"&amp;$D$15,CPAT_National!$B$6:$B$133,0)))</f>
        <v>0</v>
      </c>
      <c r="AA46" s="153">
        <f>IF($D$15="-",0,INDEX(CPAT_National!AA$6:AA$133,MATCH($G46&amp;"|"&amp;$D$15,CPAT_National!$B$6:$B$133,0)))</f>
        <v>0</v>
      </c>
      <c r="AB46" s="153">
        <f>IF($D$15="-",0,INDEX(CPAT_National!AB$6:AB$133,MATCH($G46&amp;"|"&amp;$D$15,CPAT_National!$B$6:$B$133,0)))</f>
        <v>0</v>
      </c>
      <c r="AC46" s="153">
        <f>IF($D$15="-",0,INDEX(CPAT_National!AC$6:AC$133,MATCH($G46&amp;"|"&amp;$D$15,CPAT_National!$B$6:$B$133,0)))</f>
        <v>0</v>
      </c>
      <c r="AD46" s="153">
        <f>IF($D$15="-",0,INDEX(CPAT_National!AD$6:AD$133,MATCH($G46&amp;"|"&amp;$D$15,CPAT_National!$B$6:$B$133,0)))</f>
        <v>0</v>
      </c>
      <c r="AE46" s="153">
        <f>IF($D$15="-",0,INDEX(CPAT_National!AE$6:AE$133,MATCH($G46&amp;"|"&amp;$D$15,CPAT_National!$B$6:$B$133,0)))</f>
        <v>0</v>
      </c>
    </row>
    <row r="47" spans="2:31" x14ac:dyDescent="0.35">
      <c r="B47" s="116" t="s">
        <v>3526</v>
      </c>
      <c r="C47" s="116" t="s">
        <v>3502</v>
      </c>
      <c r="D47" s="116" t="s">
        <v>3527</v>
      </c>
      <c r="E47" s="116" t="s">
        <v>3435</v>
      </c>
      <c r="H47" s="120" t="str">
        <f>Settings!$B$3&amp;".mit.t2.revctax"</f>
        <v>egy.mit.t2.revctax</v>
      </c>
      <c r="I47" s="116" t="s">
        <v>3528</v>
      </c>
      <c r="L47" s="153">
        <f>SUM(L37:L42)</f>
        <v>0</v>
      </c>
      <c r="M47" s="153">
        <f>SUM(M37:M42)</f>
        <v>0</v>
      </c>
      <c r="N47" s="153">
        <f>SUM(N37:N42)</f>
        <v>0</v>
      </c>
      <c r="O47" s="153">
        <f>SUM(O37:O42)</f>
        <v>0</v>
      </c>
      <c r="P47" s="153">
        <f>SUM(P37:P42)</f>
        <v>0</v>
      </c>
      <c r="Q47" s="153">
        <f>SUM(Q37:Q42)</f>
        <v>0</v>
      </c>
      <c r="R47" s="153">
        <f>SUM(R37:R42)</f>
        <v>0</v>
      </c>
      <c r="S47" s="153">
        <f>SUM(S37:S42)</f>
        <v>0</v>
      </c>
      <c r="T47" s="153">
        <f>SUM(T37:T42)</f>
        <v>0</v>
      </c>
      <c r="U47" s="153">
        <f>SUM(U37:U42)</f>
        <v>0</v>
      </c>
      <c r="V47" s="153">
        <f>SUM(V37:V42)</f>
        <v>0</v>
      </c>
      <c r="W47" s="153">
        <f>SUM(W37:W42)</f>
        <v>0</v>
      </c>
      <c r="X47" s="153">
        <f>SUM(X37:X42)</f>
        <v>0</v>
      </c>
      <c r="Y47" s="153">
        <f>SUM(Y37:Y42)</f>
        <v>0</v>
      </c>
      <c r="Z47" s="153">
        <f>SUM(Z37:Z42)</f>
        <v>0</v>
      </c>
      <c r="AA47" s="153">
        <f>SUM(AA37:AA42)</f>
        <v>0</v>
      </c>
      <c r="AB47" s="153">
        <f>SUM(AB37:AB42)</f>
        <v>0</v>
      </c>
      <c r="AC47" s="153">
        <f>SUM(AC37:AC42)</f>
        <v>0</v>
      </c>
      <c r="AD47" s="153">
        <f>SUM(AD37:AD42)</f>
        <v>0</v>
      </c>
      <c r="AE47" s="153">
        <f>SUM(AE37:AE42)</f>
        <v>0</v>
      </c>
    </row>
    <row r="48" spans="2:31" x14ac:dyDescent="0.35">
      <c r="B48" s="116" t="s">
        <v>3526</v>
      </c>
      <c r="C48" s="116" t="s">
        <v>3502</v>
      </c>
      <c r="D48" s="116" t="s">
        <v>3529</v>
      </c>
      <c r="E48" s="116" t="s">
        <v>3289</v>
      </c>
      <c r="H48" s="120" t="str">
        <f>Settings!$B$3&amp;".mit.t2.deaths"</f>
        <v>egy.mit.t2.deaths</v>
      </c>
      <c r="I48" s="116" t="s">
        <v>3530</v>
      </c>
      <c r="L48" s="153">
        <f>SUM(L43:L45)</f>
        <v>0</v>
      </c>
      <c r="M48" s="153">
        <f>SUM(M43:M45)</f>
        <v>0</v>
      </c>
      <c r="N48" s="153">
        <f>SUM(N43:N45)</f>
        <v>0</v>
      </c>
      <c r="O48" s="153">
        <f>SUM(O43:O45)</f>
        <v>0</v>
      </c>
      <c r="P48" s="153">
        <f>SUM(P43:P45)</f>
        <v>0</v>
      </c>
      <c r="Q48" s="153">
        <f>SUM(Q43:Q45)</f>
        <v>0</v>
      </c>
      <c r="R48" s="153">
        <f>SUM(R43:R45)</f>
        <v>0</v>
      </c>
      <c r="S48" s="153">
        <f>SUM(S43:S45)</f>
        <v>0</v>
      </c>
      <c r="T48" s="153">
        <f>SUM(T43:T45)</f>
        <v>0</v>
      </c>
      <c r="U48" s="153">
        <f>SUM(U43:U45)</f>
        <v>0</v>
      </c>
      <c r="V48" s="153">
        <f>SUM(V43:V45)</f>
        <v>0</v>
      </c>
      <c r="W48" s="153">
        <f>SUM(W43:W45)</f>
        <v>0</v>
      </c>
      <c r="X48" s="153">
        <f>SUM(X43:X45)</f>
        <v>0</v>
      </c>
      <c r="Y48" s="153">
        <f>SUM(Y43:Y45)</f>
        <v>0</v>
      </c>
      <c r="Z48" s="153">
        <f>SUM(Z43:Z45)</f>
        <v>0</v>
      </c>
      <c r="AA48" s="153">
        <f>SUM(AA43:AA45)</f>
        <v>0</v>
      </c>
      <c r="AB48" s="153">
        <f>SUM(AB43:AB45)</f>
        <v>0</v>
      </c>
      <c r="AC48" s="153">
        <f>SUM(AC43:AC45)</f>
        <v>0</v>
      </c>
      <c r="AD48" s="153">
        <f>SUM(AD43:AD45)</f>
        <v>0</v>
      </c>
      <c r="AE48" s="153">
        <f>SUM(AE43:AE45)</f>
        <v>0</v>
      </c>
    </row>
    <row r="49" spans="1:35" x14ac:dyDescent="0.35">
      <c r="B49" s="116" t="s">
        <v>3526</v>
      </c>
      <c r="C49" s="116" t="s">
        <v>3502</v>
      </c>
      <c r="D49" s="116" t="s">
        <v>3531</v>
      </c>
      <c r="E49" s="116" t="s">
        <v>1868</v>
      </c>
      <c r="H49" s="120" t="str">
        <f>Settings!$B$3&amp;".mit.t2.dghg"</f>
        <v>egy.mit.t2.dghg</v>
      </c>
      <c r="L49" s="153">
        <f>L26-L25</f>
        <v>0</v>
      </c>
      <c r="M49" s="153">
        <f>M26-M25</f>
        <v>0</v>
      </c>
      <c r="N49" s="153">
        <f>N26-N25</f>
        <v>0</v>
      </c>
      <c r="O49" s="153">
        <f>O26-O25</f>
        <v>0</v>
      </c>
      <c r="P49" s="153">
        <f>P26-P25</f>
        <v>0</v>
      </c>
      <c r="Q49" s="153">
        <f>Q26-Q25</f>
        <v>0</v>
      </c>
      <c r="R49" s="153">
        <f>R26-R25</f>
        <v>0</v>
      </c>
      <c r="S49" s="153">
        <f>S26-S25</f>
        <v>0</v>
      </c>
      <c r="T49" s="153">
        <f>T26-T25</f>
        <v>0</v>
      </c>
      <c r="U49" s="153">
        <f>U26-U25</f>
        <v>0</v>
      </c>
      <c r="V49" s="153">
        <f>V26-V25</f>
        <v>0</v>
      </c>
      <c r="W49" s="153">
        <f>W26-W25</f>
        <v>0</v>
      </c>
      <c r="X49" s="153">
        <f>X26-X25</f>
        <v>0</v>
      </c>
      <c r="Y49" s="153">
        <f>Y26-Y25</f>
        <v>0</v>
      </c>
      <c r="Z49" s="153">
        <f>Z26-Z25</f>
        <v>0</v>
      </c>
      <c r="AA49" s="153">
        <f>AA26-AA25</f>
        <v>0</v>
      </c>
      <c r="AB49" s="153">
        <f>AB26-AB25</f>
        <v>0</v>
      </c>
      <c r="AC49" s="153">
        <f>AC26-AC25</f>
        <v>0</v>
      </c>
      <c r="AD49" s="153">
        <f>AD26-AD25</f>
        <v>0</v>
      </c>
      <c r="AE49" s="153">
        <f>AE26-AE25</f>
        <v>0</v>
      </c>
    </row>
    <row r="50" spans="1:35" x14ac:dyDescent="0.35">
      <c r="B50" s="116" t="s">
        <v>3526</v>
      </c>
      <c r="C50" s="116" t="s">
        <v>3502</v>
      </c>
      <c r="D50" s="116" t="s">
        <v>3532</v>
      </c>
      <c r="E50" s="116" t="s">
        <v>1868</v>
      </c>
      <c r="H50" s="120" t="str">
        <f>Settings!$B$3&amp;".mit.t2.dipr"</f>
        <v>egy.mit.t2.dipr</v>
      </c>
      <c r="I50" s="116" t="s">
        <v>3533</v>
      </c>
      <c r="L50" s="153">
        <f>L28-L27</f>
        <v>0</v>
      </c>
      <c r="M50" s="153">
        <f>M28-M27</f>
        <v>0</v>
      </c>
      <c r="N50" s="153">
        <f>N28-N27</f>
        <v>0</v>
      </c>
      <c r="O50" s="153">
        <f>O28-O27</f>
        <v>0</v>
      </c>
      <c r="P50" s="153">
        <f>P28-P27</f>
        <v>0</v>
      </c>
      <c r="Q50" s="153">
        <f>Q28-Q27</f>
        <v>0</v>
      </c>
      <c r="R50" s="153">
        <f>R28-R27</f>
        <v>0</v>
      </c>
      <c r="S50" s="153">
        <f>S28-S27</f>
        <v>0</v>
      </c>
      <c r="T50" s="153">
        <f>T28-T27</f>
        <v>0</v>
      </c>
      <c r="U50" s="153">
        <f>U28-U27</f>
        <v>0</v>
      </c>
      <c r="V50" s="153">
        <f>V28-V27</f>
        <v>0</v>
      </c>
      <c r="W50" s="153">
        <f>W28-W27</f>
        <v>0</v>
      </c>
      <c r="X50" s="153">
        <f>X28-X27</f>
        <v>0</v>
      </c>
      <c r="Y50" s="153">
        <f>Y28-Y27</f>
        <v>0</v>
      </c>
      <c r="Z50" s="153">
        <f>Z28-Z27</f>
        <v>0</v>
      </c>
      <c r="AA50" s="153">
        <f>AA28-AA27</f>
        <v>0</v>
      </c>
      <c r="AB50" s="153">
        <f>AB28-AB27</f>
        <v>0</v>
      </c>
      <c r="AC50" s="153">
        <f>AC28-AC27</f>
        <v>0</v>
      </c>
      <c r="AD50" s="153">
        <f>AD28-AD27</f>
        <v>0</v>
      </c>
      <c r="AE50" s="153">
        <f>AE28-AE27</f>
        <v>0</v>
      </c>
    </row>
    <row r="51" spans="1:35" x14ac:dyDescent="0.35">
      <c r="B51" s="116" t="s">
        <v>3526</v>
      </c>
      <c r="C51" s="116" t="s">
        <v>3502</v>
      </c>
      <c r="D51" s="116" t="s">
        <v>3534</v>
      </c>
      <c r="E51" s="116" t="s">
        <v>2094</v>
      </c>
      <c r="H51" s="120" t="str">
        <f>Settings!$B$3&amp;".mit.t2.denr"</f>
        <v>egy.mit.t2.denr</v>
      </c>
      <c r="L51" s="153">
        <f>L30-L29</f>
        <v>0</v>
      </c>
      <c r="M51" s="153">
        <f>M30-M29</f>
        <v>0</v>
      </c>
      <c r="N51" s="153">
        <f>N30-N29</f>
        <v>0</v>
      </c>
      <c r="O51" s="153">
        <f>O30-O29</f>
        <v>0</v>
      </c>
      <c r="P51" s="153">
        <f>P30-P29</f>
        <v>0</v>
      </c>
      <c r="Q51" s="153">
        <f>Q30-Q29</f>
        <v>0</v>
      </c>
      <c r="R51" s="153">
        <f>R30-R29</f>
        <v>0</v>
      </c>
      <c r="S51" s="153">
        <f>S30-S29</f>
        <v>0</v>
      </c>
      <c r="T51" s="153">
        <f>T30-T29</f>
        <v>0</v>
      </c>
      <c r="U51" s="153">
        <f>U30-U29</f>
        <v>0</v>
      </c>
      <c r="V51" s="153">
        <f>V30-V29</f>
        <v>0</v>
      </c>
      <c r="W51" s="153">
        <f>W30-W29</f>
        <v>0</v>
      </c>
      <c r="X51" s="153">
        <f>X30-X29</f>
        <v>0</v>
      </c>
      <c r="Y51" s="153">
        <f>Y30-Y29</f>
        <v>0</v>
      </c>
      <c r="Z51" s="153">
        <f>Z30-Z29</f>
        <v>0</v>
      </c>
      <c r="AA51" s="153">
        <f>AA30-AA29</f>
        <v>0</v>
      </c>
      <c r="AB51" s="153">
        <f>AB30-AB29</f>
        <v>0</v>
      </c>
      <c r="AC51" s="153">
        <f>AC30-AC29</f>
        <v>0</v>
      </c>
      <c r="AD51" s="153">
        <f>AD30-AD29</f>
        <v>0</v>
      </c>
      <c r="AE51" s="153">
        <f>AE30-AE29</f>
        <v>0</v>
      </c>
    </row>
    <row r="52" spans="1:35" x14ac:dyDescent="0.35">
      <c r="B52" s="116" t="s">
        <v>3526</v>
      </c>
      <c r="C52" s="116" t="s">
        <v>3502</v>
      </c>
      <c r="D52" s="116" t="s">
        <v>3535</v>
      </c>
      <c r="E52" s="116" t="s">
        <v>2094</v>
      </c>
      <c r="H52" s="120" t="str">
        <f>Settings!$B$3&amp;".mit.t2.dind"</f>
        <v>egy.mit.t2.dind</v>
      </c>
      <c r="L52" s="153">
        <f>L32-L31</f>
        <v>0</v>
      </c>
      <c r="M52" s="153">
        <f>M32-M31</f>
        <v>0</v>
      </c>
      <c r="N52" s="153">
        <f>N32-N31</f>
        <v>0</v>
      </c>
      <c r="O52" s="153">
        <f>O32-O31</f>
        <v>0</v>
      </c>
      <c r="P52" s="153">
        <f>P32-P31</f>
        <v>0</v>
      </c>
      <c r="Q52" s="153">
        <f>Q32-Q31</f>
        <v>0</v>
      </c>
      <c r="R52" s="153">
        <f>R32-R31</f>
        <v>0</v>
      </c>
      <c r="S52" s="153">
        <f>S32-S31</f>
        <v>0</v>
      </c>
      <c r="T52" s="153">
        <f>T32-T31</f>
        <v>0</v>
      </c>
      <c r="U52" s="153">
        <f>U32-U31</f>
        <v>0</v>
      </c>
      <c r="V52" s="153">
        <f>V32-V31</f>
        <v>0</v>
      </c>
      <c r="W52" s="153">
        <f>W32-W31</f>
        <v>0</v>
      </c>
      <c r="X52" s="153">
        <f>X32-X31</f>
        <v>0</v>
      </c>
      <c r="Y52" s="153">
        <f>Y32-Y31</f>
        <v>0</v>
      </c>
      <c r="Z52" s="153">
        <f>Z32-Z31</f>
        <v>0</v>
      </c>
      <c r="AA52" s="153">
        <f>AA32-AA31</f>
        <v>0</v>
      </c>
      <c r="AB52" s="153">
        <f>AB32-AB31</f>
        <v>0</v>
      </c>
      <c r="AC52" s="153">
        <f>AC32-AC31</f>
        <v>0</v>
      </c>
      <c r="AD52" s="153">
        <f>AD32-AD31</f>
        <v>0</v>
      </c>
      <c r="AE52" s="153">
        <f>AE32-AE31</f>
        <v>0</v>
      </c>
    </row>
    <row r="53" spans="1:35" x14ac:dyDescent="0.35">
      <c r="B53" s="116" t="s">
        <v>3526</v>
      </c>
      <c r="C53" s="116" t="s">
        <v>3502</v>
      </c>
      <c r="D53" s="116" t="s">
        <v>3536</v>
      </c>
      <c r="E53" s="116" t="s">
        <v>3435</v>
      </c>
      <c r="H53" s="120" t="str">
        <f>Settings!$B$3&amp;".mit.t2.drev"</f>
        <v>egy.mit.t2.drev</v>
      </c>
      <c r="L53" s="153">
        <f>L36-L35</f>
        <v>0</v>
      </c>
      <c r="M53" s="153">
        <f>M36-M35</f>
        <v>0</v>
      </c>
      <c r="N53" s="153">
        <f>N36-N35</f>
        <v>0</v>
      </c>
      <c r="O53" s="153">
        <f>O36-O35</f>
        <v>0</v>
      </c>
      <c r="P53" s="153">
        <f>P36-P35</f>
        <v>0</v>
      </c>
      <c r="Q53" s="153">
        <f>Q36-Q35</f>
        <v>0</v>
      </c>
      <c r="R53" s="153">
        <f>R36-R35</f>
        <v>0</v>
      </c>
      <c r="S53" s="153">
        <f>S36-S35</f>
        <v>0</v>
      </c>
      <c r="T53" s="153">
        <f>T36-T35</f>
        <v>0</v>
      </c>
      <c r="U53" s="153">
        <f>U36-U35</f>
        <v>0</v>
      </c>
      <c r="V53" s="153">
        <f>V36-V35</f>
        <v>0</v>
      </c>
      <c r="W53" s="153">
        <f>W36-W35</f>
        <v>0</v>
      </c>
      <c r="X53" s="153">
        <f>X36-X35</f>
        <v>0</v>
      </c>
      <c r="Y53" s="153">
        <f>Y36-Y35</f>
        <v>0</v>
      </c>
      <c r="Z53" s="153">
        <f>Z36-Z35</f>
        <v>0</v>
      </c>
      <c r="AA53" s="153">
        <f>AA36-AA35</f>
        <v>0</v>
      </c>
      <c r="AB53" s="153">
        <f>AB36-AB35</f>
        <v>0</v>
      </c>
      <c r="AC53" s="153">
        <f>AC36-AC35</f>
        <v>0</v>
      </c>
      <c r="AD53" s="153">
        <f>AD36-AD35</f>
        <v>0</v>
      </c>
      <c r="AE53" s="153">
        <f>AE36-AE35</f>
        <v>0</v>
      </c>
    </row>
    <row r="56" spans="1:35" customFormat="1" ht="18" customHeight="1" x14ac:dyDescent="0.45">
      <c r="A56" s="8"/>
      <c r="B56" s="9" t="s">
        <v>3537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4.25" x14ac:dyDescent="0.45">
      <c r="A58" s="11"/>
      <c r="B58" s="6" t="s">
        <v>1504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35">
      <c r="B59" s="116" t="s">
        <v>3177</v>
      </c>
      <c r="C59" s="116" t="s">
        <v>4</v>
      </c>
      <c r="D59" s="116" t="s">
        <v>3538</v>
      </c>
      <c r="E59" s="116" t="s">
        <v>2094</v>
      </c>
      <c r="F59" s="116" t="s">
        <v>3539</v>
      </c>
      <c r="H59" s="120" t="str">
        <f>Settings!$B$3&amp;".mit.t2.ek1"</f>
        <v>egy.mit.t2.ek1</v>
      </c>
      <c r="L59" s="122">
        <f>IPPU_Industry!L17</f>
        <v>14.019740964534272</v>
      </c>
      <c r="M59" s="122">
        <f>IPPU_Industry!M17</f>
        <v>11.739301230035998</v>
      </c>
      <c r="N59" s="122">
        <f>IPPU_Industry!N17</f>
        <v>13.303124518863104</v>
      </c>
      <c r="O59" s="122">
        <f>IPPU_Industry!O17</f>
        <v>14.156899598427017</v>
      </c>
      <c r="P59" s="122">
        <f>IPPU_Industry!P17</f>
        <v>14.286244741983563</v>
      </c>
      <c r="Q59" s="122">
        <f>IPPU_Industry!Q17</f>
        <v>14.694127249831887</v>
      </c>
      <c r="R59" s="122">
        <f>IPPU_Industry!R17</f>
        <v>15.27697183467752</v>
      </c>
      <c r="S59" s="122">
        <f>IPPU_Industry!S17</f>
        <v>15.844069878250156</v>
      </c>
      <c r="T59" s="122">
        <f>IPPU_Industry!T17</f>
        <v>16.383896414290213</v>
      </c>
      <c r="U59" s="122">
        <f>IPPU_Industry!U17</f>
        <v>16.932091247027692</v>
      </c>
      <c r="V59" s="122">
        <f>IPPU_Industry!V17</f>
        <v>17.456721897287899</v>
      </c>
      <c r="W59" s="122">
        <f>IPPU_Industry!W17</f>
        <v>17.991034633776298</v>
      </c>
      <c r="X59" s="122">
        <f>IPPU_Industry!X17</f>
        <v>18.534983575594026</v>
      </c>
      <c r="Y59" s="122">
        <f>IPPU_Industry!Y17</f>
        <v>19.08851611045521</v>
      </c>
      <c r="Z59" s="122">
        <f>IPPU_Industry!Z17</f>
        <v>19.651572741430424</v>
      </c>
      <c r="AA59" s="122">
        <f>IPPU_Industry!AA17</f>
        <v>20.224086914529249</v>
      </c>
      <c r="AB59" s="122">
        <f>IPPU_Industry!AB17</f>
        <v>20.80598482616989</v>
      </c>
      <c r="AC59" s="122">
        <f>IPPU_Industry!AC17</f>
        <v>21.397185209616836</v>
      </c>
      <c r="AD59" s="122">
        <f>IPPU_Industry!AD17</f>
        <v>21.997599099500416</v>
      </c>
      <c r="AE59" s="122">
        <f>IPPU_Industry!AE17</f>
        <v>22.607129573562297</v>
      </c>
    </row>
    <row r="60" spans="1:35" x14ac:dyDescent="0.35">
      <c r="B60" s="116" t="s">
        <v>3177</v>
      </c>
      <c r="C60" s="116" t="s">
        <v>4</v>
      </c>
      <c r="D60" s="116" t="s">
        <v>3540</v>
      </c>
      <c r="E60" s="116" t="s">
        <v>2094</v>
      </c>
      <c r="F60" s="116" t="s">
        <v>3541</v>
      </c>
      <c r="H60" s="120" t="str">
        <f>Settings!$B$3&amp;".mit.t2.ek2"</f>
        <v>egy.mit.t2.ek2</v>
      </c>
      <c r="L60" s="122">
        <f>IPPU_Industry!L34</f>
        <v>14.019740964534272</v>
      </c>
      <c r="M60" s="122">
        <f>IPPU_Industry!M34</f>
        <v>11.739301230035998</v>
      </c>
      <c r="N60" s="122">
        <f>IPPU_Industry!N34</f>
        <v>13.303124518863104</v>
      </c>
      <c r="O60" s="122">
        <f>IPPU_Industry!O34</f>
        <v>14.156899598427017</v>
      </c>
      <c r="P60" s="122">
        <f>IPPU_Industry!P34</f>
        <v>14.286244741983563</v>
      </c>
      <c r="Q60" s="122">
        <f>IPPU_Industry!Q34</f>
        <v>13.482479789369556</v>
      </c>
      <c r="R60" s="122">
        <f>IPPU_Industry!R34</f>
        <v>12.983250913859607</v>
      </c>
      <c r="S60" s="122">
        <f>IPPU_Industry!S34</f>
        <v>12.560793362152866</v>
      </c>
      <c r="T60" s="122">
        <f>IPPU_Industry!T34</f>
        <v>12.187957412625254</v>
      </c>
      <c r="U60" s="122">
        <f>IPPU_Industry!U34</f>
        <v>11.875632686552137</v>
      </c>
      <c r="V60" s="122">
        <f>IPPU_Industry!V34</f>
        <v>11.602689599741135</v>
      </c>
      <c r="W60" s="122">
        <f>IPPU_Industry!W34</f>
        <v>11.378519970656047</v>
      </c>
      <c r="X60" s="122">
        <f>IPPU_Industry!X34</f>
        <v>11.19706469003696</v>
      </c>
      <c r="Y60" s="122">
        <f>IPPU_Industry!Y34</f>
        <v>11.054589877296367</v>
      </c>
      <c r="Z60" s="122">
        <f>IPPU_Industry!Z34</f>
        <v>10.949977353134972</v>
      </c>
      <c r="AA60" s="122">
        <f>IPPU_Industry!AA34</f>
        <v>10.880837147763879</v>
      </c>
      <c r="AB60" s="122">
        <f>IPPU_Industry!AB34</f>
        <v>10.844737007963213</v>
      </c>
      <c r="AC60" s="122">
        <f>IPPU_Industry!AC34</f>
        <v>10.837962619219041</v>
      </c>
      <c r="AD60" s="122">
        <f>IPPU_Industry!AD34</f>
        <v>10.857412419871189</v>
      </c>
      <c r="AE60" s="122">
        <f>IPPU_Industry!AE34</f>
        <v>10.900735380545399</v>
      </c>
    </row>
    <row r="61" spans="1:35" x14ac:dyDescent="0.35">
      <c r="B61" s="116" t="s">
        <v>3177</v>
      </c>
      <c r="C61" s="116" t="s">
        <v>4</v>
      </c>
      <c r="D61" s="116" t="s">
        <v>3542</v>
      </c>
      <c r="E61" s="116" t="s">
        <v>2094</v>
      </c>
      <c r="H61" s="120" t="str">
        <f>Settings!$B$3&amp;".mit.t2.dek"</f>
        <v>egy.mit.t2.dek</v>
      </c>
      <c r="L61" s="122">
        <f>L60-L59</f>
        <v>0</v>
      </c>
      <c r="M61" s="122">
        <f>M60-M59</f>
        <v>0</v>
      </c>
      <c r="N61" s="122">
        <f>N60-N59</f>
        <v>0</v>
      </c>
      <c r="O61" s="122">
        <f>O60-O59</f>
        <v>0</v>
      </c>
      <c r="P61" s="122">
        <f>P60-P59</f>
        <v>0</v>
      </c>
      <c r="Q61" s="122">
        <f>Q60-Q59</f>
        <v>-1.2116474604623306</v>
      </c>
      <c r="R61" s="122">
        <f>R60-R59</f>
        <v>-2.293720920817913</v>
      </c>
      <c r="S61" s="122">
        <f>S60-S59</f>
        <v>-3.2832765160972901</v>
      </c>
      <c r="T61" s="122">
        <f>T60-T59</f>
        <v>-4.1959390016649589</v>
      </c>
      <c r="U61" s="122">
        <f>U60-U59</f>
        <v>-5.056458560475555</v>
      </c>
      <c r="V61" s="122">
        <f>V60-V59</f>
        <v>-5.8540322975467642</v>
      </c>
      <c r="W61" s="122">
        <f>W60-W59</f>
        <v>-6.6125146631202512</v>
      </c>
      <c r="X61" s="122">
        <f>X60-X59</f>
        <v>-7.3379188855570661</v>
      </c>
      <c r="Y61" s="122">
        <f>Y60-Y59</f>
        <v>-8.0339262331588426</v>
      </c>
      <c r="Z61" s="122">
        <f>Z60-Z59</f>
        <v>-8.701595388295452</v>
      </c>
      <c r="AA61" s="122">
        <f>AA60-AA59</f>
        <v>-9.3432497667653696</v>
      </c>
      <c r="AB61" s="122">
        <f>AB60-AB59</f>
        <v>-9.9612478182066777</v>
      </c>
      <c r="AC61" s="122">
        <f>AC60-AC59</f>
        <v>-10.559222590397795</v>
      </c>
      <c r="AD61" s="122">
        <f>AD60-AD59</f>
        <v>-11.140186679629227</v>
      </c>
      <c r="AE61" s="122">
        <f>AE60-AE59</f>
        <v>-11.706394193016898</v>
      </c>
    </row>
    <row r="62" spans="1:35" x14ac:dyDescent="0.35">
      <c r="B62" s="116" t="s">
        <v>3177</v>
      </c>
      <c r="C62" s="116" t="s">
        <v>4</v>
      </c>
      <c r="D62" s="116" t="s">
        <v>3543</v>
      </c>
      <c r="E62" s="116" t="s">
        <v>2094</v>
      </c>
      <c r="F62" s="116" t="s">
        <v>3544</v>
      </c>
      <c r="H62" s="120" t="str">
        <f>Settings!$B$3&amp;".mit.t2.indx"</f>
        <v>egy.mit.t2.indx</v>
      </c>
      <c r="L62" s="122">
        <f>IPPU_Industry!L11</f>
        <v>59.804205879849356</v>
      </c>
      <c r="M62" s="122">
        <f>IPPU_Industry!M11</f>
        <v>48.931828957170424</v>
      </c>
      <c r="N62" s="122">
        <f>IPPU_Industry!N11</f>
        <v>57.158576789144817</v>
      </c>
      <c r="O62" s="122">
        <f>IPPU_Industry!O11</f>
        <v>63.720179343286866</v>
      </c>
      <c r="P62" s="122">
        <f>IPPU_Industry!P11</f>
        <v>61.946242160955606</v>
      </c>
      <c r="Q62" s="122">
        <f>IPPU_Industry!Q11</f>
        <v>67.559423563084593</v>
      </c>
      <c r="R62" s="122">
        <f>IPPU_Industry!R11</f>
        <v>70.271483517026113</v>
      </c>
      <c r="S62" s="122">
        <f>IPPU_Industry!S11</f>
        <v>72.898243967174636</v>
      </c>
      <c r="T62" s="122">
        <f>IPPU_Industry!T11</f>
        <v>75.384269563412914</v>
      </c>
      <c r="U62" s="122">
        <f>IPPU_Industry!U11</f>
        <v>77.910341033518762</v>
      </c>
      <c r="V62" s="122">
        <f>IPPU_Industry!V11</f>
        <v>80.451479009297159</v>
      </c>
      <c r="W62" s="122">
        <f>IPPU_Industry!W11</f>
        <v>83.040753204531725</v>
      </c>
      <c r="X62" s="122">
        <f>IPPU_Industry!X11</f>
        <v>85.677916059881724</v>
      </c>
      <c r="Y62" s="122">
        <f>IPPU_Industry!Y11</f>
        <v>88.362687782476257</v>
      </c>
      <c r="Z62" s="122">
        <f>IPPU_Industry!Z11</f>
        <v>91.094755740472323</v>
      </c>
      <c r="AA62" s="122">
        <f>IPPU_Industry!AA11</f>
        <v>93.873773761327016</v>
      </c>
      <c r="AB62" s="122">
        <f>IPPU_Industry!AB11</f>
        <v>96.699361329439938</v>
      </c>
      <c r="AC62" s="122">
        <f>IPPU_Industry!AC11</f>
        <v>99.571102679005023</v>
      </c>
      <c r="AD62" s="122">
        <f>IPPU_Industry!AD11</f>
        <v>102.4885457780901</v>
      </c>
      <c r="AE62" s="122">
        <f>IPPU_Industry!AE11</f>
        <v>105.45120120012244</v>
      </c>
    </row>
    <row r="63" spans="1:35" x14ac:dyDescent="0.35">
      <c r="B63" s="116" t="s">
        <v>3177</v>
      </c>
      <c r="C63" s="116" t="s">
        <v>4</v>
      </c>
      <c r="D63" s="116" t="s">
        <v>3545</v>
      </c>
      <c r="E63" s="116" t="s">
        <v>2094</v>
      </c>
      <c r="H63" s="120" t="str">
        <f>Settings!$B$3&amp;".mit.t2.nk1"</f>
        <v>egy.mit.t2.nk1</v>
      </c>
      <c r="L63" s="122">
        <f>L62-L59</f>
        <v>45.784464915315084</v>
      </c>
      <c r="M63" s="122">
        <f>M62-M59</f>
        <v>37.192527727134426</v>
      </c>
      <c r="N63" s="122">
        <f>N62-N59</f>
        <v>43.855452270281717</v>
      </c>
      <c r="O63" s="122">
        <f>O62-O59</f>
        <v>49.563279744859848</v>
      </c>
      <c r="P63" s="122">
        <f>P62-P59</f>
        <v>47.65999741897204</v>
      </c>
      <c r="Q63" s="122">
        <f>Q62-Q59</f>
        <v>52.865296313252706</v>
      </c>
      <c r="R63" s="122">
        <f>R62-R59</f>
        <v>54.994511682348595</v>
      </c>
      <c r="S63" s="122">
        <f>S62-S59</f>
        <v>57.054174088924483</v>
      </c>
      <c r="T63" s="122">
        <f>T62-T59</f>
        <v>59.000373149122701</v>
      </c>
      <c r="U63" s="122">
        <f>U62-U59</f>
        <v>60.97824978649107</v>
      </c>
      <c r="V63" s="122">
        <f>V62-V59</f>
        <v>62.99475711200926</v>
      </c>
      <c r="W63" s="122">
        <f>W62-W59</f>
        <v>65.049718570755431</v>
      </c>
      <c r="X63" s="122">
        <f>X62-X59</f>
        <v>67.142932484287698</v>
      </c>
      <c r="Y63" s="122">
        <f>Y62-Y59</f>
        <v>69.274171672021055</v>
      </c>
      <c r="Z63" s="122">
        <f>Z62-Z59</f>
        <v>71.443182999041895</v>
      </c>
      <c r="AA63" s="122">
        <f>AA62-AA59</f>
        <v>73.649686846797763</v>
      </c>
      <c r="AB63" s="122">
        <f>AB62-AB59</f>
        <v>75.893376503270048</v>
      </c>
      <c r="AC63" s="122">
        <f>AC62-AC59</f>
        <v>78.173917469388186</v>
      </c>
      <c r="AD63" s="122">
        <f>AD62-AD59</f>
        <v>80.49094667858968</v>
      </c>
      <c r="AE63" s="122">
        <f>AE62-AE59</f>
        <v>82.844071626560151</v>
      </c>
    </row>
    <row r="64" spans="1:35" x14ac:dyDescent="0.35">
      <c r="B64" s="116" t="s">
        <v>3177</v>
      </c>
      <c r="C64" s="116" t="s">
        <v>4</v>
      </c>
      <c r="D64" s="116" t="s">
        <v>3546</v>
      </c>
      <c r="E64" s="116" t="s">
        <v>2094</v>
      </c>
      <c r="H64" s="120" t="str">
        <f>Settings!$B$3&amp;".mit.t2.dnk"</f>
        <v>egy.mit.t2.dnk</v>
      </c>
      <c r="L64" s="122">
        <f>IF($D$16="All sectors",IF(L31=0,0,L63*(L32/L31-1)),0)</f>
        <v>0</v>
      </c>
      <c r="M64" s="122">
        <f>IF($D$16="All sectors",IF(M31=0,0,M63*(M32/M31-1)),0)</f>
        <v>0</v>
      </c>
      <c r="N64" s="122">
        <f>IF($D$16="All sectors",IF(N31=0,0,N63*(N32/N31-1)),0)</f>
        <v>0</v>
      </c>
      <c r="O64" s="122">
        <f>IF($D$16="All sectors",IF(O31=0,0,O63*(O32/O31-1)),0)</f>
        <v>0</v>
      </c>
      <c r="P64" s="122">
        <f>IF($D$16="All sectors",IF(P31=0,0,P63*(P32/P31-1)),0)</f>
        <v>0</v>
      </c>
      <c r="Q64" s="122">
        <f>IF($D$16="All sectors",IF(Q31=0,0,Q63*(Q32/Q31-1)),0)</f>
        <v>0</v>
      </c>
      <c r="R64" s="122">
        <f>IF($D$16="All sectors",IF(R31=0,0,R63*(R32/R31-1)),0)</f>
        <v>0</v>
      </c>
      <c r="S64" s="122">
        <f>IF($D$16="All sectors",IF(S31=0,0,S63*(S32/S31-1)),0)</f>
        <v>0</v>
      </c>
      <c r="T64" s="122">
        <f>IF($D$16="All sectors",IF(T31=0,0,T63*(T32/T31-1)),0)</f>
        <v>0</v>
      </c>
      <c r="U64" s="122">
        <f>IF($D$16="All sectors",IF(U31=0,0,U63*(U32/U31-1)),0)</f>
        <v>0</v>
      </c>
      <c r="V64" s="122">
        <f>IF($D$16="All sectors",IF(V31=0,0,V63*(V32/V31-1)),0)</f>
        <v>0</v>
      </c>
      <c r="W64" s="122">
        <f>IF($D$16="All sectors",IF(W31=0,0,W63*(W32/W31-1)),0)</f>
        <v>0</v>
      </c>
      <c r="X64" s="122">
        <f>IF($D$16="All sectors",IF(X31=0,0,X63*(X32/X31-1)),0)</f>
        <v>0</v>
      </c>
      <c r="Y64" s="122">
        <f>IF($D$16="All sectors",IF(Y31=0,0,Y63*(Y32/Y31-1)),0)</f>
        <v>0</v>
      </c>
      <c r="Z64" s="122">
        <f>IF($D$16="All sectors",IF(Z31=0,0,Z63*(Z32/Z31-1)),0)</f>
        <v>0</v>
      </c>
      <c r="AA64" s="122">
        <f>IF($D$16="All sectors",IF(AA31=0,0,AA63*(AA32/AA31-1)),0)</f>
        <v>0</v>
      </c>
      <c r="AB64" s="122">
        <f>IF($D$16="All sectors",IF(AB31=0,0,AB63*(AB32/AB31-1)),0)</f>
        <v>0</v>
      </c>
      <c r="AC64" s="122">
        <f>IF($D$16="All sectors",IF(AC31=0,0,AC63*(AC32/AC31-1)),0)</f>
        <v>0</v>
      </c>
      <c r="AD64" s="122">
        <f>IF($D$16="All sectors",IF(AD31=0,0,AD63*(AD32/AD31-1)),0)</f>
        <v>0</v>
      </c>
      <c r="AE64" s="122">
        <f>IF($D$16="All sectors",IF(AE31=0,0,AE63*(AE32/AE31-1)),0)</f>
        <v>0</v>
      </c>
    </row>
    <row r="65" spans="1:35" x14ac:dyDescent="0.35">
      <c r="B65" s="116" t="s">
        <v>3177</v>
      </c>
      <c r="C65" s="116" t="s">
        <v>4</v>
      </c>
      <c r="D65" s="116" t="s">
        <v>3547</v>
      </c>
      <c r="E65" s="116" t="s">
        <v>2094</v>
      </c>
      <c r="H65" s="120" t="str">
        <f>Settings!$B$3&amp;".mit.t2.dik"</f>
        <v>egy.mit.t2.dik</v>
      </c>
      <c r="L65" s="122">
        <f>L61+L64</f>
        <v>0</v>
      </c>
      <c r="M65" s="122">
        <f>M61+M64</f>
        <v>0</v>
      </c>
      <c r="N65" s="122">
        <f>N61+N64</f>
        <v>0</v>
      </c>
      <c r="O65" s="122">
        <f>O61+O64</f>
        <v>0</v>
      </c>
      <c r="P65" s="122">
        <f>P61+P64</f>
        <v>0</v>
      </c>
      <c r="Q65" s="122">
        <f>Q61+Q64</f>
        <v>-1.2116474604623306</v>
      </c>
      <c r="R65" s="122">
        <f>R61+R64</f>
        <v>-2.293720920817913</v>
      </c>
      <c r="S65" s="122">
        <f>S61+S64</f>
        <v>-3.2832765160972901</v>
      </c>
      <c r="T65" s="122">
        <f>T61+T64</f>
        <v>-4.1959390016649589</v>
      </c>
      <c r="U65" s="122">
        <f>U61+U64</f>
        <v>-5.056458560475555</v>
      </c>
      <c r="V65" s="122">
        <f>V61+V64</f>
        <v>-5.8540322975467642</v>
      </c>
      <c r="W65" s="122">
        <f>W61+W64</f>
        <v>-6.6125146631202512</v>
      </c>
      <c r="X65" s="122">
        <f>X61+X64</f>
        <v>-7.3379188855570661</v>
      </c>
      <c r="Y65" s="122">
        <f>Y61+Y64</f>
        <v>-8.0339262331588426</v>
      </c>
      <c r="Z65" s="122">
        <f>Z61+Z64</f>
        <v>-8.701595388295452</v>
      </c>
      <c r="AA65" s="122">
        <f>AA61+AA64</f>
        <v>-9.3432497667653696</v>
      </c>
      <c r="AB65" s="122">
        <f>AB61+AB64</f>
        <v>-9.9612478182066777</v>
      </c>
      <c r="AC65" s="122">
        <f>AC61+AC64</f>
        <v>-10.559222590397795</v>
      </c>
      <c r="AD65" s="122">
        <f>AD61+AD64</f>
        <v>-11.140186679629227</v>
      </c>
      <c r="AE65" s="122">
        <f>AE61+AE64</f>
        <v>-11.706394193016898</v>
      </c>
    </row>
    <row r="66" spans="1:35" x14ac:dyDescent="0.35">
      <c r="B66" s="116" t="s">
        <v>3177</v>
      </c>
      <c r="C66" s="116" t="s">
        <v>4</v>
      </c>
      <c r="D66" s="116" t="s">
        <v>3548</v>
      </c>
      <c r="E66" s="116" t="s">
        <v>1868</v>
      </c>
      <c r="F66" s="116" t="s">
        <v>3549</v>
      </c>
      <c r="H66" s="120" t="str">
        <f>Settings!$B$3&amp;".mit.t2.ik1"</f>
        <v>egy.mit.t2.ik1</v>
      </c>
      <c r="L66" s="122">
        <f>IPPU_Industry!L26</f>
        <v>52.200349760476598</v>
      </c>
      <c r="M66" s="122">
        <f>IPPU_Industry!M26</f>
        <v>56.903431130804279</v>
      </c>
      <c r="N66" s="122">
        <f>IPPU_Industry!N26</f>
        <v>66.470418277289212</v>
      </c>
      <c r="O66" s="122">
        <f>IPPU_Industry!O26</f>
        <v>74.100987315984753</v>
      </c>
      <c r="P66" s="122">
        <f>IPPU_Industry!P26</f>
        <v>72.038053752362728</v>
      </c>
      <c r="Q66" s="122">
        <f>IPPU_Industry!Q26</f>
        <v>78.565692063620887</v>
      </c>
      <c r="R66" s="122">
        <f>IPPU_Industry!R26</f>
        <v>81.719580240308588</v>
      </c>
      <c r="S66" s="122">
        <f>IPPU_Industry!S26</f>
        <v>84.774272565481596</v>
      </c>
      <c r="T66" s="122">
        <f>IPPU_Industry!T26</f>
        <v>87.665302582544385</v>
      </c>
      <c r="U66" s="122">
        <f>IPPU_Industry!U26</f>
        <v>90.60290244329093</v>
      </c>
      <c r="V66" s="122">
        <f>IPPU_Industry!V26</f>
        <v>93.558023330457104</v>
      </c>
      <c r="W66" s="122">
        <f>IPPU_Industry!W26</f>
        <v>96.569122424591995</v>
      </c>
      <c r="X66" s="122">
        <f>IPPU_Industry!X26</f>
        <v>99.635911835866054</v>
      </c>
      <c r="Y66" s="122">
        <f>IPPU_Industry!Y26</f>
        <v>102.75806618967755</v>
      </c>
      <c r="Z66" s="122">
        <f>IPPU_Industry!Z26</f>
        <v>105.93522192257653</v>
      </c>
      <c r="AA66" s="122">
        <f>IPPU_Industry!AA26</f>
        <v>109.16697646621689</v>
      </c>
      <c r="AB66" s="122">
        <f>IPPU_Industry!AB26</f>
        <v>112.45288731428479</v>
      </c>
      <c r="AC66" s="122">
        <f>IPPU_Industry!AC26</f>
        <v>115.79247096756481</v>
      </c>
      <c r="AD66" s="122">
        <f>IPPU_Industry!AD26</f>
        <v>119.18520175251334</v>
      </c>
      <c r="AE66" s="122">
        <f>IPPU_Industry!AE26</f>
        <v>122.63051050889524</v>
      </c>
    </row>
    <row r="67" spans="1:35" x14ac:dyDescent="0.35">
      <c r="B67" s="116" t="s">
        <v>3177</v>
      </c>
      <c r="C67" s="116" t="s">
        <v>4</v>
      </c>
      <c r="D67" s="116" t="s">
        <v>3550</v>
      </c>
      <c r="E67" s="116" t="s">
        <v>1868</v>
      </c>
      <c r="F67" s="116" t="s">
        <v>3551</v>
      </c>
      <c r="H67" s="120" t="str">
        <f>Settings!$B$3&amp;".mit.t2.ik2"</f>
        <v>egy.mit.t2.ik2</v>
      </c>
      <c r="L67" s="122">
        <f>IPPU_Industry!L43</f>
        <v>52.200349760476598</v>
      </c>
      <c r="M67" s="122">
        <f>IPPU_Industry!M43</f>
        <v>56.903431130804279</v>
      </c>
      <c r="N67" s="122">
        <f>IPPU_Industry!N43</f>
        <v>66.470418277289212</v>
      </c>
      <c r="O67" s="122">
        <f>IPPU_Industry!O43</f>
        <v>74.100987315984753</v>
      </c>
      <c r="P67" s="122">
        <f>IPPU_Industry!P43</f>
        <v>72.038053752362728</v>
      </c>
      <c r="Q67" s="122">
        <f>IPPU_Industry!Q43</f>
        <v>78.565692063620887</v>
      </c>
      <c r="R67" s="122">
        <f>IPPU_Industry!R43</f>
        <v>81.719580240308588</v>
      </c>
      <c r="S67" s="122">
        <f>IPPU_Industry!S43</f>
        <v>84.774272565481596</v>
      </c>
      <c r="T67" s="122">
        <f>IPPU_Industry!T43</f>
        <v>87.665302582544385</v>
      </c>
      <c r="U67" s="122">
        <f>IPPU_Industry!U43</f>
        <v>90.60290244329093</v>
      </c>
      <c r="V67" s="122">
        <f>IPPU_Industry!V43</f>
        <v>93.558023330457104</v>
      </c>
      <c r="W67" s="122">
        <f>IPPU_Industry!W43</f>
        <v>96.569122424591995</v>
      </c>
      <c r="X67" s="122">
        <f>IPPU_Industry!X43</f>
        <v>99.635911835866054</v>
      </c>
      <c r="Y67" s="122">
        <f>IPPU_Industry!Y43</f>
        <v>102.75806618967755</v>
      </c>
      <c r="Z67" s="122">
        <f>IPPU_Industry!Z43</f>
        <v>105.93522192257653</v>
      </c>
      <c r="AA67" s="122">
        <f>IPPU_Industry!AA43</f>
        <v>109.16697646621689</v>
      </c>
      <c r="AB67" s="122">
        <f>IPPU_Industry!AB43</f>
        <v>112.45288731428479</v>
      </c>
      <c r="AC67" s="122">
        <f>IPPU_Industry!AC43</f>
        <v>115.79247096756481</v>
      </c>
      <c r="AD67" s="122">
        <f>IPPU_Industry!AD43</f>
        <v>119.18520175251334</v>
      </c>
      <c r="AE67" s="122">
        <f>IPPU_Industry!AE43</f>
        <v>122.63051050889524</v>
      </c>
    </row>
    <row r="68" spans="1:35" x14ac:dyDescent="0.35">
      <c r="B68" s="116" t="s">
        <v>3177</v>
      </c>
      <c r="C68" s="116" t="s">
        <v>4</v>
      </c>
      <c r="D68" s="116" t="s">
        <v>3552</v>
      </c>
      <c r="E68" s="116" t="s">
        <v>1868</v>
      </c>
      <c r="H68" s="120" t="str">
        <f>Settings!$B$3&amp;".mit.t2.dik_p"</f>
        <v>egy.mit.t2.dik_p</v>
      </c>
      <c r="L68" s="122">
        <f>L67-L66</f>
        <v>0</v>
      </c>
      <c r="M68" s="122">
        <f>M67-M66</f>
        <v>0</v>
      </c>
      <c r="N68" s="122">
        <f>N67-N66</f>
        <v>0</v>
      </c>
      <c r="O68" s="122">
        <f>O67-O66</f>
        <v>0</v>
      </c>
      <c r="P68" s="122">
        <f>P67-P66</f>
        <v>0</v>
      </c>
      <c r="Q68" s="122">
        <f>Q67-Q66</f>
        <v>0</v>
      </c>
      <c r="R68" s="122">
        <f>R67-R66</f>
        <v>0</v>
      </c>
      <c r="S68" s="122">
        <f>S67-S66</f>
        <v>0</v>
      </c>
      <c r="T68" s="122">
        <f>T67-T66</f>
        <v>0</v>
      </c>
      <c r="U68" s="122">
        <f>U67-U66</f>
        <v>0</v>
      </c>
      <c r="V68" s="122">
        <f>V67-V66</f>
        <v>0</v>
      </c>
      <c r="W68" s="122">
        <f>W67-W66</f>
        <v>0</v>
      </c>
      <c r="X68" s="122">
        <f>X67-X66</f>
        <v>0</v>
      </c>
      <c r="Y68" s="122">
        <f>Y67-Y66</f>
        <v>0</v>
      </c>
      <c r="Z68" s="122">
        <f>Z67-Z66</f>
        <v>0</v>
      </c>
      <c r="AA68" s="122">
        <f>AA67-AA66</f>
        <v>0</v>
      </c>
      <c r="AB68" s="122">
        <f>AB67-AB66</f>
        <v>0</v>
      </c>
      <c r="AC68" s="122">
        <f>AC67-AC66</f>
        <v>0</v>
      </c>
      <c r="AD68" s="122">
        <f>AD67-AD66</f>
        <v>0</v>
      </c>
      <c r="AE68" s="122">
        <f>AE67-AE66</f>
        <v>0</v>
      </c>
    </row>
    <row r="69" spans="1:35" x14ac:dyDescent="0.35">
      <c r="B69" s="116" t="s">
        <v>3177</v>
      </c>
      <c r="C69" s="116" t="s">
        <v>4</v>
      </c>
      <c r="D69" s="116" t="s">
        <v>3553</v>
      </c>
      <c r="E69" s="116" t="s">
        <v>1868</v>
      </c>
      <c r="F69" s="116" t="s">
        <v>3554</v>
      </c>
      <c r="H69" s="120" t="str">
        <f>Settings!$B$3&amp;".mit.t2.bp1"</f>
        <v>egy.mit.t2.bp1</v>
      </c>
      <c r="L69" s="122">
        <f>Mitigation_Industry!L390</f>
        <v>26.090339299916035</v>
      </c>
      <c r="M69" s="122">
        <f>Mitigation_Industry!M390</f>
        <v>26.961911636097749</v>
      </c>
      <c r="N69" s="122">
        <f>Mitigation_Industry!N390</f>
        <v>27.863</v>
      </c>
      <c r="O69" s="122">
        <f>Mitigation_Industry!O390</f>
        <v>28.794623000000001</v>
      </c>
      <c r="P69" s="122">
        <f>Mitigation_Industry!P390</f>
        <v>29.757835348999997</v>
      </c>
      <c r="Q69" s="122">
        <f>Mitigation_Industry!Q390</f>
        <v>30.753729192394992</v>
      </c>
      <c r="R69" s="122">
        <f>Mitigation_Industry!R390</f>
        <v>31.783435487304406</v>
      </c>
      <c r="S69" s="122">
        <f>Mitigation_Industry!S390</f>
        <v>32.848125435164661</v>
      </c>
      <c r="T69" s="122">
        <f>Mitigation_Industry!T390</f>
        <v>33.949011969871037</v>
      </c>
      <c r="U69" s="122">
        <f>Mitigation_Industry!U390</f>
        <v>35.087351303752357</v>
      </c>
      <c r="V69" s="122">
        <f>Mitigation_Industry!V390</f>
        <v>36.264444533762401</v>
      </c>
      <c r="W69" s="122">
        <f>Mitigation_Industry!W390</f>
        <v>37.481639310376153</v>
      </c>
      <c r="X69" s="122">
        <f>Mitigation_Industry!X390</f>
        <v>38.740331571788559</v>
      </c>
      <c r="Y69" s="122">
        <f>Mitigation_Industry!Y390</f>
        <v>40.041967346128288</v>
      </c>
      <c r="Z69" s="122">
        <f>Mitigation_Industry!Z390</f>
        <v>41.388044624518066</v>
      </c>
      <c r="AA69" s="122">
        <f>Mitigation_Industry!AA390</f>
        <v>42.780115307939894</v>
      </c>
      <c r="AB69" s="122">
        <f>Mitigation_Industry!AB390</f>
        <v>44.219787230993525</v>
      </c>
      <c r="AC69" s="122">
        <f>Mitigation_Industry!AC390</f>
        <v>45.708726265775255</v>
      </c>
      <c r="AD69" s="122">
        <f>Mitigation_Industry!AD390</f>
        <v>47.248658509247441</v>
      </c>
      <c r="AE69" s="122">
        <f>Mitigation_Industry!AE390</f>
        <v>48.841372557620318</v>
      </c>
    </row>
    <row r="70" spans="1:35" x14ac:dyDescent="0.35">
      <c r="B70" s="116" t="s">
        <v>3177</v>
      </c>
      <c r="C70" s="116" t="s">
        <v>4</v>
      </c>
      <c r="D70" s="116" t="s">
        <v>3555</v>
      </c>
      <c r="E70" s="116" t="s">
        <v>1868</v>
      </c>
      <c r="F70" s="116" t="s">
        <v>3556</v>
      </c>
      <c r="H70" s="120" t="str">
        <f>Settings!$B$3&amp;".mit.t2.be1"</f>
        <v>egy.mit.t2.be1</v>
      </c>
      <c r="L70" s="122">
        <f>Mitigation_Industry!L380</f>
        <v>47.016585657660869</v>
      </c>
      <c r="M70" s="122">
        <f>Mitigation_Industry!M380</f>
        <v>48.583140104124077</v>
      </c>
      <c r="N70" s="122">
        <f>Mitigation_Industry!N380</f>
        <v>50.203203500000001</v>
      </c>
      <c r="O70" s="122">
        <f>Mitigation_Industry!O380</f>
        <v>51.878652142999996</v>
      </c>
      <c r="P70" s="122">
        <f>Mitigation_Industry!P380</f>
        <v>53.611430083849996</v>
      </c>
      <c r="Q70" s="122">
        <f>Mitigation_Industry!Q380</f>
        <v>55.403551656613665</v>
      </c>
      <c r="R70" s="122">
        <f>Mitigation_Industry!R380</f>
        <v>57.257104107200519</v>
      </c>
      <c r="S70" s="122">
        <f>Mitigation_Industry!S380</f>
        <v>59.174250324032485</v>
      </c>
      <c r="T70" s="122">
        <f>Mitigation_Industry!T380</f>
        <v>61.157231675010621</v>
      </c>
      <c r="U70" s="122">
        <f>Mitigation_Industry!U380</f>
        <v>63.208370955098907</v>
      </c>
      <c r="V70" s="122">
        <f>Mitigation_Industry!V380</f>
        <v>65.330075449025699</v>
      </c>
      <c r="W70" s="122">
        <f>Mitigation_Industry!W380</f>
        <v>67.52484011379407</v>
      </c>
      <c r="X70" s="122">
        <f>Mitigation_Industry!X380</f>
        <v>69.795250885892727</v>
      </c>
      <c r="Y70" s="122">
        <f>Mitigation_Industry!Y380</f>
        <v>72.143988118307931</v>
      </c>
      <c r="Z70" s="122">
        <f>Mitigation_Industry!Z380</f>
        <v>74.573830152653841</v>
      </c>
      <c r="AA70" s="122">
        <f>Mitigation_Industry!AA380</f>
        <v>77.087657031968192</v>
      </c>
      <c r="AB70" s="122">
        <f>Mitigation_Industry!AB380</f>
        <v>79.688454359956438</v>
      </c>
      <c r="AC70" s="122">
        <f>Mitigation_Industry!AC380</f>
        <v>82.379317312717077</v>
      </c>
      <c r="AD70" s="122">
        <f>Mitigation_Industry!AD380</f>
        <v>85.163454809240335</v>
      </c>
      <c r="AE70" s="122">
        <f>Mitigation_Industry!AE380</f>
        <v>88.044193847243562</v>
      </c>
    </row>
    <row r="71" spans="1:35" x14ac:dyDescent="0.35">
      <c r="B71" s="116" t="s">
        <v>3177</v>
      </c>
      <c r="C71" s="116" t="s">
        <v>4</v>
      </c>
      <c r="D71" s="116" t="s">
        <v>3557</v>
      </c>
      <c r="E71" s="116" t="s">
        <v>16</v>
      </c>
      <c r="F71" s="116" t="s">
        <v>3558</v>
      </c>
      <c r="H71" s="120" t="str">
        <f>Settings!$B$3&amp;".mit.t2.cp"</f>
        <v>egy.mit.t2.cp</v>
      </c>
      <c r="L71" s="122">
        <f>Scenarios!L42</f>
        <v>0</v>
      </c>
      <c r="M71" s="122">
        <f>Scenarios!M42</f>
        <v>0</v>
      </c>
      <c r="N71" s="122">
        <f>Scenarios!N42</f>
        <v>0</v>
      </c>
      <c r="O71" s="122">
        <f>Scenarios!O42</f>
        <v>0</v>
      </c>
      <c r="P71" s="122">
        <f>Scenarios!P42</f>
        <v>0</v>
      </c>
      <c r="Q71" s="122">
        <f>Scenarios!Q42</f>
        <v>12.5</v>
      </c>
      <c r="R71" s="122">
        <f>Scenarios!R42</f>
        <v>25</v>
      </c>
      <c r="S71" s="122">
        <f>Scenarios!S42</f>
        <v>37.5</v>
      </c>
      <c r="T71" s="122">
        <f>Scenarios!T42</f>
        <v>50</v>
      </c>
      <c r="U71" s="122">
        <f>Scenarios!U42</f>
        <v>62.5</v>
      </c>
      <c r="V71" s="122">
        <f>Scenarios!V42</f>
        <v>75</v>
      </c>
      <c r="W71" s="122">
        <f>Scenarios!W42</f>
        <v>87.5</v>
      </c>
      <c r="X71" s="122">
        <f>Scenarios!X42</f>
        <v>100</v>
      </c>
      <c r="Y71" s="122">
        <f>Scenarios!Y42</f>
        <v>112.5</v>
      </c>
      <c r="Z71" s="122">
        <f>Scenarios!Z42</f>
        <v>125</v>
      </c>
      <c r="AA71" s="122">
        <f>Scenarios!AA42</f>
        <v>137.5</v>
      </c>
      <c r="AB71" s="122">
        <f>Scenarios!AB42</f>
        <v>150</v>
      </c>
      <c r="AC71" s="122">
        <f>Scenarios!AC42</f>
        <v>162.5</v>
      </c>
      <c r="AD71" s="122">
        <f>Scenarios!AD42</f>
        <v>175</v>
      </c>
      <c r="AE71" s="122">
        <f>Scenarios!AE42</f>
        <v>187.5</v>
      </c>
    </row>
    <row r="72" spans="1:35" x14ac:dyDescent="0.35">
      <c r="B72" s="116" t="s">
        <v>3177</v>
      </c>
      <c r="C72" s="116" t="s">
        <v>4</v>
      </c>
      <c r="D72" s="116" t="s">
        <v>3559</v>
      </c>
      <c r="E72" s="116" t="s">
        <v>79</v>
      </c>
      <c r="F72" s="116" t="s">
        <v>3560</v>
      </c>
      <c r="H72" s="120" t="str">
        <f>Settings!$B$3&amp;".mit.t2.encov"</f>
        <v>egy.mit.t2.encov</v>
      </c>
      <c r="L72" s="122">
        <f>Scenarios!L45</f>
        <v>1</v>
      </c>
      <c r="M72" s="122">
        <f>Scenarios!M45</f>
        <v>1</v>
      </c>
      <c r="N72" s="122">
        <f>Scenarios!N45</f>
        <v>1</v>
      </c>
      <c r="O72" s="122">
        <f>Scenarios!O45</f>
        <v>1</v>
      </c>
      <c r="P72" s="122">
        <f>Scenarios!P45</f>
        <v>1</v>
      </c>
      <c r="Q72" s="122">
        <f>Scenarios!Q45</f>
        <v>1</v>
      </c>
      <c r="R72" s="122">
        <f>Scenarios!R45</f>
        <v>1</v>
      </c>
      <c r="S72" s="122">
        <f>Scenarios!S45</f>
        <v>1</v>
      </c>
      <c r="T72" s="122">
        <f>Scenarios!T45</f>
        <v>1</v>
      </c>
      <c r="U72" s="122">
        <f>Scenarios!U45</f>
        <v>1</v>
      </c>
      <c r="V72" s="122">
        <f>Scenarios!V45</f>
        <v>1</v>
      </c>
      <c r="W72" s="122">
        <f>Scenarios!W45</f>
        <v>1</v>
      </c>
      <c r="X72" s="122">
        <f>Scenarios!X45</f>
        <v>1</v>
      </c>
      <c r="Y72" s="122">
        <f>Scenarios!Y45</f>
        <v>1</v>
      </c>
      <c r="Z72" s="122">
        <f>Scenarios!Z45</f>
        <v>1</v>
      </c>
      <c r="AA72" s="122">
        <f>Scenarios!AA45</f>
        <v>1</v>
      </c>
      <c r="AB72" s="122">
        <f>Scenarios!AB45</f>
        <v>1</v>
      </c>
      <c r="AC72" s="122">
        <f>Scenarios!AC45</f>
        <v>1</v>
      </c>
      <c r="AD72" s="122">
        <f>Scenarios!AD45</f>
        <v>1</v>
      </c>
      <c r="AE72" s="122">
        <f>Scenarios!AE45</f>
        <v>1</v>
      </c>
    </row>
    <row r="73" spans="1:35" x14ac:dyDescent="0.35">
      <c r="B73" s="116" t="s">
        <v>3177</v>
      </c>
      <c r="C73" s="116" t="s">
        <v>4</v>
      </c>
      <c r="D73" s="116" t="s">
        <v>3561</v>
      </c>
      <c r="E73" s="116" t="s">
        <v>3435</v>
      </c>
      <c r="F73" s="116" t="s">
        <v>3562</v>
      </c>
      <c r="H73" s="120" t="str">
        <f>Settings!$B$3&amp;".mit.t2.revp"</f>
        <v>egy.mit.t2.revp</v>
      </c>
      <c r="L73" s="122">
        <f>Mitigation_Industry!L782/1000</f>
        <v>0</v>
      </c>
      <c r="M73" s="122">
        <f>Mitigation_Industry!M782/1000</f>
        <v>0</v>
      </c>
      <c r="N73" s="122">
        <f>Mitigation_Industry!N782/1000</f>
        <v>0</v>
      </c>
      <c r="O73" s="122">
        <f>Mitigation_Industry!O782/1000</f>
        <v>0</v>
      </c>
      <c r="P73" s="122">
        <f>Mitigation_Industry!P782/1000</f>
        <v>0</v>
      </c>
      <c r="Q73" s="122">
        <f>Mitigation_Industry!Q782/1000</f>
        <v>0</v>
      </c>
      <c r="R73" s="122">
        <f>Mitigation_Industry!R782/1000</f>
        <v>0</v>
      </c>
      <c r="S73" s="122">
        <f>Mitigation_Industry!S782/1000</f>
        <v>0</v>
      </c>
      <c r="T73" s="122">
        <f>Mitigation_Industry!T782/1000</f>
        <v>0</v>
      </c>
      <c r="U73" s="122">
        <f>Mitigation_Industry!U782/1000</f>
        <v>0</v>
      </c>
      <c r="V73" s="122">
        <f>Mitigation_Industry!V782/1000</f>
        <v>0</v>
      </c>
      <c r="W73" s="122">
        <f>Mitigation_Industry!W782/1000</f>
        <v>0</v>
      </c>
      <c r="X73" s="122">
        <f>Mitigation_Industry!X782/1000</f>
        <v>0</v>
      </c>
      <c r="Y73" s="122">
        <f>Mitigation_Industry!Y782/1000</f>
        <v>0</v>
      </c>
      <c r="Z73" s="122">
        <f>Mitigation_Industry!Z782/1000</f>
        <v>0</v>
      </c>
      <c r="AA73" s="122">
        <f>Mitigation_Industry!AA782/1000</f>
        <v>0</v>
      </c>
      <c r="AB73" s="122">
        <f>Mitigation_Industry!AB782/1000</f>
        <v>0</v>
      </c>
      <c r="AC73" s="122">
        <f>Mitigation_Industry!AC782/1000</f>
        <v>0</v>
      </c>
      <c r="AD73" s="122">
        <f>Mitigation_Industry!AD782/1000</f>
        <v>0</v>
      </c>
      <c r="AE73" s="122">
        <f>Mitigation_Industry!AE782/1000</f>
        <v>0</v>
      </c>
    </row>
    <row r="74" spans="1:35" x14ac:dyDescent="0.35">
      <c r="B74" s="116" t="s">
        <v>3177</v>
      </c>
      <c r="C74" s="116" t="s">
        <v>4</v>
      </c>
      <c r="D74" s="116" t="s">
        <v>3563</v>
      </c>
      <c r="E74" s="116" t="s">
        <v>3435</v>
      </c>
      <c r="F74" s="116" t="s">
        <v>3564</v>
      </c>
      <c r="H74" s="120" t="str">
        <f>Settings!$B$3&amp;".mit.t2.obr"</f>
        <v>egy.mit.t2.obr</v>
      </c>
      <c r="L74" s="122">
        <f>Rebate_Industry!L217/1000</f>
        <v>0</v>
      </c>
      <c r="M74" s="122">
        <f>Rebate_Industry!M217/1000</f>
        <v>0</v>
      </c>
      <c r="N74" s="122">
        <f>Rebate_Industry!N217/1000</f>
        <v>0</v>
      </c>
      <c r="O74" s="122">
        <f>Rebate_Industry!O217/1000</f>
        <v>0</v>
      </c>
      <c r="P74" s="122">
        <f>Rebate_Industry!P217/1000</f>
        <v>0</v>
      </c>
      <c r="Q74" s="122">
        <f>Rebate_Industry!Q217/1000</f>
        <v>0</v>
      </c>
      <c r="R74" s="122">
        <f>Rebate_Industry!R217/1000</f>
        <v>0</v>
      </c>
      <c r="S74" s="122">
        <f>Rebate_Industry!S217/1000</f>
        <v>0</v>
      </c>
      <c r="T74" s="122">
        <f>Rebate_Industry!T217/1000</f>
        <v>0</v>
      </c>
      <c r="U74" s="122">
        <f>Rebate_Industry!U217/1000</f>
        <v>0</v>
      </c>
      <c r="V74" s="122">
        <f>Rebate_Industry!V217/1000</f>
        <v>0</v>
      </c>
      <c r="W74" s="122">
        <f>Rebate_Industry!W217/1000</f>
        <v>0</v>
      </c>
      <c r="X74" s="122">
        <f>Rebate_Industry!X217/1000</f>
        <v>0</v>
      </c>
      <c r="Y74" s="122">
        <f>Rebate_Industry!Y217/1000</f>
        <v>0</v>
      </c>
      <c r="Z74" s="122">
        <f>Rebate_Industry!Z217/1000</f>
        <v>0</v>
      </c>
      <c r="AA74" s="122">
        <f>Rebate_Industry!AA217/1000</f>
        <v>0</v>
      </c>
      <c r="AB74" s="122">
        <f>Rebate_Industry!AB217/1000</f>
        <v>0</v>
      </c>
      <c r="AC74" s="122">
        <f>Rebate_Industry!AC217/1000</f>
        <v>0</v>
      </c>
      <c r="AD74" s="122">
        <f>Rebate_Industry!AD217/1000</f>
        <v>0</v>
      </c>
      <c r="AE74" s="122">
        <f>Rebate_Industry!AE217/1000</f>
        <v>0</v>
      </c>
    </row>
    <row r="75" spans="1:35" x14ac:dyDescent="0.35">
      <c r="B75" s="116" t="s">
        <v>3177</v>
      </c>
      <c r="C75" s="116" t="s">
        <v>4</v>
      </c>
      <c r="D75" s="116" t="s">
        <v>3565</v>
      </c>
      <c r="E75" s="116" t="s">
        <v>3435</v>
      </c>
      <c r="F75" s="116" t="s">
        <v>3566</v>
      </c>
      <c r="H75" s="120" t="str">
        <f>Settings!$B$3&amp;".mit.t2.fund"</f>
        <v>egy.mit.t2.fund</v>
      </c>
      <c r="L75" s="122">
        <f>Fund_Industry!L329/1000</f>
        <v>0</v>
      </c>
      <c r="M75" s="122">
        <f>Fund_Industry!M329/1000</f>
        <v>0</v>
      </c>
      <c r="N75" s="122">
        <f>Fund_Industry!N329/1000</f>
        <v>0</v>
      </c>
      <c r="O75" s="122">
        <f>Fund_Industry!O329/1000</f>
        <v>0</v>
      </c>
      <c r="P75" s="122">
        <f>Fund_Industry!P329/1000</f>
        <v>0</v>
      </c>
      <c r="Q75" s="122">
        <f>Fund_Industry!Q329/1000</f>
        <v>0</v>
      </c>
      <c r="R75" s="122">
        <f>Fund_Industry!R329/1000</f>
        <v>0</v>
      </c>
      <c r="S75" s="122">
        <f>Fund_Industry!S329/1000</f>
        <v>0</v>
      </c>
      <c r="T75" s="122">
        <f>Fund_Industry!T329/1000</f>
        <v>0</v>
      </c>
      <c r="U75" s="122">
        <f>Fund_Industry!U329/1000</f>
        <v>0</v>
      </c>
      <c r="V75" s="122">
        <f>Fund_Industry!V329/1000</f>
        <v>0</v>
      </c>
      <c r="W75" s="122">
        <f>Fund_Industry!W329/1000</f>
        <v>0</v>
      </c>
      <c r="X75" s="122">
        <f>Fund_Industry!X329/1000</f>
        <v>0</v>
      </c>
      <c r="Y75" s="122">
        <f>Fund_Industry!Y329/1000</f>
        <v>0</v>
      </c>
      <c r="Z75" s="122">
        <f>Fund_Industry!Z329/1000</f>
        <v>0</v>
      </c>
      <c r="AA75" s="122">
        <f>Fund_Industry!AA329/1000</f>
        <v>0</v>
      </c>
      <c r="AB75" s="122">
        <f>Fund_Industry!AB329/1000</f>
        <v>0</v>
      </c>
      <c r="AC75" s="122">
        <f>Fund_Industry!AC329/1000</f>
        <v>0</v>
      </c>
      <c r="AD75" s="122">
        <f>Fund_Industry!AD329/1000</f>
        <v>0</v>
      </c>
      <c r="AE75" s="122">
        <f>Fund_Industry!AE329/1000</f>
        <v>0</v>
      </c>
    </row>
    <row r="78" spans="1:35" customFormat="1" ht="18" customHeight="1" x14ac:dyDescent="0.45">
      <c r="A78" s="8"/>
      <c r="B78" s="9" t="s">
        <v>3567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4.25" x14ac:dyDescent="0.45">
      <c r="A80" s="11"/>
      <c r="B80" s="6" t="s">
        <v>1504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35">
      <c r="B81" s="116" t="s">
        <v>3568</v>
      </c>
      <c r="C81" s="116" t="s">
        <v>3569</v>
      </c>
      <c r="D81" s="116" t="s">
        <v>3570</v>
      </c>
      <c r="E81" s="116" t="s">
        <v>1868</v>
      </c>
      <c r="H81" s="120" t="str">
        <f>Settings!$B$3&amp;".mit.t2.col.ripr"</f>
        <v>egy.mit.t2.col.ripr</v>
      </c>
      <c r="L81" s="122">
        <f>IF($D$15="-",0,L68-L50)</f>
        <v>0</v>
      </c>
      <c r="M81" s="122">
        <f>IF($D$15="-",0,M68-M50)</f>
        <v>0</v>
      </c>
      <c r="N81" s="122">
        <f>IF($D$15="-",0,N68-N50)</f>
        <v>0</v>
      </c>
      <c r="O81" s="122">
        <f>IF($D$15="-",0,O68-O50)</f>
        <v>0</v>
      </c>
      <c r="P81" s="122">
        <f>IF($D$15="-",0,P68-P50)</f>
        <v>0</v>
      </c>
      <c r="Q81" s="122">
        <f>IF($D$15="-",0,Q68-Q50)</f>
        <v>0</v>
      </c>
      <c r="R81" s="122">
        <f>IF($D$15="-",0,R68-R50)</f>
        <v>0</v>
      </c>
      <c r="S81" s="122">
        <f>IF($D$15="-",0,S68-S50)</f>
        <v>0</v>
      </c>
      <c r="T81" s="122">
        <f>IF($D$15="-",0,T68-T50)</f>
        <v>0</v>
      </c>
      <c r="U81" s="122">
        <f>IF($D$15="-",0,U68-U50)</f>
        <v>0</v>
      </c>
      <c r="V81" s="122">
        <f>IF($D$15="-",0,V68-V50)</f>
        <v>0</v>
      </c>
      <c r="W81" s="122">
        <f>IF($D$15="-",0,W68-W50)</f>
        <v>0</v>
      </c>
      <c r="X81" s="122">
        <f>IF($D$15="-",0,X68-X50)</f>
        <v>0</v>
      </c>
      <c r="Y81" s="122">
        <f>IF($D$15="-",0,Y68-Y50)</f>
        <v>0</v>
      </c>
      <c r="Z81" s="122">
        <f>IF($D$15="-",0,Z68-Z50)</f>
        <v>0</v>
      </c>
      <c r="AA81" s="122">
        <f>IF($D$15="-",0,AA68-AA50)</f>
        <v>0</v>
      </c>
      <c r="AB81" s="122">
        <f>IF($D$15="-",0,AB68-AB50)</f>
        <v>0</v>
      </c>
      <c r="AC81" s="122">
        <f>IF($D$15="-",0,AC68-AC50)</f>
        <v>0</v>
      </c>
      <c r="AD81" s="122">
        <f>IF($D$15="-",0,AD68-AD50)</f>
        <v>0</v>
      </c>
      <c r="AE81" s="122">
        <f>IF($D$15="-",0,AE68-AE50)</f>
        <v>0</v>
      </c>
    </row>
    <row r="82" spans="2:35" x14ac:dyDescent="0.35">
      <c r="B82" s="116" t="s">
        <v>3568</v>
      </c>
      <c r="C82" s="116" t="s">
        <v>3569</v>
      </c>
      <c r="D82" s="116" t="s">
        <v>3571</v>
      </c>
      <c r="E82" s="116" t="s">
        <v>1868</v>
      </c>
      <c r="H82" s="120" t="str">
        <f>Settings!$B$3&amp;".mit.t2.col.rind"</f>
        <v>egy.mit.t2.col.rind</v>
      </c>
      <c r="L82" s="122">
        <f>IF($D$15="-",0,L65-L52)</f>
        <v>0</v>
      </c>
      <c r="M82" s="122">
        <f>IF($D$15="-",0,M65-M52)</f>
        <v>0</v>
      </c>
      <c r="N82" s="122">
        <f>IF($D$15="-",0,N65-N52)</f>
        <v>0</v>
      </c>
      <c r="O82" s="122">
        <f>IF($D$15="-",0,O65-O52)</f>
        <v>0</v>
      </c>
      <c r="P82" s="122">
        <f>IF($D$15="-",0,P65-P52)</f>
        <v>0</v>
      </c>
      <c r="Q82" s="122">
        <f>IF($D$15="-",0,Q65-Q52)</f>
        <v>0</v>
      </c>
      <c r="R82" s="122">
        <f>IF($D$15="-",0,R65-R52)</f>
        <v>0</v>
      </c>
      <c r="S82" s="122">
        <f>IF($D$15="-",0,S65-S52)</f>
        <v>0</v>
      </c>
      <c r="T82" s="122">
        <f>IF($D$15="-",0,T65-T52)</f>
        <v>0</v>
      </c>
      <c r="U82" s="122">
        <f>IF($D$15="-",0,U65-U52)</f>
        <v>0</v>
      </c>
      <c r="V82" s="122">
        <f>IF($D$15="-",0,V65-V52)</f>
        <v>0</v>
      </c>
      <c r="W82" s="122">
        <f>IF($D$15="-",0,W65-W52)</f>
        <v>0</v>
      </c>
      <c r="X82" s="122">
        <f>IF($D$15="-",0,X65-X52)</f>
        <v>0</v>
      </c>
      <c r="Y82" s="122">
        <f>IF($D$15="-",0,Y65-Y52)</f>
        <v>0</v>
      </c>
      <c r="Z82" s="122">
        <f>IF($D$15="-",0,Z65-Z52)</f>
        <v>0</v>
      </c>
      <c r="AA82" s="122">
        <f>IF($D$15="-",0,AA65-AA52)</f>
        <v>0</v>
      </c>
      <c r="AB82" s="122">
        <f>IF($D$15="-",0,AB65-AB52)</f>
        <v>0</v>
      </c>
      <c r="AC82" s="122">
        <f>IF($D$15="-",0,AC65-AC52)</f>
        <v>0</v>
      </c>
      <c r="AD82" s="122">
        <f>IF($D$15="-",0,AD65-AD52)</f>
        <v>0</v>
      </c>
      <c r="AE82" s="122">
        <f>IF($D$15="-",0,AE65-AE52)</f>
        <v>0</v>
      </c>
    </row>
    <row r="83" spans="2:35" ht="13.9" x14ac:dyDescent="0.4">
      <c r="B83" s="125" t="s">
        <v>3572</v>
      </c>
      <c r="C83" s="125" t="s">
        <v>3569</v>
      </c>
      <c r="D83" s="125" t="s">
        <v>3573</v>
      </c>
      <c r="E83" s="125" t="s">
        <v>1868</v>
      </c>
      <c r="F83" s="125"/>
      <c r="G83" s="125"/>
      <c r="H83" s="146" t="str">
        <f>Settings!$B$3&amp;".mit.t2.col.k"</f>
        <v>egy.mit.t2.col.k</v>
      </c>
      <c r="I83" s="125"/>
      <c r="J83" s="125"/>
      <c r="K83" s="125"/>
      <c r="L83" s="147">
        <f>IF($D$15="-",0,L49+L81+L82)</f>
        <v>0</v>
      </c>
      <c r="M83" s="147">
        <f>IF($D$15="-",0,M49+M81+M82)</f>
        <v>0</v>
      </c>
      <c r="N83" s="147">
        <f>IF($D$15="-",0,N49+N81+N82)</f>
        <v>0</v>
      </c>
      <c r="O83" s="147">
        <f>IF($D$15="-",0,O49+O81+O82)</f>
        <v>0</v>
      </c>
      <c r="P83" s="147">
        <f>IF($D$15="-",0,P49+P81+P82)</f>
        <v>0</v>
      </c>
      <c r="Q83" s="147">
        <f>IF($D$15="-",0,Q49+Q81+Q82)</f>
        <v>0</v>
      </c>
      <c r="R83" s="147">
        <f>IF($D$15="-",0,R49+R81+R82)</f>
        <v>0</v>
      </c>
      <c r="S83" s="147">
        <f>IF($D$15="-",0,S49+S81+S82)</f>
        <v>0</v>
      </c>
      <c r="T83" s="147">
        <f>IF($D$15="-",0,T49+T81+T82)</f>
        <v>0</v>
      </c>
      <c r="U83" s="147">
        <f>IF($D$15="-",0,U49+U81+U82)</f>
        <v>0</v>
      </c>
      <c r="V83" s="147">
        <f>IF($D$15="-",0,V49+V81+V82)</f>
        <v>0</v>
      </c>
      <c r="W83" s="147">
        <f>IF($D$15="-",0,W49+W81+W82)</f>
        <v>0</v>
      </c>
      <c r="X83" s="147">
        <f>IF($D$15="-",0,X49+X81+X82)</f>
        <v>0</v>
      </c>
      <c r="Y83" s="147">
        <f>IF($D$15="-",0,Y49+Y81+Y82)</f>
        <v>0</v>
      </c>
      <c r="Z83" s="147">
        <f>IF($D$15="-",0,Z49+Z81+Z82)</f>
        <v>0</v>
      </c>
      <c r="AA83" s="147">
        <f>IF($D$15="-",0,AA49+AA81+AA82)</f>
        <v>0</v>
      </c>
      <c r="AB83" s="147">
        <f>IF($D$15="-",0,AB49+AB81+AB82)</f>
        <v>0</v>
      </c>
      <c r="AC83" s="147">
        <f>IF($D$15="-",0,AC49+AC81+AC82)</f>
        <v>0</v>
      </c>
      <c r="AD83" s="147">
        <f>IF($D$15="-",0,AD49+AD81+AD82)</f>
        <v>0</v>
      </c>
      <c r="AE83" s="147">
        <f>IF($D$15="-",0,AE49+AE81+AE82)</f>
        <v>0</v>
      </c>
      <c r="AF83" s="125"/>
      <c r="AG83" s="125"/>
      <c r="AH83" s="125"/>
      <c r="AI83" s="125"/>
    </row>
    <row r="84" spans="2:35" x14ac:dyDescent="0.35">
      <c r="B84" s="116" t="s">
        <v>3574</v>
      </c>
      <c r="C84" s="116" t="s">
        <v>3569</v>
      </c>
      <c r="D84" s="116" t="s">
        <v>3575</v>
      </c>
      <c r="E84" s="116" t="s">
        <v>84</v>
      </c>
      <c r="H84" s="120" t="str">
        <f>Settings!$B$3&amp;".mit.t2.col.j"</f>
        <v>egy.mit.t2.col.j</v>
      </c>
      <c r="I84" s="116" t="s">
        <v>3576</v>
      </c>
      <c r="L84" s="122">
        <f>IF(L25=0,0,100*(IF($D$16="All sectors",L29,L72*L59)+$D$17*L69)/L25)</f>
        <v>0</v>
      </c>
      <c r="M84" s="122">
        <f>IF(M25=0,0,100*(IF($D$16="All sectors",M29,M72*M59)+$D$17*M69)/M25)</f>
        <v>0</v>
      </c>
      <c r="N84" s="122">
        <f>IF(N25=0,0,100*(IF($D$16="All sectors",N29,N72*N59)+$D$17*N69)/N25)</f>
        <v>0</v>
      </c>
      <c r="O84" s="122">
        <f>IF(O25=0,0,100*(IF($D$16="All sectors",O29,O72*O59)+$D$17*O69)/O25)</f>
        <v>0</v>
      </c>
      <c r="P84" s="122">
        <f>IF(P25=0,0,100*(IF($D$16="All sectors",P29,P72*P59)+$D$17*P69)/P25)</f>
        <v>0</v>
      </c>
      <c r="Q84" s="122">
        <f>IF(Q25=0,0,100*(IF($D$16="All sectors",Q29,Q72*Q59)+$D$17*Q69)/Q25)</f>
        <v>0</v>
      </c>
      <c r="R84" s="122">
        <f>IF(R25=0,0,100*(IF($D$16="All sectors",R29,R72*R59)+$D$17*R69)/R25)</f>
        <v>0</v>
      </c>
      <c r="S84" s="122">
        <f>IF(S25=0,0,100*(IF($D$16="All sectors",S29,S72*S59)+$D$17*S69)/S25)</f>
        <v>0</v>
      </c>
      <c r="T84" s="122">
        <f>IF(T25=0,0,100*(IF($D$16="All sectors",T29,T72*T59)+$D$17*T69)/T25)</f>
        <v>0</v>
      </c>
      <c r="U84" s="122">
        <f>IF(U25=0,0,100*(IF($D$16="All sectors",U29,U72*U59)+$D$17*U69)/U25)</f>
        <v>0</v>
      </c>
      <c r="V84" s="122">
        <f>IF(V25=0,0,100*(IF($D$16="All sectors",V29,V72*V59)+$D$17*V69)/V25)</f>
        <v>0</v>
      </c>
      <c r="W84" s="122">
        <f>IF(W25=0,0,100*(IF($D$16="All sectors",W29,W72*W59)+$D$17*W69)/W25)</f>
        <v>0</v>
      </c>
      <c r="X84" s="122">
        <f>IF(X25=0,0,100*(IF($D$16="All sectors",X29,X72*X59)+$D$17*X69)/X25)</f>
        <v>0</v>
      </c>
      <c r="Y84" s="122">
        <f>IF(Y25=0,0,100*(IF($D$16="All sectors",Y29,Y72*Y59)+$D$17*Y69)/Y25)</f>
        <v>0</v>
      </c>
      <c r="Z84" s="122">
        <f>IF(Z25=0,0,100*(IF($D$16="All sectors",Z29,Z72*Z59)+$D$17*Z69)/Z25)</f>
        <v>0</v>
      </c>
      <c r="AA84" s="122">
        <f>IF(AA25=0,0,100*(IF($D$16="All sectors",AA29,AA72*AA59)+$D$17*AA69)/AA25)</f>
        <v>0</v>
      </c>
      <c r="AB84" s="122">
        <f>IF(AB25=0,0,100*(IF($D$16="All sectors",AB29,AB72*AB59)+$D$17*AB69)/AB25)</f>
        <v>0</v>
      </c>
      <c r="AC84" s="122">
        <f>IF(AC25=0,0,100*(IF($D$16="All sectors",AC29,AC72*AC59)+$D$17*AC69)/AC25)</f>
        <v>0</v>
      </c>
      <c r="AD84" s="122">
        <f>IF(AD25=0,0,100*(IF($D$16="All sectors",AD29,AD72*AD59)+$D$17*AD69)/AD25)</f>
        <v>0</v>
      </c>
      <c r="AE84" s="122">
        <f>IF(AE25=0,0,100*(IF($D$16="All sectors",AE29,AE72*AE59)+$D$17*AE69)/AE25)</f>
        <v>0</v>
      </c>
    </row>
    <row r="85" spans="2:35" x14ac:dyDescent="0.35">
      <c r="B85" s="116" t="s">
        <v>3577</v>
      </c>
      <c r="C85" s="116" t="s">
        <v>3569</v>
      </c>
      <c r="D85" s="116" t="s">
        <v>3578</v>
      </c>
      <c r="E85" s="116" t="s">
        <v>84</v>
      </c>
      <c r="H85" s="120" t="str">
        <f>Settings!$B$3&amp;".mit.t2.col.l"</f>
        <v>egy.mit.t2.col.l</v>
      </c>
      <c r="L85" s="122">
        <f>IF(L25=0,0,100*L83/L25)</f>
        <v>0</v>
      </c>
      <c r="M85" s="122">
        <f>IF(M25=0,0,100*M83/M25)</f>
        <v>0</v>
      </c>
      <c r="N85" s="122">
        <f>IF(N25=0,0,100*N83/N25)</f>
        <v>0</v>
      </c>
      <c r="O85" s="122">
        <f>IF(O25=0,0,100*O83/O25)</f>
        <v>0</v>
      </c>
      <c r="P85" s="122">
        <f>IF(P25=0,0,100*P83/P25)</f>
        <v>0</v>
      </c>
      <c r="Q85" s="122">
        <f>IF(Q25=0,0,100*Q83/Q25)</f>
        <v>0</v>
      </c>
      <c r="R85" s="122">
        <f>IF(R25=0,0,100*R83/R25)</f>
        <v>0</v>
      </c>
      <c r="S85" s="122">
        <f>IF(S25=0,0,100*S83/S25)</f>
        <v>0</v>
      </c>
      <c r="T85" s="122">
        <f>IF(T25=0,0,100*T83/T25)</f>
        <v>0</v>
      </c>
      <c r="U85" s="122">
        <f>IF(U25=0,0,100*U83/U25)</f>
        <v>0</v>
      </c>
      <c r="V85" s="122">
        <f>IF(V25=0,0,100*V83/V25)</f>
        <v>0</v>
      </c>
      <c r="W85" s="122">
        <f>IF(W25=0,0,100*W83/W25)</f>
        <v>0</v>
      </c>
      <c r="X85" s="122">
        <f>IF(X25=0,0,100*X83/X25)</f>
        <v>0</v>
      </c>
      <c r="Y85" s="122">
        <f>IF(Y25=0,0,100*Y83/Y25)</f>
        <v>0</v>
      </c>
      <c r="Z85" s="122">
        <f>IF(Z25=0,0,100*Z83/Z25)</f>
        <v>0</v>
      </c>
      <c r="AA85" s="122">
        <f>IF(AA25=0,0,100*AA83/AA25)</f>
        <v>0</v>
      </c>
      <c r="AB85" s="122">
        <f>IF(AB25=0,0,100*AB83/AB25)</f>
        <v>0</v>
      </c>
      <c r="AC85" s="122">
        <f>IF(AC25=0,0,100*AC83/AC25)</f>
        <v>0</v>
      </c>
      <c r="AD85" s="122">
        <f>IF(AD25=0,0,100*AD83/AD25)</f>
        <v>0</v>
      </c>
      <c r="AE85" s="122">
        <f>IF(AE25=0,0,100*AE83/AE25)</f>
        <v>0</v>
      </c>
    </row>
    <row r="86" spans="2:35" x14ac:dyDescent="0.35">
      <c r="B86" s="116" t="s">
        <v>3579</v>
      </c>
      <c r="C86" s="116" t="s">
        <v>3569</v>
      </c>
      <c r="D86" s="116" t="s">
        <v>3580</v>
      </c>
      <c r="E86" s="116" t="s">
        <v>84</v>
      </c>
      <c r="H86" s="120" t="str">
        <f>Settings!$B$3&amp;".mit.t2.col.m"</f>
        <v>egy.mit.t2.col.m</v>
      </c>
      <c r="I86" s="116" t="s">
        <v>3581</v>
      </c>
      <c r="L86" s="122">
        <f>100*Mitigation_Industry!L683</f>
        <v>44.508222077447087</v>
      </c>
      <c r="M86" s="122">
        <f>100*Mitigation_Industry!M683</f>
        <v>44.503563214908297</v>
      </c>
      <c r="N86" s="122">
        <f>100*Mitigation_Industry!N683</f>
        <v>44.499557682608845</v>
      </c>
      <c r="O86" s="122">
        <f>100*Mitigation_Industry!O683</f>
        <v>44.496200632526914</v>
      </c>
      <c r="P86" s="122">
        <f>100*Mitigation_Industry!P683</f>
        <v>44.493487111875609</v>
      </c>
      <c r="Q86" s="122">
        <f>100*Mitigation_Industry!Q683</f>
        <v>44.491412061443455</v>
      </c>
      <c r="R86" s="122">
        <f>100*Mitigation_Industry!R683</f>
        <v>44.48997031390661</v>
      </c>
      <c r="S86" s="122">
        <f>100*Mitigation_Industry!S683</f>
        <v>44.489156592113126</v>
      </c>
      <c r="T86" s="122">
        <f>100*Mitigation_Industry!T683</f>
        <v>44.488965507340147</v>
      </c>
      <c r="U86" s="122">
        <f>100*Mitigation_Industry!U683</f>
        <v>44.489391557524513</v>
      </c>
      <c r="V86" s="122">
        <f>100*Mitigation_Industry!V683</f>
        <v>44.490429125467621</v>
      </c>
      <c r="W86" s="122">
        <f>100*Mitigation_Industry!W683</f>
        <v>44.492072477015235</v>
      </c>
      <c r="X86" s="122">
        <f>100*Mitigation_Industry!X683</f>
        <v>44.494315759213222</v>
      </c>
      <c r="Y86" s="122">
        <f>100*Mitigation_Industry!Y683</f>
        <v>44.497152998439716</v>
      </c>
      <c r="Z86" s="122">
        <f>100*Mitigation_Industry!Z683</f>
        <v>44.500578098515163</v>
      </c>
      <c r="AA86" s="122">
        <f>100*Mitigation_Industry!AA683</f>
        <v>44.504584838790713</v>
      </c>
      <c r="AB86" s="122">
        <f>100*Mitigation_Industry!AB683</f>
        <v>44.509166872216262</v>
      </c>
      <c r="AC86" s="122">
        <f>100*Mitigation_Industry!AC683</f>
        <v>44.514317723389162</v>
      </c>
      <c r="AD86" s="122">
        <f>100*Mitigation_Industry!AD683</f>
        <v>44.520030786584641</v>
      </c>
      <c r="AE86" s="122">
        <f>100*Mitigation_Industry!AE683</f>
        <v>44.526299323769194</v>
      </c>
    </row>
    <row r="87" spans="2:35" x14ac:dyDescent="0.35">
      <c r="B87" s="116" t="s">
        <v>3582</v>
      </c>
      <c r="C87" s="116" t="s">
        <v>3569</v>
      </c>
      <c r="D87" s="116" t="s">
        <v>3583</v>
      </c>
      <c r="E87" s="116" t="s">
        <v>84</v>
      </c>
      <c r="H87" s="120" t="str">
        <f>Settings!$B$3&amp;".mit.t2.col.n"</f>
        <v>egy.mit.t2.col.n</v>
      </c>
      <c r="I87" s="116" t="s">
        <v>3584</v>
      </c>
      <c r="L87" s="122">
        <f>100*Mitigation_Industry!L685</f>
        <v>0</v>
      </c>
      <c r="M87" s="122">
        <f>100*Mitigation_Industry!M685</f>
        <v>-1.1102230246251565E-14</v>
      </c>
      <c r="N87" s="122">
        <f>100*Mitigation_Industry!N685</f>
        <v>0</v>
      </c>
      <c r="O87" s="122">
        <f>100*Mitigation_Industry!O685</f>
        <v>0</v>
      </c>
      <c r="P87" s="122">
        <f>100*Mitigation_Industry!P685</f>
        <v>0</v>
      </c>
      <c r="Q87" s="122">
        <f>100*Mitigation_Industry!Q685</f>
        <v>0</v>
      </c>
      <c r="R87" s="122">
        <f>100*Mitigation_Industry!R685</f>
        <v>0</v>
      </c>
      <c r="S87" s="122">
        <f>100*Mitigation_Industry!S685</f>
        <v>-1.1102230246251565E-14</v>
      </c>
      <c r="T87" s="122">
        <f>100*Mitigation_Industry!T685</f>
        <v>0</v>
      </c>
      <c r="U87" s="122">
        <f>100*Mitigation_Industry!U685</f>
        <v>0</v>
      </c>
      <c r="V87" s="122">
        <f>100*Mitigation_Industry!V685</f>
        <v>0</v>
      </c>
      <c r="W87" s="122">
        <f>100*Mitigation_Industry!W685</f>
        <v>2.2204460492503131E-14</v>
      </c>
      <c r="X87" s="122">
        <f>100*Mitigation_Industry!X685</f>
        <v>0</v>
      </c>
      <c r="Y87" s="122">
        <f>100*Mitigation_Industry!Y685</f>
        <v>-2.2204460492503131E-14</v>
      </c>
      <c r="Z87" s="122">
        <f>100*Mitigation_Industry!Z685</f>
        <v>0</v>
      </c>
      <c r="AA87" s="122">
        <f>100*Mitigation_Industry!AA685</f>
        <v>0</v>
      </c>
      <c r="AB87" s="122">
        <f>100*Mitigation_Industry!AB685</f>
        <v>0</v>
      </c>
      <c r="AC87" s="122">
        <f>100*Mitigation_Industry!AC685</f>
        <v>0</v>
      </c>
      <c r="AD87" s="122">
        <f>100*Mitigation_Industry!AD685</f>
        <v>0</v>
      </c>
      <c r="AE87" s="122">
        <f>100*Mitigation_Industry!AE685</f>
        <v>0</v>
      </c>
    </row>
    <row r="88" spans="2:35" x14ac:dyDescent="0.35">
      <c r="B88" s="116" t="s">
        <v>3585</v>
      </c>
      <c r="C88" s="116" t="s">
        <v>3569</v>
      </c>
      <c r="D88" s="116" t="s">
        <v>3586</v>
      </c>
      <c r="E88" s="116" t="s">
        <v>84</v>
      </c>
      <c r="H88" s="120" t="str">
        <f>Settings!$B$3&amp;".mit.t2.col.o"</f>
        <v>egy.mit.t2.col.o</v>
      </c>
      <c r="I88" s="116" t="s">
        <v>3587</v>
      </c>
      <c r="L88" s="122">
        <f>100*Mitigation_Industry!L771</f>
        <v>0</v>
      </c>
      <c r="M88" s="122">
        <f>100*Mitigation_Industry!M771</f>
        <v>0</v>
      </c>
      <c r="N88" s="122">
        <f>100*Mitigation_Industry!N771</f>
        <v>0</v>
      </c>
      <c r="O88" s="122">
        <f>100*Mitigation_Industry!O771</f>
        <v>0</v>
      </c>
      <c r="P88" s="122">
        <f>100*Mitigation_Industry!P771</f>
        <v>0</v>
      </c>
      <c r="Q88" s="122">
        <f>100*Mitigation_Industry!Q771</f>
        <v>-75.724716426458642</v>
      </c>
      <c r="R88" s="122">
        <f>100*Mitigation_Industry!R771</f>
        <v>-75.724716426458613</v>
      </c>
      <c r="S88" s="122">
        <f>100*Mitigation_Industry!S771</f>
        <v>-64.809053053506332</v>
      </c>
      <c r="T88" s="122">
        <f>100*Mitigation_Industry!T771</f>
        <v>-55.790339708136628</v>
      </c>
      <c r="U88" s="122">
        <f>100*Mitigation_Industry!U771</f>
        <v>-55.569116442901013</v>
      </c>
      <c r="V88" s="122">
        <f>100*Mitigation_Industry!V771</f>
        <v>-55.423139186248925</v>
      </c>
      <c r="W88" s="122">
        <f>100*Mitigation_Industry!W771</f>
        <v>-55.319597178623603</v>
      </c>
      <c r="X88" s="122">
        <f>100*Mitigation_Industry!X771</f>
        <v>-54.710770173786791</v>
      </c>
      <c r="Y88" s="122">
        <f>100*Mitigation_Industry!Y771</f>
        <v>-57.713871861087327</v>
      </c>
      <c r="Z88" s="122">
        <f>100*Mitigation_Industry!Z771</f>
        <v>-59.35122136703017</v>
      </c>
      <c r="AA88" s="122">
        <f>100*Mitigation_Industry!AA771</f>
        <v>-60.988570872973014</v>
      </c>
      <c r="AB88" s="122">
        <f>100*Mitigation_Industry!AB771</f>
        <v>-62.625920378915858</v>
      </c>
      <c r="AC88" s="122">
        <f>100*Mitigation_Industry!AC771</f>
        <v>-64.263269884858715</v>
      </c>
      <c r="AD88" s="122">
        <f>100*Mitigation_Industry!AD771</f>
        <v>-65.900619390801566</v>
      </c>
      <c r="AE88" s="122">
        <f>100*Mitigation_Industry!AE771</f>
        <v>-67.537968896744417</v>
      </c>
    </row>
    <row r="89" spans="2:35" x14ac:dyDescent="0.35">
      <c r="B89" s="116" t="s">
        <v>3588</v>
      </c>
      <c r="C89" s="116" t="s">
        <v>3569</v>
      </c>
      <c r="D89" s="116" t="s">
        <v>3589</v>
      </c>
      <c r="E89" s="116" t="s">
        <v>84</v>
      </c>
      <c r="H89" s="120" t="str">
        <f>Settings!$B$3&amp;".mit.t2.col.t"</f>
        <v>egy.mit.t2.col.t</v>
      </c>
      <c r="I89" s="116" t="s">
        <v>3590</v>
      </c>
      <c r="L89" s="122">
        <f>IF(L70=0,0,100*Mitigation_Industry!L727/L70)</f>
        <v>0</v>
      </c>
      <c r="M89" s="122">
        <f>IF(M70=0,0,100*Mitigation_Industry!M727/M70)</f>
        <v>0</v>
      </c>
      <c r="N89" s="122">
        <f>IF(N70=0,0,100*Mitigation_Industry!N727/N70)</f>
        <v>0</v>
      </c>
      <c r="O89" s="122">
        <f>IF(O70=0,0,100*Mitigation_Industry!O727/O70)</f>
        <v>0</v>
      </c>
      <c r="P89" s="122">
        <f>IF(P70=0,0,100*Mitigation_Industry!P727/P70)</f>
        <v>0</v>
      </c>
      <c r="Q89" s="122">
        <f>IF(Q70=0,0,100*Mitigation_Industry!Q727/Q70)</f>
        <v>0</v>
      </c>
      <c r="R89" s="122">
        <f>IF(R70=0,0,100*Mitigation_Industry!R727/R70)</f>
        <v>0</v>
      </c>
      <c r="S89" s="122">
        <f>IF(S70=0,0,100*Mitigation_Industry!S727/S70)</f>
        <v>0</v>
      </c>
      <c r="T89" s="122">
        <f>IF(T70=0,0,100*Mitigation_Industry!T727/T70)</f>
        <v>0</v>
      </c>
      <c r="U89" s="122">
        <f>IF(U70=0,0,100*Mitigation_Industry!U727/U70)</f>
        <v>0</v>
      </c>
      <c r="V89" s="122">
        <f>IF(V70=0,0,100*Mitigation_Industry!V727/V70)</f>
        <v>0</v>
      </c>
      <c r="W89" s="122">
        <f>IF(W70=0,0,100*Mitigation_Industry!W727/W70)</f>
        <v>0</v>
      </c>
      <c r="X89" s="122">
        <f>IF(X70=0,0,100*Mitigation_Industry!X727/X70)</f>
        <v>0</v>
      </c>
      <c r="Y89" s="122">
        <f>IF(Y70=0,0,100*Mitigation_Industry!Y727/Y70)</f>
        <v>0</v>
      </c>
      <c r="Z89" s="122">
        <f>IF(Z70=0,0,100*Mitigation_Industry!Z727/Z70)</f>
        <v>0</v>
      </c>
      <c r="AA89" s="122">
        <f>IF(AA70=0,0,100*Mitigation_Industry!AA727/AA70)</f>
        <v>0</v>
      </c>
      <c r="AB89" s="122">
        <f>IF(AB70=0,0,100*Mitigation_Industry!AB727/AB70)</f>
        <v>0</v>
      </c>
      <c r="AC89" s="122">
        <f>IF(AC70=0,0,100*Mitigation_Industry!AC727/AC70)</f>
        <v>0</v>
      </c>
      <c r="AD89" s="122">
        <f>IF(AD70=0,0,100*Mitigation_Industry!AD727/AD70)</f>
        <v>0</v>
      </c>
      <c r="AE89" s="122">
        <f>IF(AE70=0,0,100*Mitigation_Industry!AE727/AE70)</f>
        <v>0</v>
      </c>
    </row>
    <row r="90" spans="2:35" x14ac:dyDescent="0.35">
      <c r="B90" s="116" t="s">
        <v>3591</v>
      </c>
      <c r="C90" s="116" t="s">
        <v>3569</v>
      </c>
      <c r="D90" s="116" t="s">
        <v>3592</v>
      </c>
      <c r="E90" s="116" t="s">
        <v>84</v>
      </c>
      <c r="H90" s="120" t="str">
        <f>Settings!$B$3&amp;".mit.t2.col.u"</f>
        <v>egy.mit.t2.col.u</v>
      </c>
      <c r="I90" s="116" t="s">
        <v>3593</v>
      </c>
      <c r="L90" s="122">
        <f>100*Mitigation_Industry!L706</f>
        <v>0</v>
      </c>
      <c r="M90" s="122">
        <f>100*Mitigation_Industry!M706</f>
        <v>0</v>
      </c>
      <c r="N90" s="122">
        <f>100*Mitigation_Industry!N706</f>
        <v>0</v>
      </c>
      <c r="O90" s="122">
        <f>100*Mitigation_Industry!O706</f>
        <v>0</v>
      </c>
      <c r="P90" s="122">
        <f>100*Mitigation_Industry!P706</f>
        <v>0</v>
      </c>
      <c r="Q90" s="122">
        <f>100*Mitigation_Industry!Q706</f>
        <v>0</v>
      </c>
      <c r="R90" s="122">
        <f>100*Mitigation_Industry!R706</f>
        <v>0</v>
      </c>
      <c r="S90" s="122">
        <f>100*Mitigation_Industry!S706</f>
        <v>0</v>
      </c>
      <c r="T90" s="122">
        <f>100*Mitigation_Industry!T706</f>
        <v>0</v>
      </c>
      <c r="U90" s="122">
        <f>100*Mitigation_Industry!U706</f>
        <v>0</v>
      </c>
      <c r="V90" s="122">
        <f>100*Mitigation_Industry!V706</f>
        <v>0</v>
      </c>
      <c r="W90" s="122">
        <f>100*Mitigation_Industry!W706</f>
        <v>0</v>
      </c>
      <c r="X90" s="122">
        <f>100*Mitigation_Industry!X706</f>
        <v>0</v>
      </c>
      <c r="Y90" s="122">
        <f>100*Mitigation_Industry!Y706</f>
        <v>0</v>
      </c>
      <c r="Z90" s="122">
        <f>100*Mitigation_Industry!Z706</f>
        <v>0</v>
      </c>
      <c r="AA90" s="122">
        <f>100*Mitigation_Industry!AA706</f>
        <v>0</v>
      </c>
      <c r="AB90" s="122">
        <f>100*Mitigation_Industry!AB706</f>
        <v>0</v>
      </c>
      <c r="AC90" s="122">
        <f>100*Mitigation_Industry!AC706</f>
        <v>0</v>
      </c>
      <c r="AD90" s="122">
        <f>100*Mitigation_Industry!AD706</f>
        <v>0</v>
      </c>
      <c r="AE90" s="122">
        <f>100*Mitigation_Industry!AE706</f>
        <v>0</v>
      </c>
    </row>
    <row r="91" spans="2:35" x14ac:dyDescent="0.35">
      <c r="B91" s="116" t="s">
        <v>3594</v>
      </c>
      <c r="C91" s="116" t="s">
        <v>3569</v>
      </c>
      <c r="D91" s="116" t="s">
        <v>3595</v>
      </c>
      <c r="E91" s="116" t="s">
        <v>3435</v>
      </c>
      <c r="H91" s="120" t="str">
        <f>Settings!$B$3&amp;".mit.t2.col.pg"</f>
        <v>egy.mit.t2.col.pg</v>
      </c>
      <c r="L91" s="122">
        <f>IF($D$15="-",0,IF($D$16="All sectors",L47+L71*L72*L82/1000,L71*L72*L60/1000)+L73)</f>
        <v>0</v>
      </c>
      <c r="M91" s="122">
        <f>IF($D$15="-",0,IF($D$16="All sectors",M47+M71*M72*M82/1000,M71*M72*M60/1000)+M73)</f>
        <v>0</v>
      </c>
      <c r="N91" s="122">
        <f>IF($D$15="-",0,IF($D$16="All sectors",N47+N71*N72*N82/1000,N71*N72*N60/1000)+N73)</f>
        <v>0</v>
      </c>
      <c r="O91" s="122">
        <f>IF($D$15="-",0,IF($D$16="All sectors",O47+O71*O72*O82/1000,O71*O72*O60/1000)+O73)</f>
        <v>0</v>
      </c>
      <c r="P91" s="122">
        <f>IF($D$15="-",0,IF($D$16="All sectors",P47+P71*P72*P82/1000,P71*P72*P60/1000)+P73)</f>
        <v>0</v>
      </c>
      <c r="Q91" s="122">
        <f>IF($D$15="-",0,IF($D$16="All sectors",Q47+Q71*Q72*Q82/1000,Q71*Q72*Q60/1000)+Q73)</f>
        <v>0</v>
      </c>
      <c r="R91" s="122">
        <f>IF($D$15="-",0,IF($D$16="All sectors",R47+R71*R72*R82/1000,R71*R72*R60/1000)+R73)</f>
        <v>0</v>
      </c>
      <c r="S91" s="122">
        <f>IF($D$15="-",0,IF($D$16="All sectors",S47+S71*S72*S82/1000,S71*S72*S60/1000)+S73)</f>
        <v>0</v>
      </c>
      <c r="T91" s="122">
        <f>IF($D$15="-",0,IF($D$16="All sectors",T47+T71*T72*T82/1000,T71*T72*T60/1000)+T73)</f>
        <v>0</v>
      </c>
      <c r="U91" s="122">
        <f>IF($D$15="-",0,IF($D$16="All sectors",U47+U71*U72*U82/1000,U71*U72*U60/1000)+U73)</f>
        <v>0</v>
      </c>
      <c r="V91" s="122">
        <f>IF($D$15="-",0,IF($D$16="All sectors",V47+V71*V72*V82/1000,V71*V72*V60/1000)+V73)</f>
        <v>0</v>
      </c>
      <c r="W91" s="122">
        <f>IF($D$15="-",0,IF($D$16="All sectors",W47+W71*W72*W82/1000,W71*W72*W60/1000)+W73)</f>
        <v>0</v>
      </c>
      <c r="X91" s="122">
        <f>IF($D$15="-",0,IF($D$16="All sectors",X47+X71*X72*X82/1000,X71*X72*X60/1000)+X73)</f>
        <v>0</v>
      </c>
      <c r="Y91" s="122">
        <f>IF($D$15="-",0,IF($D$16="All sectors",Y47+Y71*Y72*Y82/1000,Y71*Y72*Y60/1000)+Y73)</f>
        <v>0</v>
      </c>
      <c r="Z91" s="122">
        <f>IF($D$15="-",0,IF($D$16="All sectors",Z47+Z71*Z72*Z82/1000,Z71*Z72*Z60/1000)+Z73)</f>
        <v>0</v>
      </c>
      <c r="AA91" s="122">
        <f>IF($D$15="-",0,IF($D$16="All sectors",AA47+AA71*AA72*AA82/1000,AA71*AA72*AA60/1000)+AA73)</f>
        <v>0</v>
      </c>
      <c r="AB91" s="122">
        <f>IF($D$15="-",0,IF($D$16="All sectors",AB47+AB71*AB72*AB82/1000,AB71*AB72*AB60/1000)+AB73)</f>
        <v>0</v>
      </c>
      <c r="AC91" s="122">
        <f>IF($D$15="-",0,IF($D$16="All sectors",AC47+AC71*AC72*AC82/1000,AC71*AC72*AC60/1000)+AC73)</f>
        <v>0</v>
      </c>
      <c r="AD91" s="122">
        <f>IF($D$15="-",0,IF($D$16="All sectors",AD47+AD71*AD72*AD82/1000,AD71*AD72*AD60/1000)+AD73)</f>
        <v>0</v>
      </c>
      <c r="AE91" s="122">
        <f>IF($D$15="-",0,IF($D$16="All sectors",AE47+AE71*AE72*AE82/1000,AE71*AE72*AE60/1000)+AE73)</f>
        <v>0</v>
      </c>
    </row>
    <row r="92" spans="2:35" ht="13.9" x14ac:dyDescent="0.4">
      <c r="B92" s="125" t="s">
        <v>3594</v>
      </c>
      <c r="C92" s="125" t="s">
        <v>3569</v>
      </c>
      <c r="D92" s="125" t="s">
        <v>3596</v>
      </c>
      <c r="E92" s="125" t="s">
        <v>3435</v>
      </c>
      <c r="F92" s="125"/>
      <c r="G92" s="125"/>
      <c r="H92" s="146" t="str">
        <f>Settings!$B$3&amp;".mit.t2.col.p"</f>
        <v>egy.mit.t2.col.p</v>
      </c>
      <c r="I92" s="125"/>
      <c r="J92" s="125"/>
      <c r="K92" s="125"/>
      <c r="L92" s="147">
        <f>IF($D$15="-",0,L91-L74-L75)</f>
        <v>0</v>
      </c>
      <c r="M92" s="147">
        <f>IF($D$15="-",0,M91-M74-M75)</f>
        <v>0</v>
      </c>
      <c r="N92" s="147">
        <f>IF($D$15="-",0,N91-N74-N75)</f>
        <v>0</v>
      </c>
      <c r="O92" s="147">
        <f>IF($D$15="-",0,O91-O74-O75)</f>
        <v>0</v>
      </c>
      <c r="P92" s="147">
        <f>IF($D$15="-",0,P91-P74-P75)</f>
        <v>0</v>
      </c>
      <c r="Q92" s="147">
        <f>IF($D$15="-",0,Q91-Q74-Q75)</f>
        <v>0</v>
      </c>
      <c r="R92" s="147">
        <f>IF($D$15="-",0,R91-R74-R75)</f>
        <v>0</v>
      </c>
      <c r="S92" s="147">
        <f>IF($D$15="-",0,S91-S74-S75)</f>
        <v>0</v>
      </c>
      <c r="T92" s="147">
        <f>IF($D$15="-",0,T91-T74-T75)</f>
        <v>0</v>
      </c>
      <c r="U92" s="147">
        <f>IF($D$15="-",0,U91-U74-U75)</f>
        <v>0</v>
      </c>
      <c r="V92" s="147">
        <f>IF($D$15="-",0,V91-V74-V75)</f>
        <v>0</v>
      </c>
      <c r="W92" s="147">
        <f>IF($D$15="-",0,W91-W74-W75)</f>
        <v>0</v>
      </c>
      <c r="X92" s="147">
        <f>IF($D$15="-",0,X91-X74-X75)</f>
        <v>0</v>
      </c>
      <c r="Y92" s="147">
        <f>IF($D$15="-",0,Y91-Y74-Y75)</f>
        <v>0</v>
      </c>
      <c r="Z92" s="147">
        <f>IF($D$15="-",0,Z91-Z74-Z75)</f>
        <v>0</v>
      </c>
      <c r="AA92" s="147">
        <f>IF($D$15="-",0,AA91-AA74-AA75)</f>
        <v>0</v>
      </c>
      <c r="AB92" s="147">
        <f>IF($D$15="-",0,AB91-AB74-AB75)</f>
        <v>0</v>
      </c>
      <c r="AC92" s="147">
        <f>IF($D$15="-",0,AC91-AC74-AC75)</f>
        <v>0</v>
      </c>
      <c r="AD92" s="147">
        <f>IF($D$15="-",0,AD91-AD74-AD75)</f>
        <v>0</v>
      </c>
      <c r="AE92" s="147">
        <f>IF($D$15="-",0,AE91-AE74-AE75)</f>
        <v>0</v>
      </c>
      <c r="AF92" s="125"/>
      <c r="AG92" s="125"/>
      <c r="AH92" s="125"/>
      <c r="AI92" s="125"/>
    </row>
    <row r="93" spans="2:35" x14ac:dyDescent="0.35">
      <c r="B93" s="116" t="s">
        <v>3597</v>
      </c>
      <c r="C93" s="116" t="s">
        <v>3569</v>
      </c>
      <c r="D93" s="116" t="s">
        <v>3598</v>
      </c>
      <c r="E93" s="116" t="s">
        <v>2094</v>
      </c>
      <c r="H93" s="120" t="str">
        <f>Settings!$B$3&amp;".mit.t2.col.denk"</f>
        <v>egy.mit.t2.col.denk</v>
      </c>
      <c r="L93" s="122">
        <f>IF($D$15="-",0,L51-L52+L65)</f>
        <v>0</v>
      </c>
      <c r="M93" s="122">
        <f>IF($D$15="-",0,M51-M52+M65)</f>
        <v>0</v>
      </c>
      <c r="N93" s="122">
        <f>IF($D$15="-",0,N51-N52+N65)</f>
        <v>0</v>
      </c>
      <c r="O93" s="122">
        <f>IF($D$15="-",0,O51-O52+O65)</f>
        <v>0</v>
      </c>
      <c r="P93" s="122">
        <f>IF($D$15="-",0,P51-P52+P65)</f>
        <v>0</v>
      </c>
      <c r="Q93" s="122">
        <f>IF($D$15="-",0,Q51-Q52+Q65)</f>
        <v>0</v>
      </c>
      <c r="R93" s="122">
        <f>IF($D$15="-",0,R51-R52+R65)</f>
        <v>0</v>
      </c>
      <c r="S93" s="122">
        <f>IF($D$15="-",0,S51-S52+S65)</f>
        <v>0</v>
      </c>
      <c r="T93" s="122">
        <f>IF($D$15="-",0,T51-T52+T65)</f>
        <v>0</v>
      </c>
      <c r="U93" s="122">
        <f>IF($D$15="-",0,U51-U52+U65)</f>
        <v>0</v>
      </c>
      <c r="V93" s="122">
        <f>IF($D$15="-",0,V51-V52+V65)</f>
        <v>0</v>
      </c>
      <c r="W93" s="122">
        <f>IF($D$15="-",0,W51-W52+W65)</f>
        <v>0</v>
      </c>
      <c r="X93" s="122">
        <f>IF($D$15="-",0,X51-X52+X65)</f>
        <v>0</v>
      </c>
      <c r="Y93" s="122">
        <f>IF($D$15="-",0,Y51-Y52+Y65)</f>
        <v>0</v>
      </c>
      <c r="Z93" s="122">
        <f>IF($D$15="-",0,Z51-Z52+Z65)</f>
        <v>0</v>
      </c>
      <c r="AA93" s="122">
        <f>IF($D$15="-",0,AA51-AA52+AA65)</f>
        <v>0</v>
      </c>
      <c r="AB93" s="122">
        <f>IF($D$15="-",0,AB51-AB52+AB65)</f>
        <v>0</v>
      </c>
      <c r="AC93" s="122">
        <f>IF($D$15="-",0,AC51-AC52+AC65)</f>
        <v>0</v>
      </c>
      <c r="AD93" s="122">
        <f>IF($D$15="-",0,AD51-AD52+AD65)</f>
        <v>0</v>
      </c>
      <c r="AE93" s="122">
        <f>IF($D$15="-",0,AE51-AE52+AE65)</f>
        <v>0</v>
      </c>
    </row>
    <row r="94" spans="2:35" x14ac:dyDescent="0.35">
      <c r="B94" s="116" t="s">
        <v>3597</v>
      </c>
      <c r="C94" s="116" t="s">
        <v>3569</v>
      </c>
      <c r="D94" s="116" t="s">
        <v>3599</v>
      </c>
      <c r="E94" s="116" t="s">
        <v>3289</v>
      </c>
      <c r="H94" s="120" t="str">
        <f>Settings!$B$3&amp;".mit.t2.col.q"</f>
        <v>egy.mit.t2.col.q</v>
      </c>
      <c r="L94" s="122">
        <f>IF(L51=0,0,L48*L93/L51)</f>
        <v>0</v>
      </c>
      <c r="M94" s="122">
        <f>IF(M51=0,0,M48*M93/M51)</f>
        <v>0</v>
      </c>
      <c r="N94" s="122">
        <f>IF(N51=0,0,N48*N93/N51)</f>
        <v>0</v>
      </c>
      <c r="O94" s="122">
        <f>IF(O51=0,0,O48*O93/O51)</f>
        <v>0</v>
      </c>
      <c r="P94" s="122">
        <f>IF(P51=0,0,P48*P93/P51)</f>
        <v>0</v>
      </c>
      <c r="Q94" s="122">
        <f>IF(Q51=0,0,Q48*Q93/Q51)</f>
        <v>0</v>
      </c>
      <c r="R94" s="122">
        <f>IF(R51=0,0,R48*R93/R51)</f>
        <v>0</v>
      </c>
      <c r="S94" s="122">
        <f>IF(S51=0,0,S48*S93/S51)</f>
        <v>0</v>
      </c>
      <c r="T94" s="122">
        <f>IF(T51=0,0,T48*T93/T51)</f>
        <v>0</v>
      </c>
      <c r="U94" s="122">
        <f>IF(U51=0,0,U48*U93/U51)</f>
        <v>0</v>
      </c>
      <c r="V94" s="122">
        <f>IF(V51=0,0,V48*V93/V51)</f>
        <v>0</v>
      </c>
      <c r="W94" s="122">
        <f>IF(W51=0,0,W48*W93/W51)</f>
        <v>0</v>
      </c>
      <c r="X94" s="122">
        <f>IF(X51=0,0,X48*X93/X51)</f>
        <v>0</v>
      </c>
      <c r="Y94" s="122">
        <f>IF(Y51=0,0,Y48*Y93/Y51)</f>
        <v>0</v>
      </c>
      <c r="Z94" s="122">
        <f>IF(Z51=0,0,Z48*Z93/Z51)</f>
        <v>0</v>
      </c>
      <c r="AA94" s="122">
        <f>IF(AA51=0,0,AA48*AA93/AA51)</f>
        <v>0</v>
      </c>
      <c r="AB94" s="122">
        <f>IF(AB51=0,0,AB48*AB93/AB51)</f>
        <v>0</v>
      </c>
      <c r="AC94" s="122">
        <f>IF(AC51=0,0,AC48*AC93/AC51)</f>
        <v>0</v>
      </c>
      <c r="AD94" s="122">
        <f>IF(AD51=0,0,AD48*AD93/AD51)</f>
        <v>0</v>
      </c>
      <c r="AE94" s="122">
        <f>IF(AE51=0,0,AE48*AE93/AE51)</f>
        <v>0</v>
      </c>
    </row>
    <row r="95" spans="2:35" x14ac:dyDescent="0.35">
      <c r="B95" s="116" t="s">
        <v>3600</v>
      </c>
      <c r="C95" s="116" t="s">
        <v>3569</v>
      </c>
      <c r="D95" s="116" t="s">
        <v>3601</v>
      </c>
      <c r="E95" s="116" t="s">
        <v>84</v>
      </c>
      <c r="H95" s="120" t="str">
        <f>Settings!$B$3&amp;".mit.t2.col.r"</f>
        <v>egy.mit.t2.col.r</v>
      </c>
      <c r="L95" s="122">
        <f>IF(L46=0,0,100*L94/L46)</f>
        <v>0</v>
      </c>
      <c r="M95" s="122">
        <f>IF(M46=0,0,100*M94/M46)</f>
        <v>0</v>
      </c>
      <c r="N95" s="122">
        <f>IF(N46=0,0,100*N94/N46)</f>
        <v>0</v>
      </c>
      <c r="O95" s="122">
        <f>IF(O46=0,0,100*O94/O46)</f>
        <v>0</v>
      </c>
      <c r="P95" s="122">
        <f>IF(P46=0,0,100*P94/P46)</f>
        <v>0</v>
      </c>
      <c r="Q95" s="122">
        <f>IF(Q46=0,0,100*Q94/Q46)</f>
        <v>0</v>
      </c>
      <c r="R95" s="122">
        <f>IF(R46=0,0,100*R94/R46)</f>
        <v>0</v>
      </c>
      <c r="S95" s="122">
        <f>IF(S46=0,0,100*S94/S46)</f>
        <v>0</v>
      </c>
      <c r="T95" s="122">
        <f>IF(T46=0,0,100*T94/T46)</f>
        <v>0</v>
      </c>
      <c r="U95" s="122">
        <f>IF(U46=0,0,100*U94/U46)</f>
        <v>0</v>
      </c>
      <c r="V95" s="122">
        <f>IF(V46=0,0,100*V94/V46)</f>
        <v>0</v>
      </c>
      <c r="W95" s="122">
        <f>IF(W46=0,0,100*W94/W46)</f>
        <v>0</v>
      </c>
      <c r="X95" s="122">
        <f>IF(X46=0,0,100*X94/X46)</f>
        <v>0</v>
      </c>
      <c r="Y95" s="122">
        <f>IF(Y46=0,0,100*Y94/Y46)</f>
        <v>0</v>
      </c>
      <c r="Z95" s="122">
        <f>IF(Z46=0,0,100*Z94/Z46)</f>
        <v>0</v>
      </c>
      <c r="AA95" s="122">
        <f>IF(AA46=0,0,100*AA94/AA46)</f>
        <v>0</v>
      </c>
      <c r="AB95" s="122">
        <f>IF(AB46=0,0,100*AB94/AB46)</f>
        <v>0</v>
      </c>
      <c r="AC95" s="122">
        <f>IF(AC46=0,0,100*AC94/AC46)</f>
        <v>0</v>
      </c>
      <c r="AD95" s="122">
        <f>IF(AD46=0,0,100*AD94/AD46)</f>
        <v>0</v>
      </c>
      <c r="AE95" s="122">
        <f>IF(AE46=0,0,100*AE94/AE46)</f>
        <v>0</v>
      </c>
    </row>
    <row r="96" spans="2:35" x14ac:dyDescent="0.35">
      <c r="B96" s="116" t="s">
        <v>3602</v>
      </c>
      <c r="C96" s="116" t="s">
        <v>3569</v>
      </c>
      <c r="D96" s="116" t="s">
        <v>3603</v>
      </c>
      <c r="E96" s="116" t="s">
        <v>3435</v>
      </c>
      <c r="H96" s="120" t="str">
        <f>Settings!$B$3&amp;".mit.t2.col.ar"</f>
        <v>egy.mit.t2.col.ar</v>
      </c>
      <c r="I96" s="116" t="s">
        <v>3604</v>
      </c>
      <c r="L96" s="122">
        <f>IF($D$15="-",0,L53-L47+L92)</f>
        <v>0</v>
      </c>
      <c r="M96" s="122">
        <f>IF($D$15="-",0,M53-M47+M92)</f>
        <v>0</v>
      </c>
      <c r="N96" s="122">
        <f>IF($D$15="-",0,N53-N47+N92)</f>
        <v>0</v>
      </c>
      <c r="O96" s="122">
        <f>IF($D$15="-",0,O53-O47+O92)</f>
        <v>0</v>
      </c>
      <c r="P96" s="122">
        <f>IF($D$15="-",0,P53-P47+P92)</f>
        <v>0</v>
      </c>
      <c r="Q96" s="122">
        <f>IF($D$15="-",0,Q53-Q47+Q92)</f>
        <v>0</v>
      </c>
      <c r="R96" s="122">
        <f>IF($D$15="-",0,R53-R47+R92)</f>
        <v>0</v>
      </c>
      <c r="S96" s="122">
        <f>IF($D$15="-",0,S53-S47+S92)</f>
        <v>0</v>
      </c>
      <c r="T96" s="122">
        <f>IF($D$15="-",0,T53-T47+T92)</f>
        <v>0</v>
      </c>
      <c r="U96" s="122">
        <f>IF($D$15="-",0,U53-U47+U92)</f>
        <v>0</v>
      </c>
      <c r="V96" s="122">
        <f>IF($D$15="-",0,V53-V47+V92)</f>
        <v>0</v>
      </c>
      <c r="W96" s="122">
        <f>IF($D$15="-",0,W53-W47+W92)</f>
        <v>0</v>
      </c>
      <c r="X96" s="122">
        <f>IF($D$15="-",0,X53-X47+X92)</f>
        <v>0</v>
      </c>
      <c r="Y96" s="122">
        <f>IF($D$15="-",0,Y53-Y47+Y92)</f>
        <v>0</v>
      </c>
      <c r="Z96" s="122">
        <f>IF($D$15="-",0,Z53-Z47+Z92)</f>
        <v>0</v>
      </c>
      <c r="AA96" s="122">
        <f>IF($D$15="-",0,AA53-AA47+AA92)</f>
        <v>0</v>
      </c>
      <c r="AB96" s="122">
        <f>IF($D$15="-",0,AB53-AB47+AB92)</f>
        <v>0</v>
      </c>
      <c r="AC96" s="122">
        <f>IF($D$15="-",0,AC53-AC47+AC92)</f>
        <v>0</v>
      </c>
      <c r="AD96" s="122">
        <f>IF($D$15="-",0,AD53-AD47+AD92)</f>
        <v>0</v>
      </c>
      <c r="AE96" s="122">
        <f>IF($D$15="-",0,AE53-AE47+AE92)</f>
        <v>0</v>
      </c>
    </row>
    <row r="99" spans="1:35" customFormat="1" ht="18" customHeight="1" x14ac:dyDescent="0.45">
      <c r="A99" s="8"/>
      <c r="B99" s="9" t="s">
        <v>3605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69.75" x14ac:dyDescent="0.45">
      <c r="A101" s="11"/>
      <c r="B101" s="154" t="s">
        <v>1742</v>
      </c>
      <c r="C101" s="155" t="s">
        <v>3491</v>
      </c>
      <c r="D101" s="154" t="s">
        <v>3496</v>
      </c>
      <c r="E101" s="155" t="s">
        <v>1751</v>
      </c>
      <c r="F101" s="155" t="s">
        <v>3606</v>
      </c>
      <c r="G101" s="155" t="s">
        <v>3607</v>
      </c>
      <c r="H101" s="156" t="s">
        <v>3608</v>
      </c>
      <c r="I101" s="154" t="s">
        <v>3609</v>
      </c>
      <c r="J101" s="157" t="s">
        <v>3610</v>
      </c>
      <c r="K101" s="154" t="s">
        <v>3611</v>
      </c>
      <c r="L101" s="158" t="s">
        <v>3612</v>
      </c>
      <c r="M101" s="154" t="s">
        <v>3613</v>
      </c>
      <c r="N101" s="154" t="s">
        <v>3614</v>
      </c>
      <c r="O101" s="154" t="s">
        <v>3615</v>
      </c>
      <c r="P101" s="154" t="s">
        <v>3616</v>
      </c>
      <c r="Q101" s="154" t="s">
        <v>3617</v>
      </c>
      <c r="R101" s="154" t="s">
        <v>3618</v>
      </c>
      <c r="S101" s="154" t="s">
        <v>3619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9" x14ac:dyDescent="0.4">
      <c r="A102" s="116" t="s">
        <v>3620</v>
      </c>
      <c r="B102" s="125" t="str">
        <f>$D$14</f>
        <v>LEGACY</v>
      </c>
      <c r="C102" s="125" t="str">
        <f>$D$15</f>
        <v>-</v>
      </c>
      <c r="D102" s="125" t="str">
        <f>$D$16</f>
        <v>All sectors</v>
      </c>
      <c r="E102" s="125" t="str">
        <f>$D$18</f>
        <v>CPAT default</v>
      </c>
      <c r="F102" s="160">
        <f>INDEX($L$84:$AE$84,MATCH($D$19,$L$80:$AE$80,0))</f>
        <v>0</v>
      </c>
      <c r="G102" s="161">
        <f>INDEX($L$83:$AE$83,MATCH($D$19,$L$80:$AE$80,0))</f>
        <v>0</v>
      </c>
      <c r="H102" s="161">
        <f>INDEX($L$85:$AE$85,MATCH($D$19,$L$80:$AE$80,0))</f>
        <v>0</v>
      </c>
      <c r="I102" s="160">
        <f>INDEX($L$86:$AE$86,MATCH($D$19,$L$80:$AE$80,0))</f>
        <v>44.488965507340147</v>
      </c>
      <c r="J102" s="160">
        <f>INDEX($L$87:$AE$87,MATCH($D$19,$L$80:$AE$80,0))</f>
        <v>0</v>
      </c>
      <c r="K102" s="160">
        <f>INDEX($L$88:$AE$88,MATCH($D$19,$L$80:$AE$80,0))</f>
        <v>-55.790339708136628</v>
      </c>
      <c r="L102" s="161">
        <f>INDEX($L$92:$AE$92,MATCH($D$19,$L$80:$AE$80,0))</f>
        <v>0</v>
      </c>
      <c r="M102" s="162">
        <f>INDEX($L$94:$AE$94,MATCH($D$19,$L$80:$AE$80,0))</f>
        <v>0</v>
      </c>
      <c r="N102" s="161">
        <f>INDEX($L$95:$AE$95,MATCH($D$19,$L$80:$AE$80,0))</f>
        <v>0</v>
      </c>
      <c r="O102" s="160">
        <f>INDEX($L$89:$AE$89,MATCH($D$19,$L$80:$AE$80,0))</f>
        <v>0</v>
      </c>
      <c r="P102" s="160">
        <f>INDEX($L$90:$AE$90,MATCH($D$19,$L$80:$AE$80,0))</f>
        <v>0</v>
      </c>
      <c r="Q102" s="161">
        <f>INDEX($L$96:$AE$96,MATCH($D$19,$L$80:$AE$80,0))</f>
        <v>0</v>
      </c>
    </row>
    <row r="103" spans="1:35" x14ac:dyDescent="0.35">
      <c r="A103" s="116" t="s">
        <v>3621</v>
      </c>
      <c r="B103" s="116" t="s">
        <v>1757</v>
      </c>
      <c r="C103" s="118" t="s">
        <v>3287</v>
      </c>
      <c r="D103" s="118" t="s">
        <v>1756</v>
      </c>
      <c r="E103" s="118" t="s">
        <v>1759</v>
      </c>
      <c r="F103" s="163">
        <v>63.048931925263922</v>
      </c>
      <c r="G103" s="164">
        <v>-27.732956201780507</v>
      </c>
      <c r="H103" s="164">
        <v>-4.6676220052949917</v>
      </c>
      <c r="I103" s="163">
        <v>100</v>
      </c>
      <c r="J103" s="163">
        <v>-1.1045756989641164</v>
      </c>
      <c r="K103" s="163">
        <v>-42.067132163307321</v>
      </c>
      <c r="L103" s="164">
        <v>6.8950611507456685</v>
      </c>
      <c r="M103" s="165">
        <v>1441.0549686712131</v>
      </c>
      <c r="N103" s="164">
        <v>1.7435420849974146</v>
      </c>
      <c r="O103" s="163">
        <v>-6.8127723587673961</v>
      </c>
      <c r="P103" s="163">
        <v>-5.7719522416200171</v>
      </c>
      <c r="Q103" s="164">
        <v>11.095061150745668</v>
      </c>
      <c r="R103" s="118">
        <v>-31.6</v>
      </c>
      <c r="S103" s="159">
        <f>G103-R103</f>
        <v>3.8670437982194947</v>
      </c>
    </row>
    <row r="104" spans="1:35" x14ac:dyDescent="0.35">
      <c r="A104" s="116" t="s">
        <v>3621</v>
      </c>
      <c r="B104" s="116" t="s">
        <v>1760</v>
      </c>
      <c r="C104" s="118" t="s">
        <v>3287</v>
      </c>
      <c r="D104" s="118" t="s">
        <v>1756</v>
      </c>
      <c r="E104" s="118" t="s">
        <v>1759</v>
      </c>
      <c r="F104" s="163">
        <v>57.335110644342571</v>
      </c>
      <c r="G104" s="164">
        <v>-25.742193405080439</v>
      </c>
      <c r="H104" s="164">
        <v>-4.3325647481604896</v>
      </c>
      <c r="I104" s="163">
        <v>44.505846431403114</v>
      </c>
      <c r="J104" s="163">
        <v>0</v>
      </c>
      <c r="K104" s="163">
        <v>-22.561142339705896</v>
      </c>
      <c r="L104" s="164">
        <v>6.2721267533817757</v>
      </c>
      <c r="M104" s="165">
        <v>1441.0549686712131</v>
      </c>
      <c r="N104" s="164">
        <v>1.7435420849974146</v>
      </c>
      <c r="O104" s="163">
        <v>-2.3607435786162783</v>
      </c>
      <c r="P104" s="163">
        <v>-2.3607435786162787</v>
      </c>
      <c r="Q104" s="164">
        <v>10.472126753381776</v>
      </c>
      <c r="R104" s="118">
        <v>-27.7</v>
      </c>
      <c r="S104" s="159">
        <f>G104-R104</f>
        <v>1.9578065949195604</v>
      </c>
    </row>
    <row r="105" spans="1:35" x14ac:dyDescent="0.35">
      <c r="A105" s="116" t="s">
        <v>3621</v>
      </c>
      <c r="B105" s="116" t="s">
        <v>1762</v>
      </c>
      <c r="C105" s="118" t="s">
        <v>3293</v>
      </c>
      <c r="D105" s="118" t="s">
        <v>1756</v>
      </c>
      <c r="E105" s="118" t="s">
        <v>1764</v>
      </c>
      <c r="F105" s="163">
        <v>57.335110644342571</v>
      </c>
      <c r="G105" s="164">
        <v>-27.047300108358939</v>
      </c>
      <c r="H105" s="164">
        <v>-4.5522219936109272</v>
      </c>
      <c r="I105" s="163">
        <v>44.505846431403114</v>
      </c>
      <c r="J105" s="163">
        <v>0</v>
      </c>
      <c r="K105" s="163">
        <v>-22.561142339705896</v>
      </c>
      <c r="L105" s="164">
        <v>6.2363646193162054</v>
      </c>
      <c r="M105" s="165">
        <v>1497.2243594241243</v>
      </c>
      <c r="N105" s="164">
        <v>1.8115018081137846</v>
      </c>
      <c r="O105" s="163">
        <v>-2.3607435786162783</v>
      </c>
      <c r="P105" s="163">
        <v>-2.3607435786162787</v>
      </c>
      <c r="Q105" s="164">
        <v>10.666364619316202</v>
      </c>
      <c r="R105" s="118">
        <v>-29.3</v>
      </c>
      <c r="S105" s="159">
        <f>G105-R105</f>
        <v>2.2526998916410612</v>
      </c>
    </row>
    <row r="106" spans="1:35" x14ac:dyDescent="0.35">
      <c r="A106" s="116" t="s">
        <v>3621</v>
      </c>
      <c r="B106" s="116" t="s">
        <v>1765</v>
      </c>
      <c r="C106" s="118" t="s">
        <v>3296</v>
      </c>
      <c r="D106" s="118" t="s">
        <v>1767</v>
      </c>
      <c r="E106" s="118" t="s">
        <v>1764</v>
      </c>
      <c r="F106" s="163">
        <v>8.4713288066031893</v>
      </c>
      <c r="G106" s="164">
        <v>-9.7080893660651881</v>
      </c>
      <c r="H106" s="164">
        <v>-1.6339293663726679</v>
      </c>
      <c r="I106" s="163">
        <v>100</v>
      </c>
      <c r="J106" s="163">
        <v>-1.1045756989641164</v>
      </c>
      <c r="K106" s="163">
        <v>-42.067132163307321</v>
      </c>
      <c r="L106" s="164">
        <v>0.90937641574577777</v>
      </c>
      <c r="M106" s="165">
        <v>277.72517152850747</v>
      </c>
      <c r="N106" s="164">
        <v>0.33602155028796687</v>
      </c>
      <c r="O106" s="163">
        <v>-6.8127723587673961</v>
      </c>
      <c r="P106" s="163">
        <v>-5.7719522416200171</v>
      </c>
      <c r="Q106" s="164">
        <v>2.6693764157457753</v>
      </c>
      <c r="R106" s="118">
        <v>-18</v>
      </c>
      <c r="S106" s="159">
        <f>G106-R106</f>
        <v>8.2919106339348119</v>
      </c>
    </row>
    <row r="107" spans="1:35" x14ac:dyDescent="0.35">
      <c r="A107" s="116" t="s">
        <v>3621</v>
      </c>
      <c r="B107" s="116" t="s">
        <v>1768</v>
      </c>
      <c r="C107" s="118" t="s">
        <v>3296</v>
      </c>
      <c r="D107" s="118" t="s">
        <v>1767</v>
      </c>
      <c r="E107" s="118" t="s">
        <v>1770</v>
      </c>
      <c r="F107" s="163">
        <v>8.4713288066031893</v>
      </c>
      <c r="G107" s="164">
        <v>-6.5876201051712027</v>
      </c>
      <c r="H107" s="164">
        <v>-1.1087357706008529</v>
      </c>
      <c r="I107" s="163">
        <v>100</v>
      </c>
      <c r="J107" s="163">
        <v>-1.1054339904555621</v>
      </c>
      <c r="K107" s="163">
        <v>-1.4124880673826334</v>
      </c>
      <c r="L107" s="164">
        <v>4.3431052986567797E-3</v>
      </c>
      <c r="M107" s="165">
        <v>241.3763711761415</v>
      </c>
      <c r="N107" s="164">
        <v>0.29204289261611055</v>
      </c>
      <c r="O107" s="163">
        <v>-1.1054339904555521</v>
      </c>
      <c r="P107" s="163">
        <v>0</v>
      </c>
      <c r="Q107" s="164">
        <v>1.7643431052986545</v>
      </c>
      <c r="R107" s="118">
        <v>-12.8</v>
      </c>
      <c r="S107" s="159">
        <f>G107-R107</f>
        <v>6.212379894828798</v>
      </c>
    </row>
    <row r="108" spans="1:35" x14ac:dyDescent="0.35">
      <c r="A108" s="116" t="s">
        <v>3621</v>
      </c>
      <c r="B108" s="116" t="s">
        <v>1771</v>
      </c>
      <c r="C108" s="118" t="s">
        <v>3296</v>
      </c>
      <c r="D108" s="118" t="s">
        <v>1767</v>
      </c>
      <c r="E108" s="118" t="s">
        <v>1773</v>
      </c>
      <c r="F108" s="163">
        <v>8.4713288066031893</v>
      </c>
      <c r="G108" s="164">
        <v>-17.339868826079169</v>
      </c>
      <c r="H108" s="164">
        <v>-2.9184033866659886</v>
      </c>
      <c r="I108" s="163">
        <v>100</v>
      </c>
      <c r="J108" s="163">
        <v>-14.308409164980896</v>
      </c>
      <c r="K108" s="163">
        <v>-50.796253046228301</v>
      </c>
      <c r="L108" s="164">
        <v>-0.36840663248177663</v>
      </c>
      <c r="M108" s="165">
        <v>397.23559612294599</v>
      </c>
      <c r="N108" s="164">
        <v>0.48061801565975731</v>
      </c>
      <c r="O108" s="163">
        <v>-19.254486863062642</v>
      </c>
      <c r="P108" s="163">
        <v>-5.7719522416200171</v>
      </c>
      <c r="Q108" s="164">
        <v>1.391593367518221</v>
      </c>
      <c r="R108" s="118">
        <v>-22.4</v>
      </c>
      <c r="S108" s="159">
        <f>G108-R108</f>
        <v>5.0601311739208299</v>
      </c>
    </row>
    <row r="110" spans="1:35" x14ac:dyDescent="0.35">
      <c r="B110" s="116" t="s">
        <v>3622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1843</v>
      </c>
      <c r="H64" s="5" t="s">
        <v>1844</v>
      </c>
      <c r="I64" s="28" t="s">
        <v>1023</v>
      </c>
      <c r="J64" t="s">
        <v>1725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1843</v>
      </c>
      <c r="H66" s="5" t="s">
        <v>1845</v>
      </c>
      <c r="I66" s="28" t="s">
        <v>1025</v>
      </c>
      <c r="J66" t="s">
        <v>1725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1843</v>
      </c>
      <c r="H68" s="5" t="s">
        <v>1846</v>
      </c>
      <c r="I68" s="28" t="s">
        <v>1029</v>
      </c>
      <c r="J68" t="s">
        <v>1725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1843</v>
      </c>
      <c r="H70" s="5" t="s">
        <v>1847</v>
      </c>
      <c r="I70" s="28" t="s">
        <v>1033</v>
      </c>
      <c r="J70" t="s">
        <v>1725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1843</v>
      </c>
      <c r="H72" s="5" t="s">
        <v>1848</v>
      </c>
      <c r="I72" s="28" t="s">
        <v>1037</v>
      </c>
      <c r="J72" t="s">
        <v>1725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1843</v>
      </c>
      <c r="H74" s="5" t="s">
        <v>1849</v>
      </c>
      <c r="I74" s="28" t="s">
        <v>1041</v>
      </c>
      <c r="J74" t="s">
        <v>1725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1843</v>
      </c>
      <c r="H76" s="5" t="s">
        <v>1850</v>
      </c>
      <c r="I76" s="28" t="s">
        <v>1045</v>
      </c>
      <c r="J76" t="s">
        <v>1725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1843</v>
      </c>
      <c r="H78" s="5" t="s">
        <v>1851</v>
      </c>
      <c r="I78" s="28" t="s">
        <v>1049</v>
      </c>
      <c r="J78" t="s">
        <v>1725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1843</v>
      </c>
      <c r="H80" s="5" t="s">
        <v>1852</v>
      </c>
      <c r="I80" s="28" t="s">
        <v>1053</v>
      </c>
      <c r="J80" t="s">
        <v>1725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2895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2896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2897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2898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2899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2900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2901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2902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2903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2904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2904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2904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2904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1411</v>
      </c>
      <c r="B124" s="5" t="s">
        <v>77</v>
      </c>
      <c r="C124" s="5" t="s">
        <v>1412</v>
      </c>
      <c r="D124" s="5" t="s">
        <v>1413</v>
      </c>
      <c r="E124" s="5">
        <v>1</v>
      </c>
      <c r="F124" s="5" t="s">
        <v>1414</v>
      </c>
      <c r="G124" s="5" t="s">
        <v>1415</v>
      </c>
      <c r="H124" s="5">
        <v>2251</v>
      </c>
      <c r="I124" s="28" t="s">
        <v>1411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1416</v>
      </c>
      <c r="B125" s="5" t="s">
        <v>77</v>
      </c>
      <c r="C125" s="5" t="s">
        <v>1412</v>
      </c>
      <c r="D125" s="5" t="s">
        <v>1417</v>
      </c>
      <c r="E125" s="5">
        <v>1</v>
      </c>
      <c r="F125" s="5" t="s">
        <v>1414</v>
      </c>
      <c r="G125" s="5" t="s">
        <v>1418</v>
      </c>
      <c r="H125" s="5">
        <v>2252</v>
      </c>
      <c r="I125" s="28" t="s">
        <v>1416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1419</v>
      </c>
      <c r="B126" s="5" t="s">
        <v>77</v>
      </c>
      <c r="C126" s="5" t="s">
        <v>1412</v>
      </c>
      <c r="D126" s="5" t="s">
        <v>1413</v>
      </c>
      <c r="E126" s="5">
        <v>2</v>
      </c>
      <c r="F126" s="5" t="s">
        <v>1414</v>
      </c>
      <c r="G126" s="5" t="s">
        <v>1839</v>
      </c>
      <c r="H126" s="5" t="s">
        <v>1840</v>
      </c>
      <c r="I126" s="28" t="s">
        <v>1419</v>
      </c>
      <c r="J126" t="s">
        <v>1725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1420</v>
      </c>
      <c r="B127" s="5" t="s">
        <v>77</v>
      </c>
      <c r="C127" s="5" t="s">
        <v>1412</v>
      </c>
      <c r="D127" s="5" t="s">
        <v>1417</v>
      </c>
      <c r="E127" s="5">
        <v>2</v>
      </c>
      <c r="F127" s="5" t="s">
        <v>1414</v>
      </c>
      <c r="G127" s="5" t="s">
        <v>1841</v>
      </c>
      <c r="H127" s="5" t="s">
        <v>1842</v>
      </c>
      <c r="I127" s="28" t="s">
        <v>1420</v>
      </c>
      <c r="J127" t="s">
        <v>1725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1853</v>
      </c>
      <c r="B128" s="5" t="s">
        <v>77</v>
      </c>
      <c r="C128" s="5" t="s">
        <v>1412</v>
      </c>
      <c r="D128" s="5" t="s">
        <v>1791</v>
      </c>
      <c r="E128" s="5">
        <v>1</v>
      </c>
      <c r="F128" s="5" t="s">
        <v>1414</v>
      </c>
      <c r="G128" s="5" t="s">
        <v>1792</v>
      </c>
      <c r="H128" s="5" t="s">
        <v>1854</v>
      </c>
      <c r="I128" s="28" t="s">
        <v>1853</v>
      </c>
      <c r="J128" t="s">
        <v>1725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1855</v>
      </c>
      <c r="B129" s="5" t="s">
        <v>77</v>
      </c>
      <c r="C129" s="5" t="s">
        <v>1412</v>
      </c>
      <c r="D129" s="5" t="s">
        <v>1794</v>
      </c>
      <c r="E129" s="5">
        <v>1</v>
      </c>
      <c r="F129" s="5" t="s">
        <v>79</v>
      </c>
      <c r="G129" s="5" t="s">
        <v>1795</v>
      </c>
      <c r="H129" s="5" t="s">
        <v>1854</v>
      </c>
      <c r="I129" s="28" t="s">
        <v>1855</v>
      </c>
      <c r="J129" t="s">
        <v>1725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1856</v>
      </c>
      <c r="B130" s="5" t="s">
        <v>77</v>
      </c>
      <c r="C130" s="5" t="s">
        <v>1412</v>
      </c>
      <c r="D130" s="5" t="s">
        <v>1798</v>
      </c>
      <c r="E130" s="5">
        <v>1</v>
      </c>
      <c r="F130" s="5" t="s">
        <v>79</v>
      </c>
      <c r="G130" s="5" t="s">
        <v>1799</v>
      </c>
      <c r="H130" s="5" t="s">
        <v>1854</v>
      </c>
      <c r="I130" s="28" t="s">
        <v>1856</v>
      </c>
      <c r="J130" t="s">
        <v>1725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1857</v>
      </c>
      <c r="B131" s="5" t="s">
        <v>77</v>
      </c>
      <c r="C131" s="5" t="s">
        <v>1412</v>
      </c>
      <c r="D131" s="5" t="s">
        <v>1802</v>
      </c>
      <c r="E131" s="5">
        <v>1</v>
      </c>
      <c r="F131" s="5" t="s">
        <v>1414</v>
      </c>
      <c r="G131" s="5" t="s">
        <v>1803</v>
      </c>
      <c r="H131" s="5" t="s">
        <v>1854</v>
      </c>
      <c r="I131" s="28" t="s">
        <v>1857</v>
      </c>
      <c r="J131" t="s">
        <v>1725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1858</v>
      </c>
      <c r="B132" s="5" t="s">
        <v>77</v>
      </c>
      <c r="C132" s="5" t="s">
        <v>1412</v>
      </c>
      <c r="D132" s="5" t="s">
        <v>1805</v>
      </c>
      <c r="E132" s="5">
        <v>1</v>
      </c>
      <c r="F132" s="5" t="s">
        <v>79</v>
      </c>
      <c r="G132" s="5" t="s">
        <v>1806</v>
      </c>
      <c r="H132" s="5" t="s">
        <v>1854</v>
      </c>
      <c r="I132" s="28" t="s">
        <v>1858</v>
      </c>
      <c r="J132" t="s">
        <v>1725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1859</v>
      </c>
      <c r="B133" s="5" t="s">
        <v>77</v>
      </c>
      <c r="C133" s="5" t="s">
        <v>1412</v>
      </c>
      <c r="D133" s="5" t="s">
        <v>1809</v>
      </c>
      <c r="E133" s="5">
        <v>1</v>
      </c>
      <c r="F133" s="5" t="s">
        <v>1414</v>
      </c>
      <c r="G133" s="5" t="s">
        <v>1810</v>
      </c>
      <c r="H133" s="5" t="s">
        <v>1854</v>
      </c>
      <c r="I133" s="28" t="s">
        <v>1859</v>
      </c>
      <c r="J133" t="s">
        <v>1725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1793</v>
      </c>
      <c r="B134" s="5" t="s">
        <v>77</v>
      </c>
      <c r="C134" s="5" t="s">
        <v>1412</v>
      </c>
      <c r="D134" s="5" t="s">
        <v>1791</v>
      </c>
      <c r="E134" s="5">
        <v>2</v>
      </c>
      <c r="F134" s="5" t="s">
        <v>1414</v>
      </c>
      <c r="G134" s="5" t="s">
        <v>1792</v>
      </c>
      <c r="H134" s="5" t="s">
        <v>1788</v>
      </c>
      <c r="I134" s="28" t="s">
        <v>1793</v>
      </c>
      <c r="J134" t="s">
        <v>1725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1796</v>
      </c>
      <c r="B135" s="5" t="s">
        <v>77</v>
      </c>
      <c r="C135" s="5" t="s">
        <v>1412</v>
      </c>
      <c r="D135" s="5" t="s">
        <v>1794</v>
      </c>
      <c r="E135" s="5">
        <v>2</v>
      </c>
      <c r="F135" s="5" t="s">
        <v>79</v>
      </c>
      <c r="G135" s="5" t="s">
        <v>1795</v>
      </c>
      <c r="H135" s="5" t="s">
        <v>1788</v>
      </c>
      <c r="I135" s="28" t="s">
        <v>1796</v>
      </c>
      <c r="J135" t="s">
        <v>1725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1801</v>
      </c>
      <c r="B136" s="5" t="s">
        <v>77</v>
      </c>
      <c r="C136" s="5" t="s">
        <v>1412</v>
      </c>
      <c r="D136" s="5" t="s">
        <v>1798</v>
      </c>
      <c r="E136" s="5">
        <v>2</v>
      </c>
      <c r="F136" s="5" t="s">
        <v>79</v>
      </c>
      <c r="G136" s="5" t="s">
        <v>1799</v>
      </c>
      <c r="H136" s="5" t="s">
        <v>1788</v>
      </c>
      <c r="I136" s="28" t="s">
        <v>1801</v>
      </c>
      <c r="J136" t="s">
        <v>1725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1804</v>
      </c>
      <c r="B137" s="5" t="s">
        <v>77</v>
      </c>
      <c r="C137" s="5" t="s">
        <v>1412</v>
      </c>
      <c r="D137" s="5" t="s">
        <v>1802</v>
      </c>
      <c r="E137" s="5">
        <v>2</v>
      </c>
      <c r="F137" s="5" t="s">
        <v>1414</v>
      </c>
      <c r="G137" s="5" t="s">
        <v>1803</v>
      </c>
      <c r="H137" s="5" t="s">
        <v>1788</v>
      </c>
      <c r="I137" s="28" t="s">
        <v>1804</v>
      </c>
      <c r="J137" t="s">
        <v>1725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1808</v>
      </c>
      <c r="B138" s="5" t="s">
        <v>77</v>
      </c>
      <c r="C138" s="5" t="s">
        <v>1412</v>
      </c>
      <c r="D138" s="5" t="s">
        <v>1805</v>
      </c>
      <c r="E138" s="5">
        <v>2</v>
      </c>
      <c r="F138" s="5" t="s">
        <v>79</v>
      </c>
      <c r="G138" s="5" t="s">
        <v>1806</v>
      </c>
      <c r="H138" s="5" t="s">
        <v>1788</v>
      </c>
      <c r="I138" s="28" t="s">
        <v>1808</v>
      </c>
      <c r="J138" t="s">
        <v>1725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1812</v>
      </c>
      <c r="B139" s="5" t="s">
        <v>77</v>
      </c>
      <c r="C139" s="5" t="s">
        <v>1412</v>
      </c>
      <c r="D139" s="5" t="s">
        <v>1809</v>
      </c>
      <c r="E139" s="5">
        <v>2</v>
      </c>
      <c r="F139" s="5" t="s">
        <v>1414</v>
      </c>
      <c r="G139" s="5" t="s">
        <v>1810</v>
      </c>
      <c r="H139" s="5" t="s">
        <v>1788</v>
      </c>
      <c r="I139" s="28" t="s">
        <v>1812</v>
      </c>
      <c r="J139" t="s">
        <v>1725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6" customWidth="1"/>
    <col min="2" max="2" width="24.59765625" style="116" customWidth="1"/>
    <col min="3" max="3" width="6.59765625" style="116" customWidth="1"/>
    <col min="4" max="7" width="12.59765625" style="116" customWidth="1"/>
    <col min="8" max="8" width="14.59765625" style="116" customWidth="1"/>
    <col min="9" max="9" width="10.59765625" style="116" customWidth="1"/>
    <col min="10" max="10" width="22.59765625" style="116" customWidth="1"/>
    <col min="11" max="11" width="90.59765625" style="116" customWidth="1"/>
    <col min="12" max="16384" width="9.06640625" style="116"/>
  </cols>
  <sheetData>
    <row r="1" spans="1:11" ht="13.9" x14ac:dyDescent="0.4">
      <c r="A1" s="117" t="s">
        <v>2054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x14ac:dyDescent="0.35">
      <c r="A2" s="116" t="s">
        <v>2055</v>
      </c>
    </row>
    <row r="3" spans="1:11" ht="13.9" x14ac:dyDescent="0.4">
      <c r="A3" s="119" t="s">
        <v>877</v>
      </c>
      <c r="B3" s="119" t="s">
        <v>32</v>
      </c>
      <c r="C3" s="119" t="s">
        <v>878</v>
      </c>
      <c r="D3" s="119" t="s">
        <v>2056</v>
      </c>
      <c r="E3" s="119" t="s">
        <v>2057</v>
      </c>
      <c r="F3" s="119" t="s">
        <v>2058</v>
      </c>
      <c r="G3" s="119" t="s">
        <v>2059</v>
      </c>
      <c r="H3" s="119" t="s">
        <v>2060</v>
      </c>
      <c r="I3" s="119" t="s">
        <v>2061</v>
      </c>
      <c r="J3" s="119" t="s">
        <v>2062</v>
      </c>
      <c r="K3" s="119" t="s">
        <v>2063</v>
      </c>
    </row>
    <row r="4" spans="1:11" x14ac:dyDescent="0.35">
      <c r="A4" s="120" t="str">
        <f>Settings!$B$3&amp;".mit.efc."&amp;C4</f>
        <v>egy.mit.efc.coa</v>
      </c>
      <c r="B4" s="116" t="s">
        <v>50</v>
      </c>
      <c r="C4" s="116" t="s">
        <v>49</v>
      </c>
      <c r="D4" s="121">
        <v>0.1</v>
      </c>
      <c r="E4" s="122">
        <f t="shared" ref="E4:E12" si="0">D4*$D$17</f>
        <v>4186.8</v>
      </c>
      <c r="F4" s="122">
        <f t="shared" ref="F4:F12" si="1">$D$21</f>
        <v>0.92961501403768609</v>
      </c>
      <c r="G4" s="122">
        <f t="shared" ref="G4:G12" si="2">E4*F4</f>
        <v>3892.1121407729843</v>
      </c>
      <c r="H4" s="123">
        <v>3892.1121407729843</v>
      </c>
      <c r="I4" s="124">
        <f t="shared" ref="I4:I12" si="3">G4-H4</f>
        <v>0</v>
      </c>
      <c r="J4" s="116" t="s">
        <v>2064</v>
      </c>
      <c r="K4" s="116" t="s">
        <v>2065</v>
      </c>
    </row>
    <row r="5" spans="1:11" x14ac:dyDescent="0.35">
      <c r="A5" s="120" t="str">
        <f>Settings!$B$3&amp;".mit.efc."&amp;C5</f>
        <v>egy.mit.efc.nga</v>
      </c>
      <c r="B5" s="116" t="s">
        <v>54</v>
      </c>
      <c r="C5" s="116" t="s">
        <v>53</v>
      </c>
      <c r="D5" s="121">
        <v>5.5799999999999995E-2</v>
      </c>
      <c r="E5" s="122">
        <f t="shared" si="0"/>
        <v>2336.2343999999998</v>
      </c>
      <c r="F5" s="122">
        <f t="shared" si="1"/>
        <v>0.92961501403768609</v>
      </c>
      <c r="G5" s="122">
        <f t="shared" si="2"/>
        <v>2171.7985745513251</v>
      </c>
      <c r="H5" s="123">
        <v>2171.7985745513251</v>
      </c>
      <c r="I5" s="124">
        <f t="shared" si="3"/>
        <v>0</v>
      </c>
      <c r="J5" s="116" t="s">
        <v>2066</v>
      </c>
      <c r="K5" s="116" t="s">
        <v>2067</v>
      </c>
    </row>
    <row r="6" spans="1:11" x14ac:dyDescent="0.35">
      <c r="A6" s="120" t="str">
        <f>Settings!$B$3&amp;".mit.efc."&amp;C6</f>
        <v>egy.mit.efc.gso</v>
      </c>
      <c r="B6" s="116" t="s">
        <v>56</v>
      </c>
      <c r="C6" s="116" t="s">
        <v>55</v>
      </c>
      <c r="D6" s="121">
        <v>6.7793000000000006E-2</v>
      </c>
      <c r="E6" s="122">
        <f t="shared" si="0"/>
        <v>2838.3573240000001</v>
      </c>
      <c r="F6" s="122">
        <f t="shared" si="1"/>
        <v>0.92961501403768609</v>
      </c>
      <c r="G6" s="122">
        <f t="shared" si="2"/>
        <v>2638.579583594229</v>
      </c>
      <c r="H6" s="123">
        <v>2638.579583594229</v>
      </c>
      <c r="I6" s="124">
        <f t="shared" si="3"/>
        <v>0</v>
      </c>
      <c r="J6" s="116" t="s">
        <v>2068</v>
      </c>
      <c r="K6" s="116" t="s">
        <v>2069</v>
      </c>
    </row>
    <row r="7" spans="1:11" x14ac:dyDescent="0.35">
      <c r="A7" s="120" t="str">
        <f>Settings!$B$3&amp;".mit.efc."&amp;C7</f>
        <v>egy.mit.efc.die</v>
      </c>
      <c r="B7" s="116" t="s">
        <v>59</v>
      </c>
      <c r="C7" s="116" t="s">
        <v>58</v>
      </c>
      <c r="D7" s="121">
        <v>7.1844999999999992E-2</v>
      </c>
      <c r="E7" s="122">
        <f t="shared" si="0"/>
        <v>3008.0064599999996</v>
      </c>
      <c r="F7" s="122">
        <f t="shared" si="1"/>
        <v>0.92961501403768609</v>
      </c>
      <c r="G7" s="122">
        <f t="shared" si="2"/>
        <v>2796.2879675383501</v>
      </c>
      <c r="H7" s="123">
        <v>2796.2879675383501</v>
      </c>
      <c r="I7" s="124">
        <f t="shared" si="3"/>
        <v>0</v>
      </c>
      <c r="J7" s="116" t="s">
        <v>2070</v>
      </c>
      <c r="K7" s="116" t="s">
        <v>2071</v>
      </c>
    </row>
    <row r="8" spans="1:11" x14ac:dyDescent="0.35">
      <c r="A8" s="120" t="str">
        <f>Settings!$B$3&amp;".mit.efc."&amp;C8</f>
        <v>egy.mit.efc.lpg</v>
      </c>
      <c r="B8" s="116" t="s">
        <v>61</v>
      </c>
      <c r="C8" s="116" t="s">
        <v>60</v>
      </c>
      <c r="D8" s="121">
        <v>6.8599999999999994E-2</v>
      </c>
      <c r="E8" s="122">
        <f t="shared" si="0"/>
        <v>2872.1447999999996</v>
      </c>
      <c r="F8" s="122">
        <f t="shared" si="1"/>
        <v>0.92961501403768609</v>
      </c>
      <c r="G8" s="122">
        <f t="shared" si="2"/>
        <v>2669.9889285702666</v>
      </c>
      <c r="H8" s="123">
        <v>2669.9889285702666</v>
      </c>
      <c r="I8" s="124">
        <f t="shared" si="3"/>
        <v>0</v>
      </c>
      <c r="J8" s="116" t="s">
        <v>2072</v>
      </c>
      <c r="K8" s="116" t="s">
        <v>2073</v>
      </c>
    </row>
    <row r="9" spans="1:11" x14ac:dyDescent="0.35">
      <c r="A9" s="120" t="str">
        <f>Settings!$B$3&amp;".mit.efc."&amp;C9</f>
        <v>egy.mit.efc.ker</v>
      </c>
      <c r="B9" s="116" t="s">
        <v>63</v>
      </c>
      <c r="C9" s="116" t="s">
        <v>62</v>
      </c>
      <c r="D9" s="121">
        <v>6.7793000000000006E-2</v>
      </c>
      <c r="E9" s="122">
        <f t="shared" si="0"/>
        <v>2838.3573240000001</v>
      </c>
      <c r="F9" s="122">
        <f t="shared" si="1"/>
        <v>0.92961501403768609</v>
      </c>
      <c r="G9" s="122">
        <f t="shared" si="2"/>
        <v>2638.579583594229</v>
      </c>
      <c r="H9" s="123">
        <v>2638.579583594229</v>
      </c>
      <c r="I9" s="124">
        <f t="shared" si="3"/>
        <v>0</v>
      </c>
      <c r="J9" s="116" t="s">
        <v>2074</v>
      </c>
      <c r="K9" s="116" t="s">
        <v>2075</v>
      </c>
    </row>
    <row r="10" spans="1:11" x14ac:dyDescent="0.35">
      <c r="A10" s="120" t="str">
        <f>Settings!$B$3&amp;".mit.efc."&amp;C10</f>
        <v>egy.mit.efc.oop</v>
      </c>
      <c r="B10" s="116" t="s">
        <v>65</v>
      </c>
      <c r="C10" s="116" t="s">
        <v>64</v>
      </c>
      <c r="D10" s="121">
        <v>7.6700000000000004E-2</v>
      </c>
      <c r="E10" s="122">
        <f t="shared" si="0"/>
        <v>3211.2756000000004</v>
      </c>
      <c r="F10" s="122">
        <f t="shared" si="1"/>
        <v>0.92961501403768609</v>
      </c>
      <c r="G10" s="122">
        <f t="shared" si="2"/>
        <v>2985.2500119728793</v>
      </c>
      <c r="H10" s="123">
        <v>2985.2500119728793</v>
      </c>
      <c r="I10" s="124">
        <f t="shared" si="3"/>
        <v>0</v>
      </c>
      <c r="J10" s="116" t="s">
        <v>2076</v>
      </c>
      <c r="K10" s="116" t="s">
        <v>2077</v>
      </c>
    </row>
    <row r="11" spans="1:11" x14ac:dyDescent="0.35">
      <c r="A11" s="120" t="str">
        <f>Settings!$B$3&amp;".mit.efc."&amp;C11</f>
        <v>egy.mit.efc.bio</v>
      </c>
      <c r="B11" s="116" t="s">
        <v>68</v>
      </c>
      <c r="C11" s="116" t="s">
        <v>67</v>
      </c>
      <c r="D11" s="121">
        <v>0</v>
      </c>
      <c r="E11" s="122">
        <f t="shared" si="0"/>
        <v>0</v>
      </c>
      <c r="F11" s="122">
        <f t="shared" si="1"/>
        <v>0.92961501403768609</v>
      </c>
      <c r="G11" s="122">
        <f t="shared" si="2"/>
        <v>0</v>
      </c>
      <c r="H11" s="123">
        <v>0</v>
      </c>
      <c r="I11" s="124">
        <f t="shared" si="3"/>
        <v>0</v>
      </c>
      <c r="K11" s="116" t="s">
        <v>2078</v>
      </c>
    </row>
    <row r="12" spans="1:11" x14ac:dyDescent="0.35">
      <c r="A12" s="120" t="str">
        <f>Settings!$B$3&amp;".mit.efc."&amp;C12</f>
        <v>egy.mit.efc.ren</v>
      </c>
      <c r="B12" s="116" t="s">
        <v>70</v>
      </c>
      <c r="C12" s="116" t="s">
        <v>69</v>
      </c>
      <c r="D12" s="121">
        <v>0</v>
      </c>
      <c r="E12" s="122">
        <f t="shared" si="0"/>
        <v>0</v>
      </c>
      <c r="F12" s="122">
        <f t="shared" si="1"/>
        <v>0.92961501403768609</v>
      </c>
      <c r="G12" s="122">
        <f t="shared" si="2"/>
        <v>0</v>
      </c>
      <c r="H12" s="123">
        <v>0</v>
      </c>
      <c r="I12" s="124">
        <f t="shared" si="3"/>
        <v>0</v>
      </c>
      <c r="K12" s="116" t="s">
        <v>2079</v>
      </c>
    </row>
    <row r="16" spans="1:11" ht="13.9" x14ac:dyDescent="0.4">
      <c r="A16" s="125" t="s">
        <v>125</v>
      </c>
    </row>
    <row r="17" spans="1:11" x14ac:dyDescent="0.35">
      <c r="A17" s="116" t="s">
        <v>2080</v>
      </c>
      <c r="D17" s="118">
        <v>41868</v>
      </c>
      <c r="K17" s="116" t="s">
        <v>2081</v>
      </c>
    </row>
    <row r="18" spans="1:11" x14ac:dyDescent="0.35">
      <c r="A18" s="116" t="s">
        <v>2082</v>
      </c>
      <c r="D18" s="116" t="str">
        <f>INDEX(MTInputs!$F$8:$F$415,MATCH("EmissionsFactCO2",MTInputs!$H$8:$H$415,0))</f>
        <v>IIASA*</v>
      </c>
      <c r="K18" s="128" t="s">
        <v>2083</v>
      </c>
    </row>
    <row r="19" spans="1:11" x14ac:dyDescent="0.35">
      <c r="A19" s="116" t="s">
        <v>2084</v>
      </c>
      <c r="D19" s="116" t="str">
        <f>INDEX(MTInputs!$F$8:$F$415,MATCH("EFsAdjustmentNonAnnexI",MTInputs!$H$8:$H$415,0))</f>
        <v>Yes*</v>
      </c>
      <c r="K19" s="116" t="s">
        <v>2085</v>
      </c>
    </row>
    <row r="20" spans="1:11" x14ac:dyDescent="0.35">
      <c r="A20" s="116" t="s">
        <v>2086</v>
      </c>
      <c r="D20" s="126">
        <v>0.92961501403768609</v>
      </c>
      <c r="K20" s="116" t="s">
        <v>2087</v>
      </c>
    </row>
    <row r="21" spans="1:11" x14ac:dyDescent="0.35">
      <c r="A21" s="116" t="s">
        <v>2088</v>
      </c>
      <c r="D21" s="127">
        <f>IF(LEFT(D19,3)="Yes",D20,1)</f>
        <v>0.92961501403768609</v>
      </c>
      <c r="K21" s="116" t="s">
        <v>2089</v>
      </c>
    </row>
    <row r="23" spans="1:11" x14ac:dyDescent="0.35">
      <c r="A23" s="116" t="s">
        <v>2090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877"/>
  <sheetViews>
    <sheetView zoomScaleNormal="100" workbookViewId="0">
      <pane xSplit="5" ySplit="5" topLeftCell="F1849" activePane="bottomRight" state="frozen"/>
      <selection pane="topRight" activeCell="F1" sqref="F1"/>
      <selection pane="bottomLeft" activeCell="A6" sqref="A6"/>
      <selection pane="bottomRight" activeCell="A1863" sqref="A1863:XFD1863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1501</v>
      </c>
    </row>
    <row r="584" spans="1:35" x14ac:dyDescent="0.45">
      <c r="A584" t="s">
        <v>1710</v>
      </c>
      <c r="D584" s="92">
        <f>SUMPRODUCT(MAX((I587:I1378="same")    *F587:F1378))</f>
        <v>5.8207660913467407E-11</v>
      </c>
    </row>
    <row r="585" spans="1:35" x14ac:dyDescent="0.45">
      <c r="A585" t="s">
        <v>1711</v>
      </c>
      <c r="D585" s="92">
        <f>SUMPRODUCT(MAX((I587:I1378="changed")*F587:F1378))</f>
        <v>7350.5289918043582</v>
      </c>
    </row>
    <row r="586" spans="1:35" x14ac:dyDescent="0.45">
      <c r="A586" s="50" t="s">
        <v>1502</v>
      </c>
      <c r="B586" s="50" t="s">
        <v>1503</v>
      </c>
      <c r="C586" s="50" t="s">
        <v>1504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1505</v>
      </c>
      <c r="J586" s="50" t="s">
        <v>1506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1507</v>
      </c>
      <c r="B587" t="s">
        <v>1422</v>
      </c>
      <c r="C587" t="s">
        <v>1423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1507</v>
      </c>
      <c r="B588" t="s">
        <v>1422</v>
      </c>
      <c r="C588" t="s">
        <v>1423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1507</v>
      </c>
      <c r="B589" t="s">
        <v>1422</v>
      </c>
      <c r="C589" t="s">
        <v>1423</v>
      </c>
      <c r="D589">
        <v>1</v>
      </c>
      <c r="E589" t="s">
        <v>1161</v>
      </c>
      <c r="F589">
        <f>MAX(MAX(L589:AE589),-MIN(L589:AE589))</f>
        <v>0</v>
      </c>
      <c r="I589" t="s">
        <v>1508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1509</v>
      </c>
      <c r="B591" t="s">
        <v>1422</v>
      </c>
      <c r="C591" t="s">
        <v>1424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1509</v>
      </c>
      <c r="B592" t="s">
        <v>1422</v>
      </c>
      <c r="C592" t="s">
        <v>1424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1509</v>
      </c>
      <c r="B593" t="s">
        <v>1422</v>
      </c>
      <c r="C593" t="s">
        <v>1424</v>
      </c>
      <c r="D593">
        <v>1</v>
      </c>
      <c r="E593" t="s">
        <v>1161</v>
      </c>
      <c r="F593">
        <f>MAX(MAX(L593:AE593),-MIN(L593:AE593))</f>
        <v>0</v>
      </c>
      <c r="I593" t="s">
        <v>1508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1510</v>
      </c>
      <c r="B595" t="s">
        <v>1433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1510</v>
      </c>
      <c r="B596" t="s">
        <v>1433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1510</v>
      </c>
      <c r="B597" t="s">
        <v>1433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1508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1511</v>
      </c>
      <c r="B599" t="s">
        <v>1433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1511</v>
      </c>
      <c r="B600" t="s">
        <v>1433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1511</v>
      </c>
      <c r="B601" t="s">
        <v>1433</v>
      </c>
      <c r="C601" t="s">
        <v>1357</v>
      </c>
      <c r="D601">
        <v>1</v>
      </c>
      <c r="E601" t="s">
        <v>1161</v>
      </c>
      <c r="F601">
        <f>MAX(MAX(L601:AE601),-MIN(L601:AE601))</f>
        <v>1.8189894035458565E-12</v>
      </c>
      <c r="I601" t="s">
        <v>1508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1512</v>
      </c>
      <c r="B603" t="s">
        <v>1433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1512</v>
      </c>
      <c r="B604" t="s">
        <v>1433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1512</v>
      </c>
      <c r="B605" t="s">
        <v>1433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1508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1513</v>
      </c>
      <c r="B607" t="s">
        <v>1433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1513</v>
      </c>
      <c r="B608" t="s">
        <v>1433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1513</v>
      </c>
      <c r="B609" t="s">
        <v>1433</v>
      </c>
      <c r="C609" t="s">
        <v>1369</v>
      </c>
      <c r="D609">
        <v>1</v>
      </c>
      <c r="E609" t="s">
        <v>1161</v>
      </c>
      <c r="F609">
        <f>MAX(MAX(L609:AE609),-MIN(L609:AE609))</f>
        <v>5.8207660913467407E-11</v>
      </c>
      <c r="I609" t="s">
        <v>1508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1514</v>
      </c>
      <c r="B611" t="s">
        <v>1433</v>
      </c>
      <c r="C611" t="s">
        <v>1441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1514</v>
      </c>
      <c r="B612" t="s">
        <v>1433</v>
      </c>
      <c r="C612" t="s">
        <v>1441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1514</v>
      </c>
      <c r="B613" t="s">
        <v>1433</v>
      </c>
      <c r="C613" t="s">
        <v>1441</v>
      </c>
      <c r="D613">
        <v>1</v>
      </c>
      <c r="E613" t="s">
        <v>1161</v>
      </c>
      <c r="F613">
        <f>MAX(MAX(L613:AE613),-MIN(L613:AE613))</f>
        <v>4.5474735088646412E-13</v>
      </c>
      <c r="I613" t="s">
        <v>1508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1515</v>
      </c>
      <c r="B615" t="s">
        <v>1433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1515</v>
      </c>
      <c r="B616" t="s">
        <v>1433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1515</v>
      </c>
      <c r="B617" t="s">
        <v>1433</v>
      </c>
      <c r="C617" t="s">
        <v>1383</v>
      </c>
      <c r="D617">
        <v>1</v>
      </c>
      <c r="E617" t="s">
        <v>1161</v>
      </c>
      <c r="F617">
        <f>MAX(MAX(L617:AE617),-MIN(L617:AE617))</f>
        <v>1.3642420526593924E-12</v>
      </c>
      <c r="I617" t="s">
        <v>1508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1516</v>
      </c>
      <c r="B619" t="s">
        <v>1433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1516</v>
      </c>
      <c r="B620" t="s">
        <v>1433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1516</v>
      </c>
      <c r="B621" t="s">
        <v>1433</v>
      </c>
      <c r="C621" t="s">
        <v>1390</v>
      </c>
      <c r="D621">
        <v>1</v>
      </c>
      <c r="E621" t="s">
        <v>1161</v>
      </c>
      <c r="F621">
        <f>MAX(MAX(L621:AE621),-MIN(L621:AE621))</f>
        <v>1.1368683772161603E-13</v>
      </c>
      <c r="I621" t="s">
        <v>1508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1517</v>
      </c>
      <c r="B623" t="s">
        <v>1433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1517</v>
      </c>
      <c r="B624" t="s">
        <v>1433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1517</v>
      </c>
      <c r="B625" t="s">
        <v>1433</v>
      </c>
      <c r="C625" t="s">
        <v>1397</v>
      </c>
      <c r="D625">
        <v>1</v>
      </c>
      <c r="E625" t="s">
        <v>1161</v>
      </c>
      <c r="F625">
        <f>MAX(MAX(L625:AE625),-MIN(L625:AE625))</f>
        <v>1.1368683772161603E-13</v>
      </c>
      <c r="I625" t="s">
        <v>1508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1518</v>
      </c>
      <c r="B627" t="s">
        <v>1446</v>
      </c>
      <c r="C627" t="s">
        <v>1449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1518</v>
      </c>
      <c r="B628" t="s">
        <v>1446</v>
      </c>
      <c r="C628" t="s">
        <v>1449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1518</v>
      </c>
      <c r="B629" t="s">
        <v>1446</v>
      </c>
      <c r="C629" t="s">
        <v>1449</v>
      </c>
      <c r="D629">
        <v>1</v>
      </c>
      <c r="E629" t="s">
        <v>1161</v>
      </c>
      <c r="F629">
        <f>MAX(MAX(L629:AE629),-MIN(L629:AE629))</f>
        <v>0</v>
      </c>
      <c r="I629" t="s">
        <v>1508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1519</v>
      </c>
      <c r="B631" t="s">
        <v>1446</v>
      </c>
      <c r="C631" t="s">
        <v>1452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1519</v>
      </c>
      <c r="B632" t="s">
        <v>1446</v>
      </c>
      <c r="C632" t="s">
        <v>1452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1519</v>
      </c>
      <c r="B633" t="s">
        <v>1446</v>
      </c>
      <c r="C633" t="s">
        <v>1452</v>
      </c>
      <c r="D633">
        <v>1</v>
      </c>
      <c r="E633" t="s">
        <v>1161</v>
      </c>
      <c r="F633">
        <f>MAX(MAX(L633:AE633),-MIN(L633:AE633))</f>
        <v>0</v>
      </c>
      <c r="I633" t="s">
        <v>1508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1520</v>
      </c>
      <c r="B635" t="s">
        <v>1446</v>
      </c>
      <c r="C635" t="s">
        <v>1455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1520</v>
      </c>
      <c r="B636" t="s">
        <v>1446</v>
      </c>
      <c r="C636" t="s">
        <v>1455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1520</v>
      </c>
      <c r="B637" t="s">
        <v>1446</v>
      </c>
      <c r="C637" t="s">
        <v>1455</v>
      </c>
      <c r="D637">
        <v>1</v>
      </c>
      <c r="E637" t="s">
        <v>1161</v>
      </c>
      <c r="F637">
        <f>MAX(MAX(L637:AE637),-MIN(L637:AE637))</f>
        <v>0</v>
      </c>
      <c r="I637" t="s">
        <v>1508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1521</v>
      </c>
      <c r="B639" t="s">
        <v>1446</v>
      </c>
      <c r="C639" t="s">
        <v>1458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1521</v>
      </c>
      <c r="B640" t="s">
        <v>1446</v>
      </c>
      <c r="C640" t="s">
        <v>1458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1521</v>
      </c>
      <c r="B641" t="s">
        <v>1446</v>
      </c>
      <c r="C641" t="s">
        <v>1458</v>
      </c>
      <c r="D641">
        <v>1</v>
      </c>
      <c r="E641" t="s">
        <v>1161</v>
      </c>
      <c r="F641">
        <f>MAX(MAX(L641:AE641),-MIN(L641:AE641))</f>
        <v>0</v>
      </c>
      <c r="I641" t="s">
        <v>1508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1522</v>
      </c>
      <c r="B643" t="s">
        <v>1446</v>
      </c>
      <c r="C643" t="s">
        <v>1461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1522</v>
      </c>
      <c r="B644" t="s">
        <v>1446</v>
      </c>
      <c r="C644" t="s">
        <v>1461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1522</v>
      </c>
      <c r="B645" t="s">
        <v>1446</v>
      </c>
      <c r="C645" t="s">
        <v>1461</v>
      </c>
      <c r="D645">
        <v>1</v>
      </c>
      <c r="E645" t="s">
        <v>1161</v>
      </c>
      <c r="F645">
        <f>MAX(MAX(L645:AE645),-MIN(L645:AE645))</f>
        <v>0</v>
      </c>
      <c r="I645" t="s">
        <v>1508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1523</v>
      </c>
      <c r="B647" t="s">
        <v>1446</v>
      </c>
      <c r="C647" t="s">
        <v>1464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1523</v>
      </c>
      <c r="B648" t="s">
        <v>1446</v>
      </c>
      <c r="C648" t="s">
        <v>1464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1523</v>
      </c>
      <c r="B649" t="s">
        <v>1446</v>
      </c>
      <c r="C649" t="s">
        <v>1464</v>
      </c>
      <c r="D649">
        <v>1</v>
      </c>
      <c r="E649" t="s">
        <v>1161</v>
      </c>
      <c r="F649">
        <f>MAX(MAX(L649:AE649),-MIN(L649:AE649))</f>
        <v>0</v>
      </c>
      <c r="I649" t="s">
        <v>1508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1524</v>
      </c>
      <c r="B651" t="s">
        <v>1446</v>
      </c>
      <c r="C651" t="s">
        <v>1467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1524</v>
      </c>
      <c r="B652" t="s">
        <v>1446</v>
      </c>
      <c r="C652" t="s">
        <v>1467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1524</v>
      </c>
      <c r="B653" t="s">
        <v>1446</v>
      </c>
      <c r="C653" t="s">
        <v>1467</v>
      </c>
      <c r="D653">
        <v>1</v>
      </c>
      <c r="E653" t="s">
        <v>1161</v>
      </c>
      <c r="F653">
        <f>MAX(MAX(L653:AE653),-MIN(L653:AE653))</f>
        <v>0</v>
      </c>
      <c r="I653" t="s">
        <v>1508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1525</v>
      </c>
      <c r="B655" t="s">
        <v>1446</v>
      </c>
      <c r="C655" t="s">
        <v>1470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1525</v>
      </c>
      <c r="B656" t="s">
        <v>1446</v>
      </c>
      <c r="C656" t="s">
        <v>1470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1525</v>
      </c>
      <c r="B657" t="s">
        <v>1446</v>
      </c>
      <c r="C657" t="s">
        <v>1470</v>
      </c>
      <c r="D657">
        <v>1</v>
      </c>
      <c r="E657" t="s">
        <v>1161</v>
      </c>
      <c r="F657">
        <f>MAX(MAX(L657:AE657),-MIN(L657:AE657))</f>
        <v>0</v>
      </c>
      <c r="I657" t="s">
        <v>1508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1526</v>
      </c>
      <c r="B659" t="s">
        <v>1473</v>
      </c>
      <c r="C659" t="s">
        <v>1449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1526</v>
      </c>
      <c r="B660" t="s">
        <v>1473</v>
      </c>
      <c r="C660" t="s">
        <v>1449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1526</v>
      </c>
      <c r="B661" t="s">
        <v>1473</v>
      </c>
      <c r="C661" t="s">
        <v>1449</v>
      </c>
      <c r="D661">
        <v>1</v>
      </c>
      <c r="E661" t="s">
        <v>1161</v>
      </c>
      <c r="F661">
        <f>MAX(MAX(L661:AE661),-MIN(L661:AE661))</f>
        <v>0</v>
      </c>
      <c r="I661" t="s">
        <v>1508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1527</v>
      </c>
      <c r="B663" t="s">
        <v>1473</v>
      </c>
      <c r="C663" t="s">
        <v>1452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1527</v>
      </c>
      <c r="B664" t="s">
        <v>1473</v>
      </c>
      <c r="C664" t="s">
        <v>1452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1527</v>
      </c>
      <c r="B665" t="s">
        <v>1473</v>
      </c>
      <c r="C665" t="s">
        <v>1452</v>
      </c>
      <c r="D665">
        <v>1</v>
      </c>
      <c r="E665" t="s">
        <v>1161</v>
      </c>
      <c r="F665">
        <f>MAX(MAX(L665:AE665),-MIN(L665:AE665))</f>
        <v>0</v>
      </c>
      <c r="I665" t="s">
        <v>1508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1528</v>
      </c>
      <c r="B667" t="s">
        <v>1473</v>
      </c>
      <c r="C667" t="s">
        <v>1455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1528</v>
      </c>
      <c r="B668" t="s">
        <v>1473</v>
      </c>
      <c r="C668" t="s">
        <v>1455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1528</v>
      </c>
      <c r="B669" t="s">
        <v>1473</v>
      </c>
      <c r="C669" t="s">
        <v>1455</v>
      </c>
      <c r="D669">
        <v>1</v>
      </c>
      <c r="E669" t="s">
        <v>1161</v>
      </c>
      <c r="F669">
        <f>MAX(MAX(L669:AE669),-MIN(L669:AE669))</f>
        <v>0</v>
      </c>
      <c r="I669" t="s">
        <v>1508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1529</v>
      </c>
      <c r="B671" t="s">
        <v>1473</v>
      </c>
      <c r="C671" t="s">
        <v>1458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1529</v>
      </c>
      <c r="B672" t="s">
        <v>1473</v>
      </c>
      <c r="C672" t="s">
        <v>1458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1529</v>
      </c>
      <c r="B673" t="s">
        <v>1473</v>
      </c>
      <c r="C673" t="s">
        <v>1458</v>
      </c>
      <c r="D673">
        <v>1</v>
      </c>
      <c r="E673" t="s">
        <v>1161</v>
      </c>
      <c r="F673">
        <f>MAX(MAX(L673:AE673),-MIN(L673:AE673))</f>
        <v>0</v>
      </c>
      <c r="I673" t="s">
        <v>1508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1530</v>
      </c>
      <c r="B675" t="s">
        <v>1473</v>
      </c>
      <c r="C675" t="s">
        <v>1461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1530</v>
      </c>
      <c r="B676" t="s">
        <v>1473</v>
      </c>
      <c r="C676" t="s">
        <v>1461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1530</v>
      </c>
      <c r="B677" t="s">
        <v>1473</v>
      </c>
      <c r="C677" t="s">
        <v>1461</v>
      </c>
      <c r="D677">
        <v>1</v>
      </c>
      <c r="E677" t="s">
        <v>1161</v>
      </c>
      <c r="F677">
        <f>MAX(MAX(L677:AE677),-MIN(L677:AE677))</f>
        <v>0</v>
      </c>
      <c r="I677" t="s">
        <v>1508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1531</v>
      </c>
      <c r="B679" t="s">
        <v>1473</v>
      </c>
      <c r="C679" t="s">
        <v>1464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1531</v>
      </c>
      <c r="B680" t="s">
        <v>1473</v>
      </c>
      <c r="C680" t="s">
        <v>1464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1531</v>
      </c>
      <c r="B681" t="s">
        <v>1473</v>
      </c>
      <c r="C681" t="s">
        <v>1464</v>
      </c>
      <c r="D681">
        <v>1</v>
      </c>
      <c r="E681" t="s">
        <v>1161</v>
      </c>
      <c r="F681">
        <f>MAX(MAX(L681:AE681),-MIN(L681:AE681))</f>
        <v>0</v>
      </c>
      <c r="I681" t="s">
        <v>1508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1532</v>
      </c>
      <c r="B683" t="s">
        <v>1473</v>
      </c>
      <c r="C683" t="s">
        <v>1467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1532</v>
      </c>
      <c r="B684" t="s">
        <v>1473</v>
      </c>
      <c r="C684" t="s">
        <v>1467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1532</v>
      </c>
      <c r="B685" t="s">
        <v>1473</v>
      </c>
      <c r="C685" t="s">
        <v>1467</v>
      </c>
      <c r="D685">
        <v>1</v>
      </c>
      <c r="E685" t="s">
        <v>1161</v>
      </c>
      <c r="F685">
        <f>MAX(MAX(L685:AE685),-MIN(L685:AE685))</f>
        <v>0</v>
      </c>
      <c r="I685" t="s">
        <v>1508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1533</v>
      </c>
      <c r="B687" t="s">
        <v>1473</v>
      </c>
      <c r="C687" t="s">
        <v>1470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1533</v>
      </c>
      <c r="B688" t="s">
        <v>1473</v>
      </c>
      <c r="C688" t="s">
        <v>1470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1533</v>
      </c>
      <c r="B689" t="s">
        <v>1473</v>
      </c>
      <c r="C689" t="s">
        <v>1470</v>
      </c>
      <c r="D689">
        <v>1</v>
      </c>
      <c r="E689" t="s">
        <v>1161</v>
      </c>
      <c r="F689">
        <f>MAX(MAX(L689:AE689),-MIN(L689:AE689))</f>
        <v>0</v>
      </c>
      <c r="I689" t="s">
        <v>1508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1534</v>
      </c>
      <c r="B691" t="s">
        <v>1476</v>
      </c>
      <c r="C691" t="s">
        <v>1449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1534</v>
      </c>
      <c r="B692" t="s">
        <v>1476</v>
      </c>
      <c r="C692" t="s">
        <v>1449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1534</v>
      </c>
      <c r="B693" t="s">
        <v>1476</v>
      </c>
      <c r="C693" t="s">
        <v>1449</v>
      </c>
      <c r="D693">
        <v>1</v>
      </c>
      <c r="E693" t="s">
        <v>1161</v>
      </c>
      <c r="F693">
        <f>MAX(MAX(L693:AE693),-MIN(L693:AE693))</f>
        <v>0</v>
      </c>
      <c r="I693" t="s">
        <v>1508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1535</v>
      </c>
      <c r="B695" t="s">
        <v>1476</v>
      </c>
      <c r="C695" t="s">
        <v>1452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1535</v>
      </c>
      <c r="B696" t="s">
        <v>1476</v>
      </c>
      <c r="C696" t="s">
        <v>1452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1535</v>
      </c>
      <c r="B697" t="s">
        <v>1476</v>
      </c>
      <c r="C697" t="s">
        <v>1452</v>
      </c>
      <c r="D697">
        <v>1</v>
      </c>
      <c r="E697" t="s">
        <v>1161</v>
      </c>
      <c r="F697">
        <f>MAX(MAX(L697:AE697),-MIN(L697:AE697))</f>
        <v>0</v>
      </c>
      <c r="I697" t="s">
        <v>1508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1536</v>
      </c>
      <c r="B699" t="s">
        <v>1476</v>
      </c>
      <c r="C699" t="s">
        <v>1455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1536</v>
      </c>
      <c r="B700" t="s">
        <v>1476</v>
      </c>
      <c r="C700" t="s">
        <v>1455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1536</v>
      </c>
      <c r="B701" t="s">
        <v>1476</v>
      </c>
      <c r="C701" t="s">
        <v>1455</v>
      </c>
      <c r="D701">
        <v>1</v>
      </c>
      <c r="E701" t="s">
        <v>1161</v>
      </c>
      <c r="F701">
        <f>MAX(MAX(L701:AE701),-MIN(L701:AE701))</f>
        <v>0</v>
      </c>
      <c r="I701" t="s">
        <v>1508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1537</v>
      </c>
      <c r="B703" t="s">
        <v>1476</v>
      </c>
      <c r="C703" t="s">
        <v>1458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1537</v>
      </c>
      <c r="B704" t="s">
        <v>1476</v>
      </c>
      <c r="C704" t="s">
        <v>1458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1537</v>
      </c>
      <c r="B705" t="s">
        <v>1476</v>
      </c>
      <c r="C705" t="s">
        <v>1458</v>
      </c>
      <c r="D705">
        <v>1</v>
      </c>
      <c r="E705" t="s">
        <v>1161</v>
      </c>
      <c r="F705">
        <f>MAX(MAX(L705:AE705),-MIN(L705:AE705))</f>
        <v>0</v>
      </c>
      <c r="I705" t="s">
        <v>1508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1538</v>
      </c>
      <c r="B707" t="s">
        <v>1476</v>
      </c>
      <c r="C707" t="s">
        <v>1461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1538</v>
      </c>
      <c r="B708" t="s">
        <v>1476</v>
      </c>
      <c r="C708" t="s">
        <v>1461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1538</v>
      </c>
      <c r="B709" t="s">
        <v>1476</v>
      </c>
      <c r="C709" t="s">
        <v>1461</v>
      </c>
      <c r="D709">
        <v>1</v>
      </c>
      <c r="E709" t="s">
        <v>1161</v>
      </c>
      <c r="F709">
        <f>MAX(MAX(L709:AE709),-MIN(L709:AE709))</f>
        <v>0</v>
      </c>
      <c r="I709" t="s">
        <v>1508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1539</v>
      </c>
      <c r="B711" t="s">
        <v>1476</v>
      </c>
      <c r="C711" t="s">
        <v>1464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1539</v>
      </c>
      <c r="B712" t="s">
        <v>1476</v>
      </c>
      <c r="C712" t="s">
        <v>1464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1539</v>
      </c>
      <c r="B713" t="s">
        <v>1476</v>
      </c>
      <c r="C713" t="s">
        <v>1464</v>
      </c>
      <c r="D713">
        <v>1</v>
      </c>
      <c r="E713" t="s">
        <v>1161</v>
      </c>
      <c r="F713">
        <f>MAX(MAX(L713:AE713),-MIN(L713:AE713))</f>
        <v>0</v>
      </c>
      <c r="I713" t="s">
        <v>1508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1540</v>
      </c>
      <c r="B715" t="s">
        <v>1476</v>
      </c>
      <c r="C715" t="s">
        <v>1467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1540</v>
      </c>
      <c r="B716" t="s">
        <v>1476</v>
      </c>
      <c r="C716" t="s">
        <v>1467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1540</v>
      </c>
      <c r="B717" t="s">
        <v>1476</v>
      </c>
      <c r="C717" t="s">
        <v>1467</v>
      </c>
      <c r="D717">
        <v>1</v>
      </c>
      <c r="E717" t="s">
        <v>1161</v>
      </c>
      <c r="F717">
        <f>MAX(MAX(L717:AE717),-MIN(L717:AE717))</f>
        <v>0</v>
      </c>
      <c r="I717" t="s">
        <v>1508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1541</v>
      </c>
      <c r="B719" t="s">
        <v>1476</v>
      </c>
      <c r="C719" t="s">
        <v>1470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1541</v>
      </c>
      <c r="B720" t="s">
        <v>1476</v>
      </c>
      <c r="C720" t="s">
        <v>1470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1541</v>
      </c>
      <c r="B721" t="s">
        <v>1476</v>
      </c>
      <c r="C721" t="s">
        <v>1470</v>
      </c>
      <c r="D721">
        <v>1</v>
      </c>
      <c r="E721" t="s">
        <v>1161</v>
      </c>
      <c r="F721">
        <f>MAX(MAX(L721:AE721),-MIN(L721:AE721))</f>
        <v>0</v>
      </c>
      <c r="I721" t="s">
        <v>1508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1542</v>
      </c>
      <c r="B723" t="s">
        <v>1479</v>
      </c>
      <c r="C723" t="s">
        <v>1449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1542</v>
      </c>
      <c r="B724" t="s">
        <v>1479</v>
      </c>
      <c r="C724" t="s">
        <v>1449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1542</v>
      </c>
      <c r="B725" t="s">
        <v>1479</v>
      </c>
      <c r="C725" t="s">
        <v>1449</v>
      </c>
      <c r="D725">
        <v>1</v>
      </c>
      <c r="E725" t="s">
        <v>1161</v>
      </c>
      <c r="F725">
        <f>MAX(MAX(L725:AE725),-MIN(L725:AE725))</f>
        <v>0</v>
      </c>
      <c r="I725" t="s">
        <v>1508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1543</v>
      </c>
      <c r="B727" t="s">
        <v>1479</v>
      </c>
      <c r="C727" t="s">
        <v>1452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1543</v>
      </c>
      <c r="B728" t="s">
        <v>1479</v>
      </c>
      <c r="C728" t="s">
        <v>1452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1543</v>
      </c>
      <c r="B729" t="s">
        <v>1479</v>
      </c>
      <c r="C729" t="s">
        <v>1452</v>
      </c>
      <c r="D729">
        <v>1</v>
      </c>
      <c r="E729" t="s">
        <v>1161</v>
      </c>
      <c r="F729">
        <f>MAX(MAX(L729:AE729),-MIN(L729:AE729))</f>
        <v>0</v>
      </c>
      <c r="I729" t="s">
        <v>1508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1544</v>
      </c>
      <c r="B731" t="s">
        <v>1479</v>
      </c>
      <c r="C731" t="s">
        <v>1455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1544</v>
      </c>
      <c r="B732" t="s">
        <v>1479</v>
      </c>
      <c r="C732" t="s">
        <v>1455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1544</v>
      </c>
      <c r="B733" t="s">
        <v>1479</v>
      </c>
      <c r="C733" t="s">
        <v>1455</v>
      </c>
      <c r="D733">
        <v>1</v>
      </c>
      <c r="E733" t="s">
        <v>1161</v>
      </c>
      <c r="F733">
        <f>MAX(MAX(L733:AE733),-MIN(L733:AE733))</f>
        <v>0</v>
      </c>
      <c r="I733" t="s">
        <v>1508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1545</v>
      </c>
      <c r="B735" t="s">
        <v>1479</v>
      </c>
      <c r="C735" t="s">
        <v>1458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1545</v>
      </c>
      <c r="B736" t="s">
        <v>1479</v>
      </c>
      <c r="C736" t="s">
        <v>1458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1545</v>
      </c>
      <c r="B737" t="s">
        <v>1479</v>
      </c>
      <c r="C737" t="s">
        <v>1458</v>
      </c>
      <c r="D737">
        <v>1</v>
      </c>
      <c r="E737" t="s">
        <v>1161</v>
      </c>
      <c r="F737">
        <f>MAX(MAX(L737:AE737),-MIN(L737:AE737))</f>
        <v>0</v>
      </c>
      <c r="I737" t="s">
        <v>1508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1546</v>
      </c>
      <c r="B739" t="s">
        <v>1479</v>
      </c>
      <c r="C739" t="s">
        <v>1461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1546</v>
      </c>
      <c r="B740" t="s">
        <v>1479</v>
      </c>
      <c r="C740" t="s">
        <v>1461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1546</v>
      </c>
      <c r="B741" t="s">
        <v>1479</v>
      </c>
      <c r="C741" t="s">
        <v>1461</v>
      </c>
      <c r="D741">
        <v>1</v>
      </c>
      <c r="E741" t="s">
        <v>1161</v>
      </c>
      <c r="F741">
        <f>MAX(MAX(L741:AE741),-MIN(L741:AE741))</f>
        <v>0</v>
      </c>
      <c r="I741" t="s">
        <v>1508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1547</v>
      </c>
      <c r="B743" t="s">
        <v>1479</v>
      </c>
      <c r="C743" t="s">
        <v>1464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1547</v>
      </c>
      <c r="B744" t="s">
        <v>1479</v>
      </c>
      <c r="C744" t="s">
        <v>1464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1547</v>
      </c>
      <c r="B745" t="s">
        <v>1479</v>
      </c>
      <c r="C745" t="s">
        <v>1464</v>
      </c>
      <c r="D745">
        <v>1</v>
      </c>
      <c r="E745" t="s">
        <v>1161</v>
      </c>
      <c r="F745">
        <f>MAX(MAX(L745:AE745),-MIN(L745:AE745))</f>
        <v>0</v>
      </c>
      <c r="I745" t="s">
        <v>1508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1548</v>
      </c>
      <c r="B747" t="s">
        <v>1479</v>
      </c>
      <c r="C747" t="s">
        <v>1467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1548</v>
      </c>
      <c r="B748" t="s">
        <v>1479</v>
      </c>
      <c r="C748" t="s">
        <v>1467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1548</v>
      </c>
      <c r="B749" t="s">
        <v>1479</v>
      </c>
      <c r="C749" t="s">
        <v>1467</v>
      </c>
      <c r="D749">
        <v>1</v>
      </c>
      <c r="E749" t="s">
        <v>1161</v>
      </c>
      <c r="F749">
        <f>MAX(MAX(L749:AE749),-MIN(L749:AE749))</f>
        <v>0</v>
      </c>
      <c r="I749" t="s">
        <v>1508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1549</v>
      </c>
      <c r="B751" t="s">
        <v>1479</v>
      </c>
      <c r="C751" t="s">
        <v>1470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1549</v>
      </c>
      <c r="B752" t="s">
        <v>1479</v>
      </c>
      <c r="C752" t="s">
        <v>1470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1549</v>
      </c>
      <c r="B753" t="s">
        <v>1479</v>
      </c>
      <c r="C753" t="s">
        <v>1470</v>
      </c>
      <c r="D753">
        <v>1</v>
      </c>
      <c r="E753" t="s">
        <v>1161</v>
      </c>
      <c r="F753">
        <f>MAX(MAX(L753:AE753),-MIN(L753:AE753))</f>
        <v>0</v>
      </c>
      <c r="I753" t="s">
        <v>1508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1550</v>
      </c>
      <c r="B755" t="s">
        <v>1480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1550</v>
      </c>
      <c r="B756" t="s">
        <v>1480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3.8356515442080004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4.3645617483533581</v>
      </c>
      <c r="T756">
        <f>IF(ISBLANK(Mitigation_Industry!T330),"",Mitigation_Industry!T330)</f>
        <v>4.5566024652809061</v>
      </c>
      <c r="U756">
        <f>IF(ISBLANK(Mitigation_Industry!U330),"",Mitigation_Industry!U330)</f>
        <v>4.7570929737532666</v>
      </c>
      <c r="V756">
        <f>IF(ISBLANK(Mitigation_Industry!V330),"",Mitigation_Industry!V330)</f>
        <v>4.9664050645984101</v>
      </c>
      <c r="W756">
        <f>IF(ISBLANK(Mitigation_Industry!W330),"",Mitigation_Industry!W330)</f>
        <v>5.1849268874407404</v>
      </c>
      <c r="X756">
        <f>IF(ISBLANK(Mitigation_Industry!X330),"",Mitigation_Industry!X330)</f>
        <v>5.4130636704881336</v>
      </c>
      <c r="Y756">
        <f>IF(ISBLANK(Mitigation_Industry!Y330),"",Mitigation_Industry!Y330)</f>
        <v>5.651238471989612</v>
      </c>
      <c r="Z756">
        <f>IF(ISBLANK(Mitigation_Industry!Z330),"",Mitigation_Industry!Z330)</f>
        <v>5.8998929647571536</v>
      </c>
      <c r="AA756">
        <f>IF(ISBLANK(Mitigation_Industry!AA330),"",Mitigation_Industry!AA330)</f>
        <v>6.159488255206468</v>
      </c>
      <c r="AB756">
        <f>IF(ISBLANK(Mitigation_Industry!AB330),"",Mitigation_Industry!AB330)</f>
        <v>6.4305057384355537</v>
      </c>
      <c r="AC756">
        <f>IF(ISBLANK(Mitigation_Industry!AC330),"",Mitigation_Industry!AC330)</f>
        <v>6.713447990926718</v>
      </c>
      <c r="AD756">
        <f>IF(ISBLANK(Mitigation_Industry!AD330),"",Mitigation_Industry!AD330)</f>
        <v>7.0088397025274931</v>
      </c>
      <c r="AE756">
        <f>IF(ISBLANK(Mitigation_Industry!AE330),"",Mitigation_Industry!AE330)</f>
        <v>7.3172286494387029</v>
      </c>
    </row>
    <row r="757" spans="1:31" x14ac:dyDescent="0.45">
      <c r="A757" t="s">
        <v>1550</v>
      </c>
      <c r="B757" t="s">
        <v>1480</v>
      </c>
      <c r="C757" t="s">
        <v>1350</v>
      </c>
      <c r="D757">
        <v>1</v>
      </c>
      <c r="E757" t="s">
        <v>1161</v>
      </c>
      <c r="F757">
        <f>MAX(MAX(L757:AE757),-MIN(L757:AE757))</f>
        <v>3.5527136788005009E-15</v>
      </c>
      <c r="I757" t="s">
        <v>1508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-4.4408920985006262E-16</v>
      </c>
      <c r="Q757">
        <f t="shared" si="186"/>
        <v>0</v>
      </c>
      <c r="R757">
        <f t="shared" si="186"/>
        <v>0</v>
      </c>
      <c r="S757">
        <f t="shared" si="186"/>
        <v>-1.7763568394002505E-15</v>
      </c>
      <c r="T757">
        <f t="shared" si="186"/>
        <v>-8.8817841970012523E-16</v>
      </c>
      <c r="U757">
        <f t="shared" si="186"/>
        <v>-8.8817841970012523E-16</v>
      </c>
      <c r="V757">
        <f t="shared" si="186"/>
        <v>-1.7763568394002505E-15</v>
      </c>
      <c r="W757">
        <f t="shared" si="186"/>
        <v>-8.8817841970012523E-16</v>
      </c>
      <c r="X757">
        <f t="shared" si="186"/>
        <v>-8.8817841970012523E-16</v>
      </c>
      <c r="Y757">
        <f t="shared" si="186"/>
        <v>-8.8817841970012523E-16</v>
      </c>
      <c r="Z757">
        <f t="shared" si="186"/>
        <v>-1.7763568394002505E-15</v>
      </c>
      <c r="AA757">
        <f t="shared" si="186"/>
        <v>-2.6645352591003757E-15</v>
      </c>
      <c r="AB757">
        <f t="shared" si="186"/>
        <v>-1.7763568394002505E-15</v>
      </c>
      <c r="AC757">
        <f t="shared" si="186"/>
        <v>-2.6645352591003757E-15</v>
      </c>
      <c r="AD757">
        <f t="shared" si="186"/>
        <v>-3.5527136788005009E-15</v>
      </c>
      <c r="AE757">
        <f t="shared" si="186"/>
        <v>-2.6645352591003757E-15</v>
      </c>
    </row>
    <row r="759" spans="1:31" x14ac:dyDescent="0.45">
      <c r="A759" t="s">
        <v>1551</v>
      </c>
      <c r="B759" t="s">
        <v>1480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1551</v>
      </c>
      <c r="B760" t="s">
        <v>1480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0.76602969146880018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0.91001300310918554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0.99185593255681315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1.0810594877072428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1.2301302225606034</v>
      </c>
      <c r="AC760">
        <f>IF(ISBLANK(Mitigation_Industry!AC331),"",Mitigation_Industry!AC331)</f>
        <v>1.2842559523532699</v>
      </c>
      <c r="AD760">
        <f>IF(ISBLANK(Mitigation_Industry!AD331),"",Mitigation_Industry!AD331)</f>
        <v>1.3407632142568138</v>
      </c>
      <c r="AE760">
        <f>IF(ISBLANK(Mitigation_Industry!AE331),"",Mitigation_Industry!AE331)</f>
        <v>1.3997567956841135</v>
      </c>
    </row>
    <row r="761" spans="1:31" x14ac:dyDescent="0.45">
      <c r="A761" t="s">
        <v>1551</v>
      </c>
      <c r="B761" t="s">
        <v>1480</v>
      </c>
      <c r="C761" t="s">
        <v>1357</v>
      </c>
      <c r="D761">
        <v>1</v>
      </c>
      <c r="E761" t="s">
        <v>1161</v>
      </c>
      <c r="F761">
        <f>MAX(MAX(L761:AE761),-MIN(L761:AE761))</f>
        <v>2.2204460492503131E-16</v>
      </c>
      <c r="I761" t="s">
        <v>1508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1.1102230246251565E-16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1.1102230246251565E-16</v>
      </c>
      <c r="V761">
        <f t="shared" si="187"/>
        <v>0</v>
      </c>
      <c r="W761">
        <f t="shared" si="187"/>
        <v>1.1102230246251565E-16</v>
      </c>
      <c r="X761">
        <f t="shared" si="187"/>
        <v>0</v>
      </c>
      <c r="Y761">
        <f t="shared" si="187"/>
        <v>2.2204460492503131E-16</v>
      </c>
      <c r="Z761">
        <f t="shared" si="187"/>
        <v>0</v>
      </c>
      <c r="AA761">
        <f t="shared" si="187"/>
        <v>0</v>
      </c>
      <c r="AB761">
        <f t="shared" si="187"/>
        <v>2.2204460492503131E-16</v>
      </c>
      <c r="AC761">
        <f t="shared" si="187"/>
        <v>2.2204460492503131E-16</v>
      </c>
      <c r="AD761">
        <f t="shared" si="187"/>
        <v>2.2204460492503131E-16</v>
      </c>
      <c r="AE761">
        <f t="shared" si="187"/>
        <v>0</v>
      </c>
    </row>
    <row r="763" spans="1:31" x14ac:dyDescent="0.45">
      <c r="A763" t="s">
        <v>1552</v>
      </c>
      <c r="B763" t="s">
        <v>1480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1552</v>
      </c>
      <c r="B764" t="s">
        <v>1480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1552</v>
      </c>
      <c r="B765" t="s">
        <v>1480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1508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1553</v>
      </c>
      <c r="B767" t="s">
        <v>1480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1553</v>
      </c>
      <c r="B768" t="s">
        <v>1480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18.093263054517923</v>
      </c>
      <c r="V768">
        <f>IF(ISBLANK(Mitigation_Industry!V333),"",Mitigation_Industry!V333)</f>
        <v>18.690340735317012</v>
      </c>
      <c r="W768">
        <f>IF(ISBLANK(Mitigation_Industry!W333),"",Mitigation_Industry!W333)</f>
        <v>19.307121979582472</v>
      </c>
      <c r="X768">
        <f>IF(ISBLANK(Mitigation_Industry!X333),"",Mitigation_Industry!X333)</f>
        <v>19.944257004908685</v>
      </c>
      <c r="Y768">
        <f>IF(ISBLANK(Mitigation_Industry!Y333),"",Mitigation_Industry!Y333)</f>
        <v>20.602417486070678</v>
      </c>
      <c r="Z768">
        <f>IF(ISBLANK(Mitigation_Industry!Z333),"",Mitigation_Industry!Z333)</f>
        <v>21.282297263111005</v>
      </c>
      <c r="AA768">
        <f>IF(ISBLANK(Mitigation_Industry!AA333),"",Mitigation_Industry!AA333)</f>
        <v>21.984613072793667</v>
      </c>
      <c r="AB768">
        <f>IF(ISBLANK(Mitigation_Industry!AB333),"",Mitigation_Industry!AB333)</f>
        <v>22.710105304195856</v>
      </c>
      <c r="AC768">
        <f>IF(ISBLANK(Mitigation_Industry!AC333),"",Mitigation_Industry!AC333)</f>
        <v>23.459538779234315</v>
      </c>
      <c r="AD768">
        <f>IF(ISBLANK(Mitigation_Industry!AD333),"",Mitigation_Industry!AD333)</f>
        <v>24.233703558949045</v>
      </c>
      <c r="AE768">
        <f>IF(ISBLANK(Mitigation_Industry!AE333),"",Mitigation_Industry!AE333)</f>
        <v>25.03341577639436</v>
      </c>
    </row>
    <row r="769" spans="1:31" x14ac:dyDescent="0.45">
      <c r="A769" t="s">
        <v>1553</v>
      </c>
      <c r="B769" t="s">
        <v>1480</v>
      </c>
      <c r="C769" t="s">
        <v>1369</v>
      </c>
      <c r="D769">
        <v>1</v>
      </c>
      <c r="E769" t="s">
        <v>1161</v>
      </c>
      <c r="F769">
        <f>MAX(MAX(L769:AE769),-MIN(L769:AE769))</f>
        <v>1.0658141036401503E-14</v>
      </c>
      <c r="I769" t="s">
        <v>1508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0</v>
      </c>
      <c r="V769">
        <f t="shared" si="189"/>
        <v>0</v>
      </c>
      <c r="W769">
        <f t="shared" si="189"/>
        <v>0</v>
      </c>
      <c r="X769">
        <f t="shared" si="189"/>
        <v>-7.1054273576010019E-15</v>
      </c>
      <c r="Y769">
        <f t="shared" si="189"/>
        <v>0</v>
      </c>
      <c r="Z769">
        <f t="shared" si="189"/>
        <v>-3.5527136788005009E-15</v>
      </c>
      <c r="AA769">
        <f t="shared" si="189"/>
        <v>-3.5527136788005009E-15</v>
      </c>
      <c r="AB769">
        <f t="shared" si="189"/>
        <v>-7.1054273576010019E-15</v>
      </c>
      <c r="AC769">
        <f t="shared" si="189"/>
        <v>-7.1054273576010019E-15</v>
      </c>
      <c r="AD769">
        <f t="shared" si="189"/>
        <v>-1.0658141036401503E-14</v>
      </c>
      <c r="AE769">
        <f t="shared" si="189"/>
        <v>-1.0658141036401503E-14</v>
      </c>
    </row>
    <row r="771" spans="1:31" x14ac:dyDescent="0.45">
      <c r="A771" t="s">
        <v>1554</v>
      </c>
      <c r="B771" t="s">
        <v>1480</v>
      </c>
      <c r="C771" t="s">
        <v>1441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1554</v>
      </c>
      <c r="B772" t="s">
        <v>1480</v>
      </c>
      <c r="C772" t="s">
        <v>1441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3.5275055764326839</v>
      </c>
      <c r="R772">
        <f>IF(ISBLANK(Mitigation_Industry!R334),"",Mitigation_Industry!R334)</f>
        <v>3.6051106991142032</v>
      </c>
      <c r="S772">
        <f>IF(ISBLANK(Mitigation_Industry!S334),"",Mitigation_Industry!S334)</f>
        <v>3.6844231344947156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4.4815429480806639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1554</v>
      </c>
      <c r="B773" t="s">
        <v>1480</v>
      </c>
      <c r="C773" t="s">
        <v>1441</v>
      </c>
      <c r="D773">
        <v>1</v>
      </c>
      <c r="E773" t="s">
        <v>1161</v>
      </c>
      <c r="F773">
        <f>MAX(MAX(L773:AE773),-MIN(L773:AE773))</f>
        <v>1.7763568394002505E-15</v>
      </c>
      <c r="I773" t="s">
        <v>1508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0</v>
      </c>
      <c r="R773">
        <f t="shared" si="190"/>
        <v>0</v>
      </c>
      <c r="S773">
        <f t="shared" si="190"/>
        <v>0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-1.7763568394002505E-15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1555</v>
      </c>
      <c r="B775" t="s">
        <v>1480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1555</v>
      </c>
      <c r="B776" t="s">
        <v>1480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1555</v>
      </c>
      <c r="B777" t="s">
        <v>1480</v>
      </c>
      <c r="C777" t="s">
        <v>1383</v>
      </c>
      <c r="D777">
        <v>1</v>
      </c>
      <c r="E777" t="s">
        <v>1161</v>
      </c>
      <c r="F777">
        <f>MAX(MAX(L777:AE777),-MIN(L777:AE777))</f>
        <v>2.2204460492503131E-16</v>
      </c>
      <c r="I777" t="s">
        <v>1508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1556</v>
      </c>
      <c r="B779" t="s">
        <v>1480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1556</v>
      </c>
      <c r="B780" t="s">
        <v>1480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1556</v>
      </c>
      <c r="B781" t="s">
        <v>1480</v>
      </c>
      <c r="C781" t="s">
        <v>1390</v>
      </c>
      <c r="D781">
        <v>1</v>
      </c>
      <c r="E781" t="s">
        <v>1161</v>
      </c>
      <c r="F781">
        <f>MAX(MAX(L781:AE781),-MIN(L781:AE781))</f>
        <v>2.7755575615628914E-17</v>
      </c>
      <c r="I781" t="s">
        <v>1508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1557</v>
      </c>
      <c r="B783" t="s">
        <v>1480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1557</v>
      </c>
      <c r="B784" t="s">
        <v>1480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5.4954496349999986E-2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6.1165728299958734E-2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6.8078984741061555E-2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9.3870218401865227E-2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0.10447989983673604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1557</v>
      </c>
      <c r="B785" t="s">
        <v>1480</v>
      </c>
      <c r="C785" t="s">
        <v>1397</v>
      </c>
      <c r="D785">
        <v>1</v>
      </c>
      <c r="E785" t="s">
        <v>1161</v>
      </c>
      <c r="F785">
        <f>MAX(MAX(L785:AE785),-MIN(L785:AE785))</f>
        <v>1.3877787807814457E-17</v>
      </c>
      <c r="I785" t="s">
        <v>1508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-6.9388939039072284E-18</v>
      </c>
      <c r="R785">
        <f t="shared" si="193"/>
        <v>0</v>
      </c>
      <c r="S785">
        <f t="shared" si="193"/>
        <v>-6.9388939039072284E-18</v>
      </c>
      <c r="T785">
        <f t="shared" si="193"/>
        <v>0</v>
      </c>
      <c r="U785">
        <f t="shared" si="193"/>
        <v>-1.3877787807814457E-17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-1.3877787807814457E-17</v>
      </c>
      <c r="AB785">
        <f t="shared" si="193"/>
        <v>0</v>
      </c>
      <c r="AC785">
        <f t="shared" si="193"/>
        <v>-1.3877787807814457E-17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1558</v>
      </c>
      <c r="B787" t="s">
        <v>1480</v>
      </c>
      <c r="C787" t="s">
        <v>1485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1558</v>
      </c>
      <c r="B788" t="s">
        <v>1480</v>
      </c>
      <c r="C788" t="s">
        <v>1485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26.326124888867824</v>
      </c>
      <c r="T788">
        <f>IF(ISBLANK(Mitigation_Industry!T338),"",Mitigation_Industry!T338)</f>
        <v>27.208219705139577</v>
      </c>
      <c r="U788">
        <f>IF(ISBLANK(Mitigation_Industry!U338),"",Mitigation_Industry!U338)</f>
        <v>28.12101965134655</v>
      </c>
      <c r="V788">
        <f>IF(ISBLANK(Mitigation_Industry!V338),"",Mitigation_Industry!V338)</f>
        <v>29.065630915263302</v>
      </c>
      <c r="W788">
        <f>IF(ISBLANK(Mitigation_Industry!W338),"",Mitigation_Industry!W338)</f>
        <v>30.043200803417911</v>
      </c>
      <c r="X788">
        <f>IF(ISBLANK(Mitigation_Industry!X338),"",Mitigation_Industry!X338)</f>
        <v>31.054919314104172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33.185785528135774</v>
      </c>
      <c r="AA788">
        <f>IF(ISBLANK(Mitigation_Industry!AA338),"",Mitigation_Industry!AA338)</f>
        <v>34.307541724028297</v>
      </c>
      <c r="AB788">
        <f>IF(ISBLANK(Mitigation_Industry!AB338),"",Mitigation_Industry!AB338)</f>
        <v>35.468667128962906</v>
      </c>
      <c r="AC788">
        <f>IF(ISBLANK(Mitigation_Industry!AC338),"",Mitigation_Industry!AC338)</f>
        <v>36.670591046941816</v>
      </c>
      <c r="AD788">
        <f>IF(ISBLANK(Mitigation_Industry!AD338),"",Mitigation_Industry!AD338)</f>
        <v>37.914796299992894</v>
      </c>
      <c r="AE788">
        <f>IF(ISBLANK(Mitigation_Industry!AE338),"",Mitigation_Industry!AE338)</f>
        <v>39.202821289623245</v>
      </c>
    </row>
    <row r="789" spans="1:31" x14ac:dyDescent="0.45">
      <c r="A789" t="s">
        <v>1558</v>
      </c>
      <c r="B789" t="s">
        <v>1480</v>
      </c>
      <c r="C789" t="s">
        <v>1485</v>
      </c>
      <c r="D789">
        <v>1</v>
      </c>
      <c r="E789" t="s">
        <v>1161</v>
      </c>
      <c r="F789">
        <f>MAX(MAX(L789:AE789),-MIN(L789:AE789))</f>
        <v>2.1316282072803006E-14</v>
      </c>
      <c r="I789" t="s">
        <v>1508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0</v>
      </c>
      <c r="T789">
        <f t="shared" si="194"/>
        <v>3.5527136788005009E-15</v>
      </c>
      <c r="U789">
        <f t="shared" si="194"/>
        <v>0</v>
      </c>
      <c r="V789">
        <f t="shared" si="194"/>
        <v>-3.5527136788005009E-15</v>
      </c>
      <c r="W789">
        <f t="shared" si="194"/>
        <v>-7.1054273576010019E-15</v>
      </c>
      <c r="X789">
        <f t="shared" si="194"/>
        <v>-7.1054273576010019E-15</v>
      </c>
      <c r="Y789">
        <f t="shared" si="194"/>
        <v>0</v>
      </c>
      <c r="Z789">
        <f t="shared" si="194"/>
        <v>0</v>
      </c>
      <c r="AA789">
        <f t="shared" si="194"/>
        <v>-7.1054273576010019E-15</v>
      </c>
      <c r="AB789">
        <f t="shared" si="194"/>
        <v>-2.1316282072803006E-14</v>
      </c>
      <c r="AC789">
        <f t="shared" si="194"/>
        <v>-7.1054273576010019E-15</v>
      </c>
      <c r="AD789">
        <f t="shared" si="194"/>
        <v>-1.4210854715202004E-14</v>
      </c>
      <c r="AE789">
        <f t="shared" si="194"/>
        <v>-1.4210854715202004E-14</v>
      </c>
    </row>
    <row r="791" spans="1:31" x14ac:dyDescent="0.45">
      <c r="A791" t="s">
        <v>1559</v>
      </c>
      <c r="B791" t="s">
        <v>1486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1559</v>
      </c>
      <c r="B792" t="s">
        <v>1486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0.22234694400000002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0.24234393875558402</v>
      </c>
      <c r="S792">
        <f>IF(ISBLANK(Mitigation_Industry!S341),"",Mitigation_Industry!S341)</f>
        <v>0.25300707206082967</v>
      </c>
      <c r="T792">
        <f>IF(ISBLANK(Mitigation_Industry!T341),"",Mitigation_Industry!T341)</f>
        <v>0.26413938323150626</v>
      </c>
      <c r="U792">
        <f>IF(ISBLANK(Mitigation_Industry!U341),"",Mitigation_Industry!U341)</f>
        <v>0.27576151609369254</v>
      </c>
      <c r="V792">
        <f>IF(ISBLANK(Mitigation_Industry!V341),"",Mitigation_Industry!V341)</f>
        <v>0.287895022801815</v>
      </c>
      <c r="W792">
        <f>IF(ISBLANK(Mitigation_Industry!W341),"",Mitigation_Industry!W341)</f>
        <v>0.30056240380509491</v>
      </c>
      <c r="X792">
        <f>IF(ISBLANK(Mitigation_Industry!X341),"",Mitigation_Industry!X341)</f>
        <v>0.31378714957251908</v>
      </c>
      <c r="Y792">
        <f>IF(ISBLANK(Mitigation_Industry!Y341),"",Mitigation_Industry!Y341)</f>
        <v>0.32759378415370993</v>
      </c>
      <c r="Z792">
        <f>IF(ISBLANK(Mitigation_Industry!Z341),"",Mitigation_Industry!Z341)</f>
        <v>0.34200791065647307</v>
      </c>
      <c r="AA792">
        <f>IF(ISBLANK(Mitigation_Industry!AA341),"",Mitigation_Industry!AA341)</f>
        <v>0.3570562587253579</v>
      </c>
      <c r="AB792">
        <f>IF(ISBLANK(Mitigation_Industry!AB341),"",Mitigation_Industry!AB341)</f>
        <v>0.37276673410927375</v>
      </c>
      <c r="AC792">
        <f>IF(ISBLANK(Mitigation_Industry!AC341),"",Mitigation_Industry!AC341)</f>
        <v>0.38916847041008179</v>
      </c>
      <c r="AD792">
        <f>IF(ISBLANK(Mitigation_Industry!AD341),"",Mitigation_Industry!AD341)</f>
        <v>0.40629188310812531</v>
      </c>
      <c r="AE792">
        <f>IF(ISBLANK(Mitigation_Industry!AE341),"",Mitigation_Industry!AE341)</f>
        <v>0.42416872596488286</v>
      </c>
    </row>
    <row r="793" spans="1:31" x14ac:dyDescent="0.45">
      <c r="A793" t="s">
        <v>1559</v>
      </c>
      <c r="B793" t="s">
        <v>1486</v>
      </c>
      <c r="C793" t="s">
        <v>1350</v>
      </c>
      <c r="D793">
        <v>1</v>
      </c>
      <c r="E793" t="s">
        <v>1161</v>
      </c>
      <c r="F793">
        <f>MAX(MAX(L793:AE793),-MIN(L793:AE793))</f>
        <v>1.6653345369377348E-16</v>
      </c>
      <c r="I793" t="s">
        <v>1508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-2.7755575615628914E-17</v>
      </c>
      <c r="Q793">
        <f t="shared" si="195"/>
        <v>0</v>
      </c>
      <c r="R793">
        <f t="shared" si="195"/>
        <v>-5.5511151231257827E-17</v>
      </c>
      <c r="S793">
        <f t="shared" si="195"/>
        <v>-1.1102230246251565E-16</v>
      </c>
      <c r="T793">
        <f t="shared" si="195"/>
        <v>-5.5511151231257827E-17</v>
      </c>
      <c r="U793">
        <f t="shared" si="195"/>
        <v>-5.5511151231257827E-17</v>
      </c>
      <c r="V793">
        <f t="shared" si="195"/>
        <v>-5.5511151231257827E-17</v>
      </c>
      <c r="W793">
        <f t="shared" si="195"/>
        <v>-5.5511151231257827E-17</v>
      </c>
      <c r="X793">
        <f t="shared" si="195"/>
        <v>-5.5511151231257827E-17</v>
      </c>
      <c r="Y793">
        <f t="shared" si="195"/>
        <v>-5.5511151231257827E-17</v>
      </c>
      <c r="Z793">
        <f t="shared" si="195"/>
        <v>-1.6653345369377348E-16</v>
      </c>
      <c r="AA793">
        <f t="shared" si="195"/>
        <v>-1.6653345369377348E-16</v>
      </c>
      <c r="AB793">
        <f t="shared" si="195"/>
        <v>-1.1102230246251565E-16</v>
      </c>
      <c r="AC793">
        <f t="shared" si="195"/>
        <v>-5.5511151231257827E-17</v>
      </c>
      <c r="AD793">
        <f t="shared" si="195"/>
        <v>-1.6653345369377348E-16</v>
      </c>
      <c r="AE793">
        <f t="shared" si="195"/>
        <v>-1.1102230246251565E-16</v>
      </c>
    </row>
    <row r="795" spans="1:31" x14ac:dyDescent="0.45">
      <c r="A795" t="s">
        <v>1560</v>
      </c>
      <c r="B795" t="s">
        <v>1486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1560</v>
      </c>
      <c r="B796" t="s">
        <v>1486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8.1928309248E-2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9.732759391542091E-2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0.1060808484017982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0.11562133558366232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0.13156472968562602</v>
      </c>
      <c r="AC796">
        <f>IF(ISBLANK(Mitigation_Industry!AC342),"",Mitigation_Industry!AC342)</f>
        <v>0.13735357779179355</v>
      </c>
      <c r="AD796">
        <f>IF(ISBLANK(Mitigation_Industry!AD342),"",Mitigation_Industry!AD342)</f>
        <v>0.14339713521463246</v>
      </c>
      <c r="AE796">
        <f>IF(ISBLANK(Mitigation_Industry!AE342),"",Mitigation_Industry!AE342)</f>
        <v>0.1497066091640763</v>
      </c>
    </row>
    <row r="797" spans="1:31" x14ac:dyDescent="0.45">
      <c r="A797" t="s">
        <v>1560</v>
      </c>
      <c r="B797" t="s">
        <v>1486</v>
      </c>
      <c r="C797" t="s">
        <v>1357</v>
      </c>
      <c r="D797">
        <v>1</v>
      </c>
      <c r="E797" t="s">
        <v>1161</v>
      </c>
      <c r="F797">
        <f>MAX(MAX(L797:AE797),-MIN(L797:AE797))</f>
        <v>2.7755575615628914E-17</v>
      </c>
      <c r="I797" t="s">
        <v>1508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1.3877787807814457E-17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1.3877787807814457E-17</v>
      </c>
      <c r="V797">
        <f t="shared" si="196"/>
        <v>0</v>
      </c>
      <c r="W797">
        <f t="shared" si="196"/>
        <v>1.3877787807814457E-17</v>
      </c>
      <c r="X797">
        <f t="shared" si="196"/>
        <v>0</v>
      </c>
      <c r="Y797">
        <f t="shared" si="196"/>
        <v>1.3877787807814457E-17</v>
      </c>
      <c r="Z797">
        <f t="shared" si="196"/>
        <v>0</v>
      </c>
      <c r="AA797">
        <f t="shared" si="196"/>
        <v>0</v>
      </c>
      <c r="AB797">
        <f t="shared" si="196"/>
        <v>2.7755575615628914E-17</v>
      </c>
      <c r="AC797">
        <f t="shared" si="196"/>
        <v>2.7755575615628914E-17</v>
      </c>
      <c r="AD797">
        <f t="shared" si="196"/>
        <v>2.7755575615628914E-17</v>
      </c>
      <c r="AE797">
        <f t="shared" si="196"/>
        <v>0</v>
      </c>
    </row>
    <row r="799" spans="1:31" x14ac:dyDescent="0.45">
      <c r="A799" t="s">
        <v>1561</v>
      </c>
      <c r="B799" t="s">
        <v>1486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1561</v>
      </c>
      <c r="B800" t="s">
        <v>1486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1561</v>
      </c>
      <c r="B801" t="s">
        <v>1486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1508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1562</v>
      </c>
      <c r="B803" t="s">
        <v>1486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1562</v>
      </c>
      <c r="B804" t="s">
        <v>1486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31.956387417365107</v>
      </c>
      <c r="U804">
        <f>IF(ISBLANK(Mitigation_Industry!U344),"",Mitigation_Industry!U344)</f>
        <v>33.010948202138145</v>
      </c>
      <c r="V804">
        <f>IF(ISBLANK(Mitigation_Industry!V344),"",Mitigation_Industry!V344)</f>
        <v>34.100309492808698</v>
      </c>
      <c r="W804">
        <f>IF(ISBLANK(Mitigation_Industry!W344),"",Mitigation_Industry!W344)</f>
        <v>35.225619706071392</v>
      </c>
      <c r="X804">
        <f>IF(ISBLANK(Mitigation_Industry!X344),"",Mitigation_Industry!X344)</f>
        <v>36.388065156371731</v>
      </c>
      <c r="Y804">
        <f>IF(ISBLANK(Mitigation_Industry!Y344),"",Mitigation_Industry!Y344)</f>
        <v>37.588871306532006</v>
      </c>
      <c r="Z804">
        <f>IF(ISBLANK(Mitigation_Industry!Z344),"",Mitigation_Industry!Z344)</f>
        <v>38.829304059647555</v>
      </c>
      <c r="AA804">
        <f>IF(ISBLANK(Mitigation_Industry!AA344),"",Mitigation_Industry!AA344)</f>
        <v>40.11067109361592</v>
      </c>
      <c r="AB804">
        <f>IF(ISBLANK(Mitigation_Industry!AB344),"",Mitigation_Industry!AB344)</f>
        <v>41.434323239705236</v>
      </c>
      <c r="AC804">
        <f>IF(ISBLANK(Mitigation_Industry!AC344),"",Mitigation_Industry!AC344)</f>
        <v>42.801655906615501</v>
      </c>
      <c r="AD804">
        <f>IF(ISBLANK(Mitigation_Industry!AD344),"",Mitigation_Industry!AD344)</f>
        <v>44.214110551533814</v>
      </c>
      <c r="AE804">
        <f>IF(ISBLANK(Mitigation_Industry!AE344),"",Mitigation_Industry!AE344)</f>
        <v>45.673176199734421</v>
      </c>
    </row>
    <row r="805" spans="1:31" x14ac:dyDescent="0.45">
      <c r="A805" t="s">
        <v>1562</v>
      </c>
      <c r="B805" t="s">
        <v>1486</v>
      </c>
      <c r="C805" t="s">
        <v>1369</v>
      </c>
      <c r="D805">
        <v>1</v>
      </c>
      <c r="E805" t="s">
        <v>1161</v>
      </c>
      <c r="F805">
        <f>MAX(MAX(L805:AE805),-MIN(L805:AE805))</f>
        <v>2.8421709430404007E-14</v>
      </c>
      <c r="I805" t="s">
        <v>1508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-3.5527136788005009E-15</v>
      </c>
      <c r="U805">
        <f t="shared" si="198"/>
        <v>-7.1054273576010019E-15</v>
      </c>
      <c r="V805">
        <f t="shared" si="198"/>
        <v>-7.1054273576010019E-15</v>
      </c>
      <c r="W805">
        <f t="shared" si="198"/>
        <v>-7.1054273576010019E-15</v>
      </c>
      <c r="X805">
        <f t="shared" si="198"/>
        <v>-1.4210854715202004E-14</v>
      </c>
      <c r="Y805">
        <f t="shared" si="198"/>
        <v>-7.1054273576010019E-15</v>
      </c>
      <c r="Z805">
        <f t="shared" si="198"/>
        <v>-1.4210854715202004E-14</v>
      </c>
      <c r="AA805">
        <f t="shared" si="198"/>
        <v>-1.4210854715202004E-14</v>
      </c>
      <c r="AB805">
        <f t="shared" si="198"/>
        <v>-2.1316282072803006E-14</v>
      </c>
      <c r="AC805">
        <f t="shared" si="198"/>
        <v>-2.1316282072803006E-14</v>
      </c>
      <c r="AD805">
        <f t="shared" si="198"/>
        <v>-2.1316282072803006E-14</v>
      </c>
      <c r="AE805">
        <f t="shared" si="198"/>
        <v>-2.8421709430404007E-14</v>
      </c>
    </row>
    <row r="807" spans="1:31" x14ac:dyDescent="0.45">
      <c r="A807" t="s">
        <v>1563</v>
      </c>
      <c r="B807" t="s">
        <v>1486</v>
      </c>
      <c r="C807" t="s">
        <v>1441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1563</v>
      </c>
      <c r="B808" t="s">
        <v>1486</v>
      </c>
      <c r="C808" t="s">
        <v>1441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1563</v>
      </c>
      <c r="B809" t="s">
        <v>1486</v>
      </c>
      <c r="C809" t="s">
        <v>1441</v>
      </c>
      <c r="D809">
        <v>1</v>
      </c>
      <c r="E809" t="s">
        <v>1161</v>
      </c>
      <c r="F809">
        <f>MAX(MAX(L809:AE809),-MIN(L809:AE809))</f>
        <v>0</v>
      </c>
      <c r="I809" t="s">
        <v>1508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1564</v>
      </c>
      <c r="B811" t="s">
        <v>1486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1564</v>
      </c>
      <c r="B812" t="s">
        <v>1486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1564</v>
      </c>
      <c r="B813" t="s">
        <v>1486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1508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1565</v>
      </c>
      <c r="B815" t="s">
        <v>1486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1565</v>
      </c>
      <c r="B816" t="s">
        <v>1486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0.60788968799999998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0.66317532583734995</v>
      </c>
      <c r="U816">
        <f>IF(ISBLANK(Mitigation_Industry!U347),"",Mitigation_Industry!U347)</f>
        <v>0.67776518300577171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0.70791488940660041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0.78928804689836307</v>
      </c>
      <c r="AC816">
        <f>IF(ISBLANK(Mitigation_Industry!AC347),"",Mitigation_Industry!AC347)</f>
        <v>0.80665238393012706</v>
      </c>
      <c r="AD816">
        <f>IF(ISBLANK(Mitigation_Industry!AD347),"",Mitigation_Industry!AD347)</f>
        <v>0.82439873637658989</v>
      </c>
      <c r="AE816">
        <f>IF(ISBLANK(Mitigation_Industry!AE347),"",Mitigation_Industry!AE347)</f>
        <v>0.84253550857687487</v>
      </c>
    </row>
    <row r="817" spans="1:31" x14ac:dyDescent="0.45">
      <c r="A817" t="s">
        <v>1565</v>
      </c>
      <c r="B817" t="s">
        <v>1486</v>
      </c>
      <c r="C817" t="s">
        <v>1390</v>
      </c>
      <c r="D817">
        <v>1</v>
      </c>
      <c r="E817" t="s">
        <v>1161</v>
      </c>
      <c r="F817">
        <f>MAX(MAX(L817:AE817),-MIN(L817:AE817))</f>
        <v>1.1102230246251565E-16</v>
      </c>
      <c r="I817" t="s">
        <v>1508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-1.1102230246251565E-16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-1.1102230246251565E-16</v>
      </c>
      <c r="U817">
        <f t="shared" si="201"/>
        <v>-1.1102230246251565E-16</v>
      </c>
      <c r="V817">
        <f t="shared" si="201"/>
        <v>0</v>
      </c>
      <c r="W817">
        <f t="shared" si="201"/>
        <v>-1.1102230246251565E-16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-1.1102230246251565E-16</v>
      </c>
      <c r="AC817">
        <f t="shared" si="201"/>
        <v>-1.1102230246251565E-16</v>
      </c>
      <c r="AD817">
        <f t="shared" si="201"/>
        <v>-1.1102230246251565E-16</v>
      </c>
      <c r="AE817">
        <f t="shared" si="201"/>
        <v>-1.1102230246251565E-16</v>
      </c>
    </row>
    <row r="819" spans="1:31" x14ac:dyDescent="0.45">
      <c r="A819" t="s">
        <v>1566</v>
      </c>
      <c r="B819" t="s">
        <v>1486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1566</v>
      </c>
      <c r="B820" t="s">
        <v>1486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0.82784016937499982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0.92140680451860923</v>
      </c>
      <c r="T820">
        <f>IF(ISBLANK(Mitigation_Industry!T348),"",Mitigation_Industry!T348)</f>
        <v>0.97208417876713271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1.4140705977204056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1.5738959270277544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1566</v>
      </c>
      <c r="B821" t="s">
        <v>1486</v>
      </c>
      <c r="C821" t="s">
        <v>1397</v>
      </c>
      <c r="D821">
        <v>1</v>
      </c>
      <c r="E821" t="s">
        <v>1161</v>
      </c>
      <c r="F821">
        <f>MAX(MAX(L821:AE821),-MIN(L821:AE821))</f>
        <v>6.6613381477509392E-16</v>
      </c>
      <c r="I821" t="s">
        <v>1508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-1.1102230246251565E-16</v>
      </c>
      <c r="R821">
        <f t="shared" si="202"/>
        <v>0</v>
      </c>
      <c r="S821">
        <f t="shared" si="202"/>
        <v>-1.1102230246251565E-16</v>
      </c>
      <c r="T821">
        <f t="shared" si="202"/>
        <v>-1.1102230246251565E-16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-6.6613381477509392E-16</v>
      </c>
      <c r="AB821">
        <f t="shared" si="202"/>
        <v>0</v>
      </c>
      <c r="AC821">
        <f t="shared" si="202"/>
        <v>-2.2204460492503131E-16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1567</v>
      </c>
      <c r="B823" t="s">
        <v>1486</v>
      </c>
      <c r="C823" t="s">
        <v>1485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1567</v>
      </c>
      <c r="B824" t="s">
        <v>1486</v>
      </c>
      <c r="C824" t="s">
        <v>1485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35.087351303752357</v>
      </c>
      <c r="V824">
        <f>IF(ISBLANK(Mitigation_Industry!V349),"",Mitigation_Industry!V349)</f>
        <v>36.264444533762401</v>
      </c>
      <c r="W824">
        <f>IF(ISBLANK(Mitigation_Industry!W349),"",Mitigation_Industry!W349)</f>
        <v>37.481639310376146</v>
      </c>
      <c r="X824">
        <f>IF(ISBLANK(Mitigation_Industry!X349),"",Mitigation_Industry!X349)</f>
        <v>38.740331571788559</v>
      </c>
      <c r="Y824">
        <f>IF(ISBLANK(Mitigation_Industry!Y349),"",Mitigation_Industry!Y349)</f>
        <v>40.041967346128288</v>
      </c>
      <c r="Z824">
        <f>IF(ISBLANK(Mitigation_Industry!Z349),"",Mitigation_Industry!Z349)</f>
        <v>41.388044624518066</v>
      </c>
      <c r="AA824">
        <f>IF(ISBLANK(Mitigation_Industry!AA349),"",Mitigation_Industry!AA349)</f>
        <v>42.780115307939894</v>
      </c>
      <c r="AB824">
        <f>IF(ISBLANK(Mitigation_Industry!AB349),"",Mitigation_Industry!AB349)</f>
        <v>44.219787230993525</v>
      </c>
      <c r="AC824">
        <f>IF(ISBLANK(Mitigation_Industry!AC349),"",Mitigation_Industry!AC349)</f>
        <v>45.708726265775262</v>
      </c>
      <c r="AD824">
        <f>IF(ISBLANK(Mitigation_Industry!AD349),"",Mitigation_Industry!AD349)</f>
        <v>47.248658509247441</v>
      </c>
      <c r="AE824">
        <f>IF(ISBLANK(Mitigation_Industry!AE349),"",Mitigation_Industry!AE349)</f>
        <v>48.841372557620318</v>
      </c>
    </row>
    <row r="825" spans="1:31" x14ac:dyDescent="0.45">
      <c r="A825" t="s">
        <v>1567</v>
      </c>
      <c r="B825" t="s">
        <v>1486</v>
      </c>
      <c r="C825" t="s">
        <v>1485</v>
      </c>
      <c r="D825">
        <v>1</v>
      </c>
      <c r="E825" t="s">
        <v>1161</v>
      </c>
      <c r="F825">
        <f>MAX(MAX(L825:AE825),-MIN(L825:AE825))</f>
        <v>2.8421709430404007E-14</v>
      </c>
      <c r="I825" t="s">
        <v>1508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-7.1054273576010019E-15</v>
      </c>
      <c r="V825">
        <f t="shared" si="203"/>
        <v>-7.1054273576010019E-15</v>
      </c>
      <c r="W825">
        <f t="shared" si="203"/>
        <v>-7.1054273576010019E-15</v>
      </c>
      <c r="X825">
        <f t="shared" si="203"/>
        <v>-1.4210854715202004E-14</v>
      </c>
      <c r="Y825">
        <f t="shared" si="203"/>
        <v>-7.1054273576010019E-15</v>
      </c>
      <c r="Z825">
        <f t="shared" si="203"/>
        <v>-1.4210854715202004E-14</v>
      </c>
      <c r="AA825">
        <f t="shared" si="203"/>
        <v>-1.4210854715202004E-14</v>
      </c>
      <c r="AB825">
        <f t="shared" si="203"/>
        <v>-2.1316282072803006E-14</v>
      </c>
      <c r="AC825">
        <f t="shared" si="203"/>
        <v>-2.1316282072803006E-14</v>
      </c>
      <c r="AD825">
        <f t="shared" si="203"/>
        <v>-2.1316282072803006E-14</v>
      </c>
      <c r="AE825">
        <f t="shared" si="203"/>
        <v>-2.8421709430404007E-14</v>
      </c>
    </row>
    <row r="827" spans="1:31" x14ac:dyDescent="0.45">
      <c r="A827" t="s">
        <v>1568</v>
      </c>
      <c r="B827" t="s">
        <v>1487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1568</v>
      </c>
      <c r="B828" t="s">
        <v>1487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1568</v>
      </c>
      <c r="B829" t="s">
        <v>1487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1508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1569</v>
      </c>
      <c r="B831" t="s">
        <v>1487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1569</v>
      </c>
      <c r="B832" t="s">
        <v>1487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1569</v>
      </c>
      <c r="B833" t="s">
        <v>1487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1508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1570</v>
      </c>
      <c r="B835" t="s">
        <v>1487</v>
      </c>
      <c r="C835" t="s">
        <v>1407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1570</v>
      </c>
      <c r="B836" t="s">
        <v>1487</v>
      </c>
      <c r="C836" t="s">
        <v>1407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1570</v>
      </c>
      <c r="B837" t="s">
        <v>1487</v>
      </c>
      <c r="C837" t="s">
        <v>1407</v>
      </c>
      <c r="D837">
        <v>1</v>
      </c>
      <c r="E837" t="s">
        <v>1161</v>
      </c>
      <c r="F837">
        <f>MAX(MAX(L837:AE837),-MIN(L837:AE837))</f>
        <v>0</v>
      </c>
      <c r="I837" t="s">
        <v>1508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1571</v>
      </c>
      <c r="B839" t="s">
        <v>1487</v>
      </c>
      <c r="C839" t="s">
        <v>1408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1571</v>
      </c>
      <c r="B840" t="s">
        <v>1487</v>
      </c>
      <c r="C840" t="s">
        <v>1408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1571</v>
      </c>
      <c r="B841" t="s">
        <v>1487</v>
      </c>
      <c r="C841" t="s">
        <v>1408</v>
      </c>
      <c r="D841">
        <v>1</v>
      </c>
      <c r="E841" t="s">
        <v>1161</v>
      </c>
      <c r="F841">
        <f>MAX(MAX(L841:AE841),-MIN(L841:AE841))</f>
        <v>0</v>
      </c>
      <c r="I841" t="s">
        <v>1508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1572</v>
      </c>
      <c r="B843" t="s">
        <v>1487</v>
      </c>
      <c r="C843" t="s">
        <v>1409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1572</v>
      </c>
      <c r="B844" t="s">
        <v>1487</v>
      </c>
      <c r="C844" t="s">
        <v>1409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1572</v>
      </c>
      <c r="B845" t="s">
        <v>1487</v>
      </c>
      <c r="C845" t="s">
        <v>1409</v>
      </c>
      <c r="D845">
        <v>1</v>
      </c>
      <c r="E845" t="s">
        <v>1161</v>
      </c>
      <c r="F845">
        <f>MAX(MAX(L845:AE845),-MIN(L845:AE845))</f>
        <v>0</v>
      </c>
      <c r="I845" t="s">
        <v>1508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1573</v>
      </c>
      <c r="B847" t="s">
        <v>1487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1573</v>
      </c>
      <c r="B848" t="s">
        <v>1487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1573</v>
      </c>
      <c r="B849" t="s">
        <v>1487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1508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1574</v>
      </c>
      <c r="B851" t="s">
        <v>1487</v>
      </c>
      <c r="C851" t="s">
        <v>1410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1574</v>
      </c>
      <c r="B852" t="s">
        <v>1487</v>
      </c>
      <c r="C852" t="s">
        <v>1410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1574</v>
      </c>
      <c r="B853" t="s">
        <v>1487</v>
      </c>
      <c r="C853" t="s">
        <v>1410</v>
      </c>
      <c r="D853">
        <v>1</v>
      </c>
      <c r="E853" t="s">
        <v>1161</v>
      </c>
      <c r="F853">
        <f>MAX(MAX(L853:AE853),-MIN(L853:AE853))</f>
        <v>0</v>
      </c>
      <c r="I853" t="s">
        <v>1508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1575</v>
      </c>
      <c r="B855" t="s">
        <v>1487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1575</v>
      </c>
      <c r="B856" t="s">
        <v>1487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1575</v>
      </c>
      <c r="B857" t="s">
        <v>1487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1508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1576</v>
      </c>
      <c r="B859" t="s">
        <v>1487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1576</v>
      </c>
      <c r="B860" t="s">
        <v>1487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1576</v>
      </c>
      <c r="B861" t="s">
        <v>1487</v>
      </c>
      <c r="D861">
        <v>1</v>
      </c>
      <c r="E861" t="s">
        <v>1161</v>
      </c>
      <c r="F861">
        <f>MAX(MAX(L861:AE861),-MIN(L861:AE861))</f>
        <v>0</v>
      </c>
      <c r="I861" t="s">
        <v>1508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1577</v>
      </c>
      <c r="B863" t="s">
        <v>1490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1577</v>
      </c>
      <c r="B864" t="s">
        <v>1490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1577</v>
      </c>
      <c r="B865" t="s">
        <v>1490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1508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1578</v>
      </c>
      <c r="B867" t="s">
        <v>1490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1578</v>
      </c>
      <c r="B868" t="s">
        <v>1490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1578</v>
      </c>
      <c r="B869" t="s">
        <v>1490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1508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1579</v>
      </c>
      <c r="B871" t="s">
        <v>1490</v>
      </c>
      <c r="C871" t="s">
        <v>1407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1579</v>
      </c>
      <c r="B872" t="s">
        <v>1490</v>
      </c>
      <c r="C872" t="s">
        <v>1407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1579</v>
      </c>
      <c r="B873" t="s">
        <v>1490</v>
      </c>
      <c r="C873" t="s">
        <v>1407</v>
      </c>
      <c r="D873">
        <v>1</v>
      </c>
      <c r="E873" t="s">
        <v>1161</v>
      </c>
      <c r="F873">
        <f>MAX(MAX(L873:AE873),-MIN(L873:AE873))</f>
        <v>0</v>
      </c>
      <c r="I873" t="s">
        <v>1508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1580</v>
      </c>
      <c r="B875" t="s">
        <v>1490</v>
      </c>
      <c r="C875" t="s">
        <v>1408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1580</v>
      </c>
      <c r="B876" t="s">
        <v>1490</v>
      </c>
      <c r="C876" t="s">
        <v>1408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1580</v>
      </c>
      <c r="B877" t="s">
        <v>1490</v>
      </c>
      <c r="C877" t="s">
        <v>1408</v>
      </c>
      <c r="D877">
        <v>1</v>
      </c>
      <c r="E877" t="s">
        <v>1161</v>
      </c>
      <c r="F877">
        <f>MAX(MAX(L877:AE877),-MIN(L877:AE877))</f>
        <v>0</v>
      </c>
      <c r="I877" t="s">
        <v>1508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1581</v>
      </c>
      <c r="B879" t="s">
        <v>1490</v>
      </c>
      <c r="C879" t="s">
        <v>1409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1581</v>
      </c>
      <c r="B880" t="s">
        <v>1490</v>
      </c>
      <c r="C880" t="s">
        <v>1409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1581</v>
      </c>
      <c r="B881" t="s">
        <v>1490</v>
      </c>
      <c r="C881" t="s">
        <v>1409</v>
      </c>
      <c r="D881">
        <v>1</v>
      </c>
      <c r="E881" t="s">
        <v>1161</v>
      </c>
      <c r="F881">
        <f>MAX(MAX(L881:AE881),-MIN(L881:AE881))</f>
        <v>0</v>
      </c>
      <c r="I881" t="s">
        <v>1508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1582</v>
      </c>
      <c r="B883" t="s">
        <v>1490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1582</v>
      </c>
      <c r="B884" t="s">
        <v>1490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1582</v>
      </c>
      <c r="B885" t="s">
        <v>1490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1508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1583</v>
      </c>
      <c r="B887" t="s">
        <v>1490</v>
      </c>
      <c r="C887" t="s">
        <v>1410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1583</v>
      </c>
      <c r="B888" t="s">
        <v>1490</v>
      </c>
      <c r="C888" t="s">
        <v>1410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1583</v>
      </c>
      <c r="B889" t="s">
        <v>1490</v>
      </c>
      <c r="C889" t="s">
        <v>1410</v>
      </c>
      <c r="D889">
        <v>1</v>
      </c>
      <c r="E889" t="s">
        <v>1161</v>
      </c>
      <c r="F889">
        <f>MAX(MAX(L889:AE889),-MIN(L889:AE889))</f>
        <v>0</v>
      </c>
      <c r="I889" t="s">
        <v>1508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1584</v>
      </c>
      <c r="B891" t="s">
        <v>1490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1584</v>
      </c>
      <c r="B892" t="s">
        <v>1490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1584</v>
      </c>
      <c r="B893" t="s">
        <v>1490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1508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1585</v>
      </c>
      <c r="B895" t="s">
        <v>1490</v>
      </c>
      <c r="C895" t="s">
        <v>1491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1585</v>
      </c>
      <c r="B896" t="s">
        <v>1490</v>
      </c>
      <c r="C896" t="s">
        <v>1491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1585</v>
      </c>
      <c r="B897" t="s">
        <v>1490</v>
      </c>
      <c r="C897" t="s">
        <v>1491</v>
      </c>
      <c r="D897">
        <v>1</v>
      </c>
      <c r="E897" t="s">
        <v>1161</v>
      </c>
      <c r="F897">
        <f>MAX(MAX(L897:AE897),-MIN(L897:AE897))</f>
        <v>0</v>
      </c>
      <c r="I897" t="s">
        <v>1508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1586</v>
      </c>
      <c r="B899" t="s">
        <v>1492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1586</v>
      </c>
      <c r="B900" t="s">
        <v>1492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3.9347212273917243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4.1097533664710175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4.387008211200067</v>
      </c>
      <c r="W900">
        <f>IF(ISBLANK(Mitigation_Industry!W374),"",Mitigation_Industry!W374)</f>
        <v>4.4835223918464679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4.8912845238326144</v>
      </c>
      <c r="AB900">
        <f>IF(ISBLANK(Mitigation_Industry!AB374),"",Mitigation_Industry!AB374)</f>
        <v>4.998892783356931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1586</v>
      </c>
      <c r="B901" t="s">
        <v>1492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1587</v>
      </c>
      <c r="J901" t="s">
        <v>1588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3.3134579662557244</v>
      </c>
      <c r="R901">
        <f t="shared" si="222"/>
        <v>3.38635404151335</v>
      </c>
      <c r="S901">
        <f t="shared" si="222"/>
        <v>3.4608538304266436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3.6943321941681679</v>
      </c>
      <c r="W901">
        <f t="shared" si="222"/>
        <v>3.7756075024398674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4.1189870219751157</v>
      </c>
      <c r="AB901">
        <f t="shared" si="222"/>
        <v>4.2096047364585676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1589</v>
      </c>
      <c r="B903" t="s">
        <v>1492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1589</v>
      </c>
      <c r="B904" t="s">
        <v>1492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5.1994850861540964</v>
      </c>
      <c r="T904">
        <f>IF(ISBLANK(Mitigation_Industry!T375),"",Mitigation_Industry!T375)</f>
        <v>5.4282624299448763</v>
      </c>
      <c r="U904">
        <f>IF(ISBLANK(Mitigation_Industry!U375),"",Mitigation_Industry!U375)</f>
        <v>5.6671059768624517</v>
      </c>
      <c r="V904">
        <f>IF(ISBLANK(Mitigation_Industry!V375),"",Mitigation_Industry!V375)</f>
        <v>5.9164586398444001</v>
      </c>
      <c r="W904">
        <f>IF(ISBLANK(Mitigation_Industry!W375),"",Mitigation_Industry!W375)</f>
        <v>6.1767828199975536</v>
      </c>
      <c r="X904">
        <f>IF(ISBLANK(Mitigation_Industry!X375),"",Mitigation_Industry!X375)</f>
        <v>6.4485612640774468</v>
      </c>
      <c r="Y904">
        <f>IF(ISBLANK(Mitigation_Industry!Y375),"",Mitigation_Industry!Y375)</f>
        <v>6.7322979596968544</v>
      </c>
      <c r="Z904">
        <f>IF(ISBLANK(Mitigation_Industry!Z375),"",Mitigation_Industry!Z375)</f>
        <v>7.0285190699235152</v>
      </c>
      <c r="AA904">
        <f>IF(ISBLANK(Mitigation_Industry!AA375),"",Mitigation_Industry!AA375)</f>
        <v>7.3377739090001493</v>
      </c>
      <c r="AB904">
        <f>IF(ISBLANK(Mitigation_Industry!AB375),"",Mitigation_Industry!AB375)</f>
        <v>7.6606359609961574</v>
      </c>
      <c r="AC904">
        <f>IF(ISBLANK(Mitigation_Industry!AC375),"",Mitigation_Industry!AC375)</f>
        <v>7.9977039432799879</v>
      </c>
      <c r="AD904">
        <f>IF(ISBLANK(Mitigation_Industry!AD375),"",Mitigation_Industry!AD375)</f>
        <v>8.3496029167843062</v>
      </c>
      <c r="AE904">
        <f>IF(ISBLANK(Mitigation_Industry!AE375),"",Mitigation_Industry!AE375)</f>
        <v>8.7169854451228161</v>
      </c>
    </row>
    <row r="905" spans="1:31" x14ac:dyDescent="0.45">
      <c r="A905" t="s">
        <v>1589</v>
      </c>
      <c r="B905" t="s">
        <v>1492</v>
      </c>
      <c r="C905" t="s">
        <v>284</v>
      </c>
      <c r="D905">
        <v>1</v>
      </c>
      <c r="E905" t="s">
        <v>1161</v>
      </c>
      <c r="F905">
        <f>MAX(MAX(L905:AE905),-MIN(L905:AE905))</f>
        <v>8.1431101099938576</v>
      </c>
      <c r="I905" t="s">
        <v>1587</v>
      </c>
      <c r="J905" t="s">
        <v>1588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4.8571814004247384</v>
      </c>
      <c r="T905">
        <f t="shared" si="223"/>
        <v>5.0708973820434267</v>
      </c>
      <c r="U905">
        <f t="shared" si="223"/>
        <v>5.2940168668533385</v>
      </c>
      <c r="V905">
        <f t="shared" si="223"/>
        <v>5.5269536089948854</v>
      </c>
      <c r="W905">
        <f t="shared" si="223"/>
        <v>5.7701395677906602</v>
      </c>
      <c r="X905">
        <f t="shared" si="223"/>
        <v>6.0240257087734506</v>
      </c>
      <c r="Y905">
        <f t="shared" si="223"/>
        <v>6.289082839959482</v>
      </c>
      <c r="Z905">
        <f t="shared" si="223"/>
        <v>6.5658024849176986</v>
      </c>
      <c r="AA905">
        <f t="shared" si="223"/>
        <v>6.8546977942540765</v>
      </c>
      <c r="AB905">
        <f t="shared" si="223"/>
        <v>7.1563044972012575</v>
      </c>
      <c r="AC905">
        <f t="shared" si="223"/>
        <v>7.4711818950781126</v>
      </c>
      <c r="AD905">
        <f t="shared" si="223"/>
        <v>7.7999138984615488</v>
      </c>
      <c r="AE905">
        <f t="shared" si="223"/>
        <v>8.1431101099938576</v>
      </c>
    </row>
    <row r="907" spans="1:31" x14ac:dyDescent="0.45">
      <c r="A907" t="s">
        <v>1590</v>
      </c>
      <c r="B907" t="s">
        <v>1492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1590</v>
      </c>
      <c r="B908" t="s">
        <v>1492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5.4954496349999986E-2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6.1165728299958734E-2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6.8078984741061555E-2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9.3870218401865227E-2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0.10447989983673604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1590</v>
      </c>
      <c r="B909" t="s">
        <v>1492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1587</v>
      </c>
      <c r="J909" t="s">
        <v>1588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1591</v>
      </c>
      <c r="B911" t="s">
        <v>1492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1591</v>
      </c>
      <c r="B912" t="s">
        <v>1492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1591</v>
      </c>
      <c r="B913" t="s">
        <v>1492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1587</v>
      </c>
      <c r="J913" t="s">
        <v>1588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1592</v>
      </c>
      <c r="B915" t="s">
        <v>1492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1592</v>
      </c>
      <c r="B916" t="s">
        <v>1492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18.093263054517923</v>
      </c>
      <c r="V916">
        <f>IF(ISBLANK(Mitigation_Industry!V378),"",Mitigation_Industry!V378)</f>
        <v>18.690340735317012</v>
      </c>
      <c r="W916">
        <f>IF(ISBLANK(Mitigation_Industry!W378),"",Mitigation_Industry!W378)</f>
        <v>19.307121979582472</v>
      </c>
      <c r="X916">
        <f>IF(ISBLANK(Mitigation_Industry!X378),"",Mitigation_Industry!X378)</f>
        <v>19.944257004908685</v>
      </c>
      <c r="Y916">
        <f>IF(ISBLANK(Mitigation_Industry!Y378),"",Mitigation_Industry!Y378)</f>
        <v>20.602417486070678</v>
      </c>
      <c r="Z916">
        <f>IF(ISBLANK(Mitigation_Industry!Z378),"",Mitigation_Industry!Z378)</f>
        <v>21.282297263111005</v>
      </c>
      <c r="AA916">
        <f>IF(ISBLANK(Mitigation_Industry!AA378),"",Mitigation_Industry!AA378)</f>
        <v>21.984613072793667</v>
      </c>
      <c r="AB916">
        <f>IF(ISBLANK(Mitigation_Industry!AB378),"",Mitigation_Industry!AB378)</f>
        <v>22.710105304195856</v>
      </c>
      <c r="AC916">
        <f>IF(ISBLANK(Mitigation_Industry!AC378),"",Mitigation_Industry!AC378)</f>
        <v>23.459538779234315</v>
      </c>
      <c r="AD916">
        <f>IF(ISBLANK(Mitigation_Industry!AD378),"",Mitigation_Industry!AD378)</f>
        <v>24.233703558949045</v>
      </c>
      <c r="AE916">
        <f>IF(ISBLANK(Mitigation_Industry!AE378),"",Mitigation_Industry!AE378)</f>
        <v>25.03341577639436</v>
      </c>
    </row>
    <row r="917" spans="1:31" x14ac:dyDescent="0.45">
      <c r="A917" t="s">
        <v>1592</v>
      </c>
      <c r="B917" t="s">
        <v>1492</v>
      </c>
      <c r="C917" t="s">
        <v>287</v>
      </c>
      <c r="D917">
        <v>1</v>
      </c>
      <c r="E917" t="s">
        <v>1161</v>
      </c>
      <c r="F917">
        <f>MAX(MAX(L917:AE917),-MIN(L917:AE917))</f>
        <v>20.639760423340089</v>
      </c>
      <c r="I917" t="s">
        <v>1587</v>
      </c>
      <c r="J917" t="s">
        <v>1588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-14.917685147620229</v>
      </c>
      <c r="V917">
        <f t="shared" si="226"/>
        <v>-15.409968757491693</v>
      </c>
      <c r="W917">
        <f t="shared" si="226"/>
        <v>-15.918497726488926</v>
      </c>
      <c r="X917">
        <f t="shared" si="226"/>
        <v>-16.44380815146306</v>
      </c>
      <c r="Y917">
        <f t="shared" si="226"/>
        <v>-16.986453820461335</v>
      </c>
      <c r="Z917">
        <f t="shared" si="226"/>
        <v>-17.547006796536564</v>
      </c>
      <c r="AA917">
        <f t="shared" si="226"/>
        <v>-18.126058020822267</v>
      </c>
      <c r="AB917">
        <f t="shared" si="226"/>
        <v>-18.724217935509401</v>
      </c>
      <c r="AC917">
        <f t="shared" si="226"/>
        <v>-19.342117127381208</v>
      </c>
      <c r="AD917">
        <f t="shared" si="226"/>
        <v>-19.98040699258479</v>
      </c>
      <c r="AE917">
        <f t="shared" si="226"/>
        <v>-20.639760423340089</v>
      </c>
    </row>
    <row r="919" spans="1:31" x14ac:dyDescent="0.45">
      <c r="A919" t="s">
        <v>1593</v>
      </c>
      <c r="B919" t="s">
        <v>1492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1593</v>
      </c>
      <c r="B920" t="s">
        <v>1492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26.326124888867827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</v>
      </c>
      <c r="V920">
        <f>IF(ISBLANK(Mitigation_Industry!V379),"",Mitigation_Industry!V379)</f>
        <v>29.065630915263299</v>
      </c>
      <c r="W920">
        <f>IF(ISBLANK(Mitigation_Industry!W379),"",Mitigation_Industry!W379)</f>
        <v>30.043200803417914</v>
      </c>
      <c r="X920">
        <f>IF(ISBLANK(Mitigation_Industry!X379),"",Mitigation_Industry!X379)</f>
        <v>31.054919314104168</v>
      </c>
      <c r="Y920">
        <f>IF(ISBLANK(Mitigation_Industry!Y379),"",Mitigation_Industry!Y379)</f>
        <v>32.10202077217965</v>
      </c>
      <c r="Z920">
        <f>IF(ISBLANK(Mitigation_Industry!Z379),"",Mitigation_Industry!Z379)</f>
        <v>33.185785528135767</v>
      </c>
      <c r="AA920">
        <f>IF(ISBLANK(Mitigation_Industry!AA379),"",Mitigation_Industry!AA379)</f>
        <v>34.307541724028297</v>
      </c>
      <c r="AB920">
        <f>IF(ISBLANK(Mitigation_Industry!AB379),"",Mitigation_Industry!AB379)</f>
        <v>35.468667128962913</v>
      </c>
      <c r="AC920">
        <f>IF(ISBLANK(Mitigation_Industry!AC379),"",Mitigation_Industry!AC379)</f>
        <v>36.670591046941823</v>
      </c>
      <c r="AD920">
        <f>IF(ISBLANK(Mitigation_Industry!AD379),"",Mitigation_Industry!AD379)</f>
        <v>37.914796299992886</v>
      </c>
      <c r="AE920">
        <f>IF(ISBLANK(Mitigation_Industry!AE379),"",Mitigation_Industry!AE379)</f>
        <v>39.202821289623245</v>
      </c>
    </row>
    <row r="921" spans="1:31" x14ac:dyDescent="0.45">
      <c r="A921" t="s">
        <v>1593</v>
      </c>
      <c r="B921" t="s">
        <v>1492</v>
      </c>
      <c r="C921" t="s">
        <v>111</v>
      </c>
      <c r="D921">
        <v>1</v>
      </c>
      <c r="E921" t="s">
        <v>1161</v>
      </c>
      <c r="F921">
        <f>MAX(MAX(L921:AE921),-MIN(L921:AE921))</f>
        <v>9.6385512679971015</v>
      </c>
      <c r="I921" t="s">
        <v>1587</v>
      </c>
      <c r="J921" t="s">
        <v>1588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-6.5220005462968338</v>
      </c>
      <c r="T921">
        <f t="shared" si="227"/>
        <v>-6.7407922647314642</v>
      </c>
      <c r="U921">
        <f t="shared" si="227"/>
        <v>-6.9663316524058132</v>
      </c>
      <c r="V921">
        <f t="shared" si="227"/>
        <v>-7.1988136184991092</v>
      </c>
      <c r="W921">
        <f t="shared" si="227"/>
        <v>-7.4384385069582386</v>
      </c>
      <c r="X921">
        <f t="shared" si="227"/>
        <v>-7.6854122576844048</v>
      </c>
      <c r="Y921">
        <f t="shared" si="227"/>
        <v>-7.9399465739486459</v>
      </c>
      <c r="Z921">
        <f t="shared" si="227"/>
        <v>-8.2022590963823134</v>
      </c>
      <c r="AA921">
        <f t="shared" si="227"/>
        <v>-8.4725735839116112</v>
      </c>
      <c r="AB921">
        <f t="shared" si="227"/>
        <v>-8.7511201020306331</v>
      </c>
      <c r="AC921">
        <f t="shared" si="227"/>
        <v>-9.0381352188334603</v>
      </c>
      <c r="AD921">
        <f t="shared" si="227"/>
        <v>-9.3338622092545762</v>
      </c>
      <c r="AE921">
        <f t="shared" si="227"/>
        <v>-9.6385512679971015</v>
      </c>
    </row>
    <row r="923" spans="1:31" x14ac:dyDescent="0.45">
      <c r="A923" t="s">
        <v>1594</v>
      </c>
      <c r="B923" t="s">
        <v>1498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1594</v>
      </c>
      <c r="B924" t="s">
        <v>1498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0.60788968799999998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0.66317532583734995</v>
      </c>
      <c r="U924">
        <f>IF(ISBLANK(Mitigation_Industry!U385),"",Mitigation_Industry!U385)</f>
        <v>0.67776518300577171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0.70791488940660041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0.78928804689836307</v>
      </c>
      <c r="AC924">
        <f>IF(ISBLANK(Mitigation_Industry!AC385),"",Mitigation_Industry!AC385)</f>
        <v>0.80665238393012706</v>
      </c>
      <c r="AD924">
        <f>IF(ISBLANK(Mitigation_Industry!AD385),"",Mitigation_Industry!AD385)</f>
        <v>0.82439873637658989</v>
      </c>
      <c r="AE924">
        <f>IF(ISBLANK(Mitigation_Industry!AE385),"",Mitigation_Industry!AE385)</f>
        <v>0.84253550857687487</v>
      </c>
    </row>
    <row r="925" spans="1:31" x14ac:dyDescent="0.45">
      <c r="A925" t="s">
        <v>1594</v>
      </c>
      <c r="B925" t="s">
        <v>1498</v>
      </c>
      <c r="C925" t="s">
        <v>283</v>
      </c>
      <c r="D925">
        <v>1</v>
      </c>
      <c r="E925" t="s">
        <v>1161</v>
      </c>
      <c r="F925">
        <f>MAX(MAX(L925:AE925),-MIN(L925:AE925))</f>
        <v>1.1102230246251565E-16</v>
      </c>
      <c r="I925" t="s">
        <v>1508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-1.1102230246251565E-16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-1.1102230246251565E-16</v>
      </c>
      <c r="U925">
        <f t="shared" si="228"/>
        <v>-1.1102230246251565E-16</v>
      </c>
      <c r="V925">
        <f t="shared" si="228"/>
        <v>0</v>
      </c>
      <c r="W925">
        <f t="shared" si="228"/>
        <v>-1.1102230246251565E-16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-1.1102230246251565E-16</v>
      </c>
      <c r="AC925">
        <f t="shared" si="228"/>
        <v>-1.1102230246251565E-16</v>
      </c>
      <c r="AD925">
        <f t="shared" si="228"/>
        <v>-1.1102230246251565E-16</v>
      </c>
      <c r="AE925">
        <f t="shared" si="228"/>
        <v>-1.1102230246251565E-16</v>
      </c>
    </row>
    <row r="927" spans="1:31" x14ac:dyDescent="0.45">
      <c r="A927" t="s">
        <v>1595</v>
      </c>
      <c r="B927" t="s">
        <v>1498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1595</v>
      </c>
      <c r="B928" t="s">
        <v>1498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0.30082233600000002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</v>
      </c>
      <c r="S928">
        <f>IF(ISBLANK(Mitigation_Industry!S386),"",Mitigation_Industry!S386)</f>
        <v>0.34230368572935777</v>
      </c>
      <c r="T928">
        <f>IF(ISBLANK(Mitigation_Industry!T386),"",Mitigation_Industry!T386)</f>
        <v>0.35736504790144963</v>
      </c>
      <c r="U928">
        <f>IF(ISBLANK(Mitigation_Industry!U386),"",Mitigation_Industry!U386)</f>
        <v>0.37308911000911343</v>
      </c>
      <c r="V928">
        <f>IF(ISBLANK(Mitigation_Industry!V386),"",Mitigation_Industry!V386)</f>
        <v>0.38950503084951443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0.42453555530399639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0.46271658500581653</v>
      </c>
      <c r="AA928">
        <f>IF(ISBLANK(Mitigation_Industry!AA386),"",Mitigation_Industry!AA386)</f>
        <v>0.48307611474607248</v>
      </c>
      <c r="AB928">
        <f>IF(ISBLANK(Mitigation_Industry!AB386),"",Mitigation_Industry!AB386)</f>
        <v>0.50433146379489979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0.54968901832275774</v>
      </c>
      <c r="AE928">
        <f>IF(ISBLANK(Mitigation_Industry!AE386),"",Mitigation_Industry!AE386)</f>
        <v>0.57387533512895916</v>
      </c>
    </row>
    <row r="929" spans="1:31" x14ac:dyDescent="0.45">
      <c r="A929" t="s">
        <v>1595</v>
      </c>
      <c r="B929" t="s">
        <v>1498</v>
      </c>
      <c r="C929" t="s">
        <v>284</v>
      </c>
      <c r="D929">
        <v>1</v>
      </c>
      <c r="E929" t="s">
        <v>1161</v>
      </c>
      <c r="F929">
        <f>MAX(MAX(L929:AE929),-MIN(L929:AE929))</f>
        <v>1.6653345369377348E-16</v>
      </c>
      <c r="I929" t="s">
        <v>1508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-5.5511151231257827E-17</v>
      </c>
      <c r="Q929">
        <f t="shared" si="229"/>
        <v>0</v>
      </c>
      <c r="R929">
        <f t="shared" si="229"/>
        <v>-1.1102230246251565E-16</v>
      </c>
      <c r="S929">
        <f t="shared" si="229"/>
        <v>-1.1102230246251565E-16</v>
      </c>
      <c r="T929">
        <f t="shared" si="229"/>
        <v>-5.5511151231257827E-17</v>
      </c>
      <c r="U929">
        <f t="shared" si="229"/>
        <v>-5.5511151231257827E-17</v>
      </c>
      <c r="V929">
        <f t="shared" si="229"/>
        <v>-5.5511151231257827E-17</v>
      </c>
      <c r="W929">
        <f t="shared" si="229"/>
        <v>0</v>
      </c>
      <c r="X929">
        <f t="shared" si="229"/>
        <v>-5.5511151231257827E-17</v>
      </c>
      <c r="Y929">
        <f t="shared" si="229"/>
        <v>0</v>
      </c>
      <c r="Z929">
        <f t="shared" si="229"/>
        <v>-1.6653345369377348E-16</v>
      </c>
      <c r="AA929">
        <f t="shared" si="229"/>
        <v>-1.1102230246251565E-16</v>
      </c>
      <c r="AB929">
        <f t="shared" si="229"/>
        <v>-1.1102230246251565E-16</v>
      </c>
      <c r="AC929">
        <f t="shared" si="229"/>
        <v>0</v>
      </c>
      <c r="AD929">
        <f t="shared" si="229"/>
        <v>-1.1102230246251565E-16</v>
      </c>
      <c r="AE929">
        <f t="shared" si="229"/>
        <v>-1.1102230246251565E-16</v>
      </c>
    </row>
    <row r="931" spans="1:31" x14ac:dyDescent="0.45">
      <c r="A931" t="s">
        <v>1596</v>
      </c>
      <c r="B931" t="s">
        <v>1498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1596</v>
      </c>
      <c r="B932" t="s">
        <v>1498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0.82784016937499982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0.92140680451860923</v>
      </c>
      <c r="T932">
        <f>IF(ISBLANK(Mitigation_Industry!T387),"",Mitigation_Industry!T387)</f>
        <v>0.97208417876713271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1.4140705977204056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1.5738959270277544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1596</v>
      </c>
      <c r="B933" t="s">
        <v>1498</v>
      </c>
      <c r="C933" t="s">
        <v>285</v>
      </c>
      <c r="D933">
        <v>1</v>
      </c>
      <c r="E933" t="s">
        <v>1161</v>
      </c>
      <c r="F933">
        <f>MAX(MAX(L933:AE933),-MIN(L933:AE933))</f>
        <v>6.6613381477509392E-16</v>
      </c>
      <c r="I933" t="s">
        <v>1508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-1.1102230246251565E-16</v>
      </c>
      <c r="R933">
        <f t="shared" si="230"/>
        <v>0</v>
      </c>
      <c r="S933">
        <f t="shared" si="230"/>
        <v>-1.1102230246251565E-16</v>
      </c>
      <c r="T933">
        <f t="shared" si="230"/>
        <v>-1.1102230246251565E-16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-6.6613381477509392E-16</v>
      </c>
      <c r="AB933">
        <f t="shared" si="230"/>
        <v>0</v>
      </c>
      <c r="AC933">
        <f t="shared" si="230"/>
        <v>-2.2204460492503131E-16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1597</v>
      </c>
      <c r="B935" t="s">
        <v>1498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1597</v>
      </c>
      <c r="B936" t="s">
        <v>1498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1597</v>
      </c>
      <c r="B937" t="s">
        <v>1498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1508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1598</v>
      </c>
      <c r="B939" t="s">
        <v>1498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1598</v>
      </c>
      <c r="B940" t="s">
        <v>1498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31.956387417365107</v>
      </c>
      <c r="U940">
        <f>IF(ISBLANK(Mitigation_Industry!U389),"",Mitigation_Industry!U389)</f>
        <v>33.010948202138145</v>
      </c>
      <c r="V940">
        <f>IF(ISBLANK(Mitigation_Industry!V389),"",Mitigation_Industry!V389)</f>
        <v>34.100309492808698</v>
      </c>
      <c r="W940">
        <f>IF(ISBLANK(Mitigation_Industry!W389),"",Mitigation_Industry!W389)</f>
        <v>35.225619706071392</v>
      </c>
      <c r="X940">
        <f>IF(ISBLANK(Mitigation_Industry!X389),"",Mitigation_Industry!X389)</f>
        <v>36.388065156371731</v>
      </c>
      <c r="Y940">
        <f>IF(ISBLANK(Mitigation_Industry!Y389),"",Mitigation_Industry!Y389)</f>
        <v>37.588871306532006</v>
      </c>
      <c r="Z940">
        <f>IF(ISBLANK(Mitigation_Industry!Z389),"",Mitigation_Industry!Z389)</f>
        <v>38.829304059647555</v>
      </c>
      <c r="AA940">
        <f>IF(ISBLANK(Mitigation_Industry!AA389),"",Mitigation_Industry!AA389)</f>
        <v>40.11067109361592</v>
      </c>
      <c r="AB940">
        <f>IF(ISBLANK(Mitigation_Industry!AB389),"",Mitigation_Industry!AB389)</f>
        <v>41.434323239705236</v>
      </c>
      <c r="AC940">
        <f>IF(ISBLANK(Mitigation_Industry!AC389),"",Mitigation_Industry!AC389)</f>
        <v>42.801655906615501</v>
      </c>
      <c r="AD940">
        <f>IF(ISBLANK(Mitigation_Industry!AD389),"",Mitigation_Industry!AD389)</f>
        <v>44.214110551533814</v>
      </c>
      <c r="AE940">
        <f>IF(ISBLANK(Mitigation_Industry!AE389),"",Mitigation_Industry!AE389)</f>
        <v>45.673176199734421</v>
      </c>
    </row>
    <row r="941" spans="1:31" x14ac:dyDescent="0.45">
      <c r="A941" t="s">
        <v>1598</v>
      </c>
      <c r="B941" t="s">
        <v>1498</v>
      </c>
      <c r="C941" t="s">
        <v>287</v>
      </c>
      <c r="D941">
        <v>1</v>
      </c>
      <c r="E941" t="s">
        <v>1161</v>
      </c>
      <c r="F941">
        <f>MAX(MAX(L941:AE941),-MIN(L941:AE941))</f>
        <v>2.8421709430404007E-14</v>
      </c>
      <c r="I941" t="s">
        <v>1508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-3.5527136788005009E-15</v>
      </c>
      <c r="U941">
        <f t="shared" si="232"/>
        <v>-7.1054273576010019E-15</v>
      </c>
      <c r="V941">
        <f t="shared" si="232"/>
        <v>-7.1054273576010019E-15</v>
      </c>
      <c r="W941">
        <f t="shared" si="232"/>
        <v>-7.1054273576010019E-15</v>
      </c>
      <c r="X941">
        <f t="shared" si="232"/>
        <v>-1.4210854715202004E-14</v>
      </c>
      <c r="Y941">
        <f t="shared" si="232"/>
        <v>-7.1054273576010019E-15</v>
      </c>
      <c r="Z941">
        <f t="shared" si="232"/>
        <v>-1.4210854715202004E-14</v>
      </c>
      <c r="AA941">
        <f t="shared" si="232"/>
        <v>-1.4210854715202004E-14</v>
      </c>
      <c r="AB941">
        <f t="shared" si="232"/>
        <v>-2.1316282072803006E-14</v>
      </c>
      <c r="AC941">
        <f t="shared" si="232"/>
        <v>-2.1316282072803006E-14</v>
      </c>
      <c r="AD941">
        <f t="shared" si="232"/>
        <v>-2.1316282072803006E-14</v>
      </c>
      <c r="AE941">
        <f t="shared" si="232"/>
        <v>-2.8421709430404007E-14</v>
      </c>
    </row>
    <row r="943" spans="1:31" x14ac:dyDescent="0.45">
      <c r="A943" t="s">
        <v>1599</v>
      </c>
      <c r="B943" t="s">
        <v>1498</v>
      </c>
      <c r="C943" t="s">
        <v>111</v>
      </c>
      <c r="D943">
        <v>1</v>
      </c>
      <c r="E943" t="s">
        <v>1159</v>
      </c>
    </row>
    <row r="944" spans="1:31" x14ac:dyDescent="0.45">
      <c r="A944" t="s">
        <v>1599</v>
      </c>
      <c r="B944" t="s">
        <v>1498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33.949011969871037</v>
      </c>
      <c r="U944">
        <f>IF(ISBLANK(Mitigation_Industry!U390),"",Mitigation_Industry!U390)</f>
        <v>35.087351303752357</v>
      </c>
      <c r="V944">
        <f>IF(ISBLANK(Mitigation_Industry!V390),"",Mitigation_Industry!V390)</f>
        <v>36.264444533762401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38.740331571788559</v>
      </c>
      <c r="Y944">
        <f>IF(ISBLANK(Mitigation_Industry!Y390),"",Mitigation_Industry!Y390)</f>
        <v>40.041967346128288</v>
      </c>
      <c r="Z944">
        <f>IF(ISBLANK(Mitigation_Industry!Z390),"",Mitigation_Industry!Z390)</f>
        <v>41.388044624518066</v>
      </c>
      <c r="AA944">
        <f>IF(ISBLANK(Mitigation_Industry!AA390),"",Mitigation_Industry!AA390)</f>
        <v>42.780115307939894</v>
      </c>
      <c r="AB944">
        <f>IF(ISBLANK(Mitigation_Industry!AB390),"",Mitigation_Industry!AB390)</f>
        <v>44.219787230993525</v>
      </c>
      <c r="AC944">
        <f>IF(ISBLANK(Mitigation_Industry!AC390),"",Mitigation_Industry!AC390)</f>
        <v>45.708726265775255</v>
      </c>
      <c r="AD944">
        <f>IF(ISBLANK(Mitigation_Industry!AD390),"",Mitigation_Industry!AD390)</f>
        <v>47.248658509247441</v>
      </c>
      <c r="AE944">
        <f>IF(ISBLANK(Mitigation_Industry!AE390),"",Mitigation_Industry!AE390)</f>
        <v>48.841372557620318</v>
      </c>
    </row>
    <row r="945" spans="1:31" x14ac:dyDescent="0.45">
      <c r="A945" t="s">
        <v>1599</v>
      </c>
      <c r="B945" t="s">
        <v>1498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1508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1600</v>
      </c>
      <c r="B947" t="s">
        <v>1499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1600</v>
      </c>
      <c r="B948" t="s">
        <v>1499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1600</v>
      </c>
      <c r="B949" t="s">
        <v>1499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1508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1601</v>
      </c>
      <c r="B951" t="s">
        <v>1499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1601</v>
      </c>
      <c r="B952" t="s">
        <v>1499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1601</v>
      </c>
      <c r="B953" t="s">
        <v>1499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1508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1602</v>
      </c>
      <c r="B955" t="s">
        <v>1499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1602</v>
      </c>
      <c r="B956" t="s">
        <v>1499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1602</v>
      </c>
      <c r="B957" t="s">
        <v>1499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1508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1603</v>
      </c>
      <c r="B959" t="s">
        <v>1499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1603</v>
      </c>
      <c r="B960" t="s">
        <v>1499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1603</v>
      </c>
      <c r="B961" t="s">
        <v>1499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1508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1604</v>
      </c>
      <c r="B963" t="s">
        <v>1499</v>
      </c>
      <c r="C963" t="s">
        <v>1441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1604</v>
      </c>
      <c r="B964" t="s">
        <v>1499</v>
      </c>
      <c r="C964" t="s">
        <v>1441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1604</v>
      </c>
      <c r="B965" t="s">
        <v>1499</v>
      </c>
      <c r="C965" t="s">
        <v>1441</v>
      </c>
      <c r="D965">
        <v>1</v>
      </c>
      <c r="E965" t="s">
        <v>1161</v>
      </c>
      <c r="F965">
        <f>MAX(MAX(L965:AE965),-MIN(L965:AE965))</f>
        <v>0</v>
      </c>
      <c r="I965" t="s">
        <v>1508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1605</v>
      </c>
      <c r="B967" t="s">
        <v>1499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1605</v>
      </c>
      <c r="B968" t="s">
        <v>1499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1605</v>
      </c>
      <c r="B969" t="s">
        <v>1499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1508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1606</v>
      </c>
      <c r="B971" t="s">
        <v>1499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1606</v>
      </c>
      <c r="B972" t="s">
        <v>1499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1606</v>
      </c>
      <c r="B973" t="s">
        <v>1499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1508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1607</v>
      </c>
      <c r="B975" t="s">
        <v>1499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1607</v>
      </c>
      <c r="B976" t="s">
        <v>1499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1607</v>
      </c>
      <c r="B977" t="s">
        <v>1499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1508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1608</v>
      </c>
      <c r="B979" t="s">
        <v>1499</v>
      </c>
      <c r="C979" t="s">
        <v>1500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1608</v>
      </c>
      <c r="B980" t="s">
        <v>1499</v>
      </c>
      <c r="C980" t="s">
        <v>1500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1608</v>
      </c>
      <c r="B981" t="s">
        <v>1499</v>
      </c>
      <c r="C981" t="s">
        <v>1500</v>
      </c>
      <c r="D981">
        <v>1</v>
      </c>
      <c r="E981" t="s">
        <v>1161</v>
      </c>
      <c r="F981">
        <f>MAX(MAX(L981:AE981),-MIN(L981:AE981))</f>
        <v>0</v>
      </c>
      <c r="I981" t="s">
        <v>1508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1609</v>
      </c>
      <c r="B983" t="s">
        <v>1422</v>
      </c>
      <c r="C983" t="s">
        <v>1423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1609</v>
      </c>
      <c r="B984" t="s">
        <v>1422</v>
      </c>
      <c r="C984" t="s">
        <v>1423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1609</v>
      </c>
      <c r="B985" t="s">
        <v>1422</v>
      </c>
      <c r="C985" t="s">
        <v>1423</v>
      </c>
      <c r="D985">
        <v>2</v>
      </c>
      <c r="E985" t="s">
        <v>1161</v>
      </c>
      <c r="F985">
        <f>MAX(MAX(L985:AE985),-MIN(L985:AE985))</f>
        <v>187.5</v>
      </c>
      <c r="I985" t="s">
        <v>1587</v>
      </c>
      <c r="J985" t="s">
        <v>1610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1611</v>
      </c>
      <c r="B987" t="s">
        <v>1422</v>
      </c>
      <c r="C987" t="s">
        <v>1424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1611</v>
      </c>
      <c r="B988" t="s">
        <v>1422</v>
      </c>
      <c r="C988" t="s">
        <v>1424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1611</v>
      </c>
      <c r="B989" t="s">
        <v>1422</v>
      </c>
      <c r="C989" t="s">
        <v>1424</v>
      </c>
      <c r="D989">
        <v>2</v>
      </c>
      <c r="E989" t="s">
        <v>1161</v>
      </c>
      <c r="F989">
        <f>MAX(MAX(L989:AE989),-MIN(L989:AE989))</f>
        <v>0</v>
      </c>
      <c r="I989" t="s">
        <v>1508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1612</v>
      </c>
      <c r="B991" t="s">
        <v>1433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1612</v>
      </c>
      <c r="B992" t="s">
        <v>1433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1612</v>
      </c>
      <c r="B993" t="s">
        <v>1433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1508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1613</v>
      </c>
      <c r="B995" t="s">
        <v>1433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1613</v>
      </c>
      <c r="B996" t="s">
        <v>1433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1613</v>
      </c>
      <c r="B997" t="s">
        <v>1433</v>
      </c>
      <c r="C997" t="s">
        <v>1357</v>
      </c>
      <c r="D997">
        <v>2</v>
      </c>
      <c r="E997" t="s">
        <v>1161</v>
      </c>
      <c r="F997">
        <f>MAX(MAX(L997:AE997),-MIN(L997:AE997))</f>
        <v>1.8189894035458565E-12</v>
      </c>
      <c r="I997" t="s">
        <v>1508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1614</v>
      </c>
      <c r="B999" t="s">
        <v>1433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1614</v>
      </c>
      <c r="B1000" t="s">
        <v>1433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1614</v>
      </c>
      <c r="B1001" t="s">
        <v>1433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1508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1615</v>
      </c>
      <c r="B1003" t="s">
        <v>1433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1615</v>
      </c>
      <c r="B1004" t="s">
        <v>1433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1615</v>
      </c>
      <c r="B1005" t="s">
        <v>1433</v>
      </c>
      <c r="C1005" t="s">
        <v>1369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1508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1616</v>
      </c>
      <c r="B1007" t="s">
        <v>1433</v>
      </c>
      <c r="C1007" t="s">
        <v>1441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1616</v>
      </c>
      <c r="B1008" t="s">
        <v>1433</v>
      </c>
      <c r="C1008" t="s">
        <v>1441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1616</v>
      </c>
      <c r="B1009" t="s">
        <v>1433</v>
      </c>
      <c r="C1009" t="s">
        <v>1441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1508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1617</v>
      </c>
      <c r="B1011" t="s">
        <v>1433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1617</v>
      </c>
      <c r="B1012" t="s">
        <v>1433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1617</v>
      </c>
      <c r="B1013" t="s">
        <v>1433</v>
      </c>
      <c r="C1013" t="s">
        <v>1383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1508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1618</v>
      </c>
      <c r="B1015" t="s">
        <v>1433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1618</v>
      </c>
      <c r="B1016" t="s">
        <v>1433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1618</v>
      </c>
      <c r="B1017" t="s">
        <v>1433</v>
      </c>
      <c r="C1017" t="s">
        <v>1390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1508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1619</v>
      </c>
      <c r="B1019" t="s">
        <v>1433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1619</v>
      </c>
      <c r="B1020" t="s">
        <v>1433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1619</v>
      </c>
      <c r="B1021" t="s">
        <v>1433</v>
      </c>
      <c r="C1021" t="s">
        <v>1397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1508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1620</v>
      </c>
      <c r="B1023" t="s">
        <v>1446</v>
      </c>
      <c r="C1023" t="s">
        <v>1449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1620</v>
      </c>
      <c r="B1024" t="s">
        <v>1446</v>
      </c>
      <c r="C1024" t="s">
        <v>1449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1620</v>
      </c>
      <c r="B1025" t="s">
        <v>1446</v>
      </c>
      <c r="C1025" t="s">
        <v>1449</v>
      </c>
      <c r="D1025">
        <v>2</v>
      </c>
      <c r="E1025" t="s">
        <v>1161</v>
      </c>
      <c r="F1025">
        <f>MAX(MAX(L1025:AE1025),-MIN(L1025:AE1025))</f>
        <v>0</v>
      </c>
      <c r="I1025" t="s">
        <v>1508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1621</v>
      </c>
      <c r="B1027" t="s">
        <v>1446</v>
      </c>
      <c r="C1027" t="s">
        <v>1452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1621</v>
      </c>
      <c r="B1028" t="s">
        <v>1446</v>
      </c>
      <c r="C1028" t="s">
        <v>1452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1621</v>
      </c>
      <c r="B1029" t="s">
        <v>1446</v>
      </c>
      <c r="C1029" t="s">
        <v>1452</v>
      </c>
      <c r="D1029">
        <v>2</v>
      </c>
      <c r="E1029" t="s">
        <v>1161</v>
      </c>
      <c r="F1029">
        <f>MAX(MAX(L1029:AE1029),-MIN(L1029:AE1029))</f>
        <v>0</v>
      </c>
      <c r="I1029" t="s">
        <v>1508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1622</v>
      </c>
      <c r="B1031" t="s">
        <v>1446</v>
      </c>
      <c r="C1031" t="s">
        <v>1455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1622</v>
      </c>
      <c r="B1032" t="s">
        <v>1446</v>
      </c>
      <c r="C1032" t="s">
        <v>1455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1622</v>
      </c>
      <c r="B1033" t="s">
        <v>1446</v>
      </c>
      <c r="C1033" t="s">
        <v>1455</v>
      </c>
      <c r="D1033">
        <v>2</v>
      </c>
      <c r="E1033" t="s">
        <v>1161</v>
      </c>
      <c r="F1033">
        <f>MAX(MAX(L1033:AE1033),-MIN(L1033:AE1033))</f>
        <v>0</v>
      </c>
      <c r="I1033" t="s">
        <v>1508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1623</v>
      </c>
      <c r="B1035" t="s">
        <v>1446</v>
      </c>
      <c r="C1035" t="s">
        <v>1458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1623</v>
      </c>
      <c r="B1036" t="s">
        <v>1446</v>
      </c>
      <c r="C1036" t="s">
        <v>1458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1623</v>
      </c>
      <c r="B1037" t="s">
        <v>1446</v>
      </c>
      <c r="C1037" t="s">
        <v>1458</v>
      </c>
      <c r="D1037">
        <v>2</v>
      </c>
      <c r="E1037" t="s">
        <v>1161</v>
      </c>
      <c r="F1037">
        <f>MAX(MAX(L1037:AE1037),-MIN(L1037:AE1037))</f>
        <v>0</v>
      </c>
      <c r="I1037" t="s">
        <v>1508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1624</v>
      </c>
      <c r="B1039" t="s">
        <v>1446</v>
      </c>
      <c r="C1039" t="s">
        <v>1461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1624</v>
      </c>
      <c r="B1040" t="s">
        <v>1446</v>
      </c>
      <c r="C1040" t="s">
        <v>1461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1624</v>
      </c>
      <c r="B1041" t="s">
        <v>1446</v>
      </c>
      <c r="C1041" t="s">
        <v>1461</v>
      </c>
      <c r="D1041">
        <v>2</v>
      </c>
      <c r="E1041" t="s">
        <v>1161</v>
      </c>
      <c r="F1041">
        <f>MAX(MAX(L1041:AE1041),-MIN(L1041:AE1041))</f>
        <v>0</v>
      </c>
      <c r="I1041" t="s">
        <v>1508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1625</v>
      </c>
      <c r="B1043" t="s">
        <v>1446</v>
      </c>
      <c r="C1043" t="s">
        <v>1464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1625</v>
      </c>
      <c r="B1044" t="s">
        <v>1446</v>
      </c>
      <c r="C1044" t="s">
        <v>1464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1625</v>
      </c>
      <c r="B1045" t="s">
        <v>1446</v>
      </c>
      <c r="C1045" t="s">
        <v>1464</v>
      </c>
      <c r="D1045">
        <v>2</v>
      </c>
      <c r="E1045" t="s">
        <v>1161</v>
      </c>
      <c r="F1045">
        <f>MAX(MAX(L1045:AE1045),-MIN(L1045:AE1045))</f>
        <v>0</v>
      </c>
      <c r="I1045" t="s">
        <v>1508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1626</v>
      </c>
      <c r="B1047" t="s">
        <v>1446</v>
      </c>
      <c r="C1047" t="s">
        <v>1467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1626</v>
      </c>
      <c r="B1048" t="s">
        <v>1446</v>
      </c>
      <c r="C1048" t="s">
        <v>1467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1626</v>
      </c>
      <c r="B1049" t="s">
        <v>1446</v>
      </c>
      <c r="C1049" t="s">
        <v>1467</v>
      </c>
      <c r="D1049">
        <v>2</v>
      </c>
      <c r="E1049" t="s">
        <v>1161</v>
      </c>
      <c r="F1049">
        <f>MAX(MAX(L1049:AE1049),-MIN(L1049:AE1049))</f>
        <v>0</v>
      </c>
      <c r="I1049" t="s">
        <v>1508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1627</v>
      </c>
      <c r="B1051" t="s">
        <v>1446</v>
      </c>
      <c r="C1051" t="s">
        <v>1470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1627</v>
      </c>
      <c r="B1052" t="s">
        <v>1446</v>
      </c>
      <c r="C1052" t="s">
        <v>1470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1627</v>
      </c>
      <c r="B1053" t="s">
        <v>1446</v>
      </c>
      <c r="C1053" t="s">
        <v>1470</v>
      </c>
      <c r="D1053">
        <v>2</v>
      </c>
      <c r="E1053" t="s">
        <v>1161</v>
      </c>
      <c r="F1053">
        <f>MAX(MAX(L1053:AE1053),-MIN(L1053:AE1053))</f>
        <v>0</v>
      </c>
      <c r="I1053" t="s">
        <v>1508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1628</v>
      </c>
      <c r="B1055" t="s">
        <v>1473</v>
      </c>
      <c r="C1055" t="s">
        <v>1449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1628</v>
      </c>
      <c r="B1056" t="s">
        <v>1473</v>
      </c>
      <c r="C1056" t="s">
        <v>1449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1628</v>
      </c>
      <c r="B1057" t="s">
        <v>1473</v>
      </c>
      <c r="C1057" t="s">
        <v>1449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1587</v>
      </c>
      <c r="J1057" t="s">
        <v>1629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1630</v>
      </c>
      <c r="B1059" t="s">
        <v>1473</v>
      </c>
      <c r="C1059" t="s">
        <v>1452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1630</v>
      </c>
      <c r="B1060" t="s">
        <v>1473</v>
      </c>
      <c r="C1060" t="s">
        <v>1452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1630</v>
      </c>
      <c r="B1061" t="s">
        <v>1473</v>
      </c>
      <c r="C1061" t="s">
        <v>1452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1587</v>
      </c>
      <c r="J1061" t="s">
        <v>1629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1631</v>
      </c>
      <c r="B1063" t="s">
        <v>1473</v>
      </c>
      <c r="C1063" t="s">
        <v>1455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1631</v>
      </c>
      <c r="B1064" t="s">
        <v>1473</v>
      </c>
      <c r="C1064" t="s">
        <v>1455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1631</v>
      </c>
      <c r="B1065" t="s">
        <v>1473</v>
      </c>
      <c r="C1065" t="s">
        <v>1455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1587</v>
      </c>
      <c r="J1065" t="s">
        <v>1629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1632</v>
      </c>
      <c r="B1067" t="s">
        <v>1473</v>
      </c>
      <c r="C1067" t="s">
        <v>1458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1632</v>
      </c>
      <c r="B1068" t="s">
        <v>1473</v>
      </c>
      <c r="C1068" t="s">
        <v>1458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1632</v>
      </c>
      <c r="B1069" t="s">
        <v>1473</v>
      </c>
      <c r="C1069" t="s">
        <v>1458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1587</v>
      </c>
      <c r="J1069" t="s">
        <v>1629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1633</v>
      </c>
      <c r="B1071" t="s">
        <v>1473</v>
      </c>
      <c r="C1071" t="s">
        <v>1461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1633</v>
      </c>
      <c r="B1072" t="s">
        <v>1473</v>
      </c>
      <c r="C1072" t="s">
        <v>1461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1633</v>
      </c>
      <c r="B1073" t="s">
        <v>1473</v>
      </c>
      <c r="C1073" t="s">
        <v>1461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1587</v>
      </c>
      <c r="J1073" t="s">
        <v>1629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1634</v>
      </c>
      <c r="B1075" t="s">
        <v>1473</v>
      </c>
      <c r="C1075" t="s">
        <v>1464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1634</v>
      </c>
      <c r="B1076" t="s">
        <v>1473</v>
      </c>
      <c r="C1076" t="s">
        <v>1464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1634</v>
      </c>
      <c r="B1077" t="s">
        <v>1473</v>
      </c>
      <c r="C1077" t="s">
        <v>1464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1587</v>
      </c>
      <c r="J1077" t="s">
        <v>1629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1635</v>
      </c>
      <c r="B1079" t="s">
        <v>1473</v>
      </c>
      <c r="C1079" t="s">
        <v>1467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1635</v>
      </c>
      <c r="B1080" t="s">
        <v>1473</v>
      </c>
      <c r="C1080" t="s">
        <v>1467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1635</v>
      </c>
      <c r="B1081" t="s">
        <v>1473</v>
      </c>
      <c r="C1081" t="s">
        <v>1467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1587</v>
      </c>
      <c r="J1081" t="s">
        <v>1629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1636</v>
      </c>
      <c r="B1083" t="s">
        <v>1473</v>
      </c>
      <c r="C1083" t="s">
        <v>1470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1636</v>
      </c>
      <c r="B1084" t="s">
        <v>1473</v>
      </c>
      <c r="C1084" t="s">
        <v>1470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1636</v>
      </c>
      <c r="B1085" t="s">
        <v>1473</v>
      </c>
      <c r="C1085" t="s">
        <v>1470</v>
      </c>
      <c r="D1085">
        <v>2</v>
      </c>
      <c r="E1085" t="s">
        <v>1161</v>
      </c>
      <c r="F1085">
        <f>MAX(MAX(L1085:AE1085),-MIN(L1085:AE1085))</f>
        <v>29.25</v>
      </c>
      <c r="I1085" t="s">
        <v>1587</v>
      </c>
      <c r="J1085" t="s">
        <v>1629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1637</v>
      </c>
      <c r="B1087" t="s">
        <v>1476</v>
      </c>
      <c r="C1087" t="s">
        <v>1449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1637</v>
      </c>
      <c r="B1088" t="s">
        <v>1476</v>
      </c>
      <c r="C1088" t="s">
        <v>1449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1637</v>
      </c>
      <c r="B1089" t="s">
        <v>1476</v>
      </c>
      <c r="C1089" t="s">
        <v>1449</v>
      </c>
      <c r="D1089">
        <v>2</v>
      </c>
      <c r="E1089" t="s">
        <v>1161</v>
      </c>
      <c r="F1089">
        <f>MAX(MAX(L1089:AE1089),-MIN(L1089:AE1089))</f>
        <v>0</v>
      </c>
      <c r="I1089" t="s">
        <v>1508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1638</v>
      </c>
      <c r="B1091" t="s">
        <v>1476</v>
      </c>
      <c r="C1091" t="s">
        <v>1452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1638</v>
      </c>
      <c r="B1092" t="s">
        <v>1476</v>
      </c>
      <c r="C1092" t="s">
        <v>1452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1638</v>
      </c>
      <c r="B1093" t="s">
        <v>1476</v>
      </c>
      <c r="C1093" t="s">
        <v>1452</v>
      </c>
      <c r="D1093">
        <v>2</v>
      </c>
      <c r="E1093" t="s">
        <v>1161</v>
      </c>
      <c r="F1093">
        <f>MAX(MAX(L1093:AE1093),-MIN(L1093:AE1093))</f>
        <v>0</v>
      </c>
      <c r="I1093" t="s">
        <v>1508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1639</v>
      </c>
      <c r="B1095" t="s">
        <v>1476</v>
      </c>
      <c r="C1095" t="s">
        <v>1455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1639</v>
      </c>
      <c r="B1096" t="s">
        <v>1476</v>
      </c>
      <c r="C1096" t="s">
        <v>1455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1639</v>
      </c>
      <c r="B1097" t="s">
        <v>1476</v>
      </c>
      <c r="C1097" t="s">
        <v>1455</v>
      </c>
      <c r="D1097">
        <v>2</v>
      </c>
      <c r="E1097" t="s">
        <v>1161</v>
      </c>
      <c r="F1097">
        <f>MAX(MAX(L1097:AE1097),-MIN(L1097:AE1097))</f>
        <v>0</v>
      </c>
      <c r="I1097" t="s">
        <v>1508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1640</v>
      </c>
      <c r="B1099" t="s">
        <v>1476</v>
      </c>
      <c r="C1099" t="s">
        <v>1458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1640</v>
      </c>
      <c r="B1100" t="s">
        <v>1476</v>
      </c>
      <c r="C1100" t="s">
        <v>1458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1640</v>
      </c>
      <c r="B1101" t="s">
        <v>1476</v>
      </c>
      <c r="C1101" t="s">
        <v>1458</v>
      </c>
      <c r="D1101">
        <v>2</v>
      </c>
      <c r="E1101" t="s">
        <v>1161</v>
      </c>
      <c r="F1101">
        <f>MAX(MAX(L1101:AE1101),-MIN(L1101:AE1101))</f>
        <v>0</v>
      </c>
      <c r="I1101" t="s">
        <v>1508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1641</v>
      </c>
      <c r="B1103" t="s">
        <v>1476</v>
      </c>
      <c r="C1103" t="s">
        <v>1461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1641</v>
      </c>
      <c r="B1104" t="s">
        <v>1476</v>
      </c>
      <c r="C1104" t="s">
        <v>1461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1641</v>
      </c>
      <c r="B1105" t="s">
        <v>1476</v>
      </c>
      <c r="C1105" t="s">
        <v>1461</v>
      </c>
      <c r="D1105">
        <v>2</v>
      </c>
      <c r="E1105" t="s">
        <v>1161</v>
      </c>
      <c r="F1105">
        <f>MAX(MAX(L1105:AE1105),-MIN(L1105:AE1105))</f>
        <v>0</v>
      </c>
      <c r="I1105" t="s">
        <v>1508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1642</v>
      </c>
      <c r="B1107" t="s">
        <v>1476</v>
      </c>
      <c r="C1107" t="s">
        <v>1464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1642</v>
      </c>
      <c r="B1108" t="s">
        <v>1476</v>
      </c>
      <c r="C1108" t="s">
        <v>1464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1642</v>
      </c>
      <c r="B1109" t="s">
        <v>1476</v>
      </c>
      <c r="C1109" t="s">
        <v>1464</v>
      </c>
      <c r="D1109">
        <v>2</v>
      </c>
      <c r="E1109" t="s">
        <v>1161</v>
      </c>
      <c r="F1109">
        <f>MAX(MAX(L1109:AE1109),-MIN(L1109:AE1109))</f>
        <v>0</v>
      </c>
      <c r="I1109" t="s">
        <v>1508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1643</v>
      </c>
      <c r="B1111" t="s">
        <v>1476</v>
      </c>
      <c r="C1111" t="s">
        <v>1467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1643</v>
      </c>
      <c r="B1112" t="s">
        <v>1476</v>
      </c>
      <c r="C1112" t="s">
        <v>1467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1643</v>
      </c>
      <c r="B1113" t="s">
        <v>1476</v>
      </c>
      <c r="C1113" t="s">
        <v>1467</v>
      </c>
      <c r="D1113">
        <v>2</v>
      </c>
      <c r="E1113" t="s">
        <v>1161</v>
      </c>
      <c r="F1113">
        <f>MAX(MAX(L1113:AE1113),-MIN(L1113:AE1113))</f>
        <v>0</v>
      </c>
      <c r="I1113" t="s">
        <v>1508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1644</v>
      </c>
      <c r="B1115" t="s">
        <v>1476</v>
      </c>
      <c r="C1115" t="s">
        <v>1470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1644</v>
      </c>
      <c r="B1116" t="s">
        <v>1476</v>
      </c>
      <c r="C1116" t="s">
        <v>1470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1644</v>
      </c>
      <c r="B1117" t="s">
        <v>1476</v>
      </c>
      <c r="C1117" t="s">
        <v>1470</v>
      </c>
      <c r="D1117">
        <v>2</v>
      </c>
      <c r="E1117" t="s">
        <v>1161</v>
      </c>
      <c r="F1117">
        <f>MAX(MAX(L1117:AE1117),-MIN(L1117:AE1117))</f>
        <v>0</v>
      </c>
      <c r="I1117" t="s">
        <v>1508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1645</v>
      </c>
      <c r="B1119" t="s">
        <v>1479</v>
      </c>
      <c r="C1119" t="s">
        <v>1449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1645</v>
      </c>
      <c r="B1120" t="s">
        <v>1479</v>
      </c>
      <c r="C1120" t="s">
        <v>1449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1645</v>
      </c>
      <c r="B1121" t="s">
        <v>1479</v>
      </c>
      <c r="C1121" t="s">
        <v>1449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1587</v>
      </c>
      <c r="J1121" t="s">
        <v>1629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1646</v>
      </c>
      <c r="B1123" t="s">
        <v>1479</v>
      </c>
      <c r="C1123" t="s">
        <v>1452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1646</v>
      </c>
      <c r="B1124" t="s">
        <v>1479</v>
      </c>
      <c r="C1124" t="s">
        <v>1452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1646</v>
      </c>
      <c r="B1125" t="s">
        <v>1479</v>
      </c>
      <c r="C1125" t="s">
        <v>1452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1587</v>
      </c>
      <c r="J1125" t="s">
        <v>1629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1647</v>
      </c>
      <c r="B1127" t="s">
        <v>1479</v>
      </c>
      <c r="C1127" t="s">
        <v>1455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1647</v>
      </c>
      <c r="B1128" t="s">
        <v>1479</v>
      </c>
      <c r="C1128" t="s">
        <v>1455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1647</v>
      </c>
      <c r="B1129" t="s">
        <v>1479</v>
      </c>
      <c r="C1129" t="s">
        <v>1455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1587</v>
      </c>
      <c r="J1129" t="s">
        <v>1629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1648</v>
      </c>
      <c r="B1131" t="s">
        <v>1479</v>
      </c>
      <c r="C1131" t="s">
        <v>1458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1648</v>
      </c>
      <c r="B1132" t="s">
        <v>1479</v>
      </c>
      <c r="C1132" t="s">
        <v>1458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1648</v>
      </c>
      <c r="B1133" t="s">
        <v>1479</v>
      </c>
      <c r="C1133" t="s">
        <v>1458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1587</v>
      </c>
      <c r="J1133" t="s">
        <v>1629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1649</v>
      </c>
      <c r="B1135" t="s">
        <v>1479</v>
      </c>
      <c r="C1135" t="s">
        <v>1461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1649</v>
      </c>
      <c r="B1136" t="s">
        <v>1479</v>
      </c>
      <c r="C1136" t="s">
        <v>1461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1649</v>
      </c>
      <c r="B1137" t="s">
        <v>1479</v>
      </c>
      <c r="C1137" t="s">
        <v>1461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1587</v>
      </c>
      <c r="J1137" t="s">
        <v>1629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1650</v>
      </c>
      <c r="B1139" t="s">
        <v>1479</v>
      </c>
      <c r="C1139" t="s">
        <v>1464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1650</v>
      </c>
      <c r="B1140" t="s">
        <v>1479</v>
      </c>
      <c r="C1140" t="s">
        <v>1464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1650</v>
      </c>
      <c r="B1141" t="s">
        <v>1479</v>
      </c>
      <c r="C1141" t="s">
        <v>1464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1587</v>
      </c>
      <c r="J1141" t="s">
        <v>1629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1651</v>
      </c>
      <c r="B1143" t="s">
        <v>1479</v>
      </c>
      <c r="C1143" t="s">
        <v>1467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1651</v>
      </c>
      <c r="B1144" t="s">
        <v>1479</v>
      </c>
      <c r="C1144" t="s">
        <v>1467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1651</v>
      </c>
      <c r="B1145" t="s">
        <v>1479</v>
      </c>
      <c r="C1145" t="s">
        <v>1467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1587</v>
      </c>
      <c r="J1145" t="s">
        <v>1629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1652</v>
      </c>
      <c r="B1147" t="s">
        <v>1479</v>
      </c>
      <c r="C1147" t="s">
        <v>1470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1652</v>
      </c>
      <c r="B1148" t="s">
        <v>1479</v>
      </c>
      <c r="C1148" t="s">
        <v>1470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1652</v>
      </c>
      <c r="B1149" t="s">
        <v>1479</v>
      </c>
      <c r="C1149" t="s">
        <v>1470</v>
      </c>
      <c r="D1149">
        <v>2</v>
      </c>
      <c r="E1149" t="s">
        <v>1161</v>
      </c>
      <c r="F1149">
        <f>MAX(MAX(L1149:AE1149),-MIN(L1149:AE1149))</f>
        <v>1.21875E-2</v>
      </c>
      <c r="I1149" t="s">
        <v>1587</v>
      </c>
      <c r="J1149" t="s">
        <v>1629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1653</v>
      </c>
      <c r="B1151" t="s">
        <v>1480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1653</v>
      </c>
      <c r="B1152" t="s">
        <v>1480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3.8356515442080004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4.3645617483533581</v>
      </c>
      <c r="T1152">
        <f>IF(ISBLANK(Mitigation_Industry!T729),"",Mitigation_Industry!T729)</f>
        <v>4.5566024652809061</v>
      </c>
      <c r="U1152">
        <f>IF(ISBLANK(Mitigation_Industry!U729),"",Mitigation_Industry!U729)</f>
        <v>4.7570929737532666</v>
      </c>
      <c r="V1152">
        <f>IF(ISBLANK(Mitigation_Industry!V729),"",Mitigation_Industry!V729)</f>
        <v>4.9664050645984101</v>
      </c>
      <c r="W1152">
        <f>IF(ISBLANK(Mitigation_Industry!W729),"",Mitigation_Industry!W729)</f>
        <v>5.1849268874407404</v>
      </c>
      <c r="X1152">
        <f>IF(ISBLANK(Mitigation_Industry!X729),"",Mitigation_Industry!X729)</f>
        <v>5.4130636704881336</v>
      </c>
      <c r="Y1152">
        <f>IF(ISBLANK(Mitigation_Industry!Y729),"",Mitigation_Industry!Y729)</f>
        <v>5.651238471989612</v>
      </c>
      <c r="Z1152">
        <f>IF(ISBLANK(Mitigation_Industry!Z729),"",Mitigation_Industry!Z729)</f>
        <v>5.8998929647571536</v>
      </c>
      <c r="AA1152">
        <f>IF(ISBLANK(Mitigation_Industry!AA729),"",Mitigation_Industry!AA729)</f>
        <v>6.159488255206468</v>
      </c>
      <c r="AB1152">
        <f>IF(ISBLANK(Mitigation_Industry!AB729),"",Mitigation_Industry!AB729)</f>
        <v>6.4305057384355537</v>
      </c>
      <c r="AC1152">
        <f>IF(ISBLANK(Mitigation_Industry!AC729),"",Mitigation_Industry!AC729)</f>
        <v>6.713447990926718</v>
      </c>
      <c r="AD1152">
        <f>IF(ISBLANK(Mitigation_Industry!AD729),"",Mitigation_Industry!AD729)</f>
        <v>7.0088397025274931</v>
      </c>
      <c r="AE1152">
        <f>IF(ISBLANK(Mitigation_Industry!AE729),"",Mitigation_Industry!AE729)</f>
        <v>7.3172286494387029</v>
      </c>
    </row>
    <row r="1153" spans="1:31" x14ac:dyDescent="0.45">
      <c r="A1153" t="s">
        <v>1653</v>
      </c>
      <c r="B1153" t="s">
        <v>1480</v>
      </c>
      <c r="C1153" t="s">
        <v>1350</v>
      </c>
      <c r="D1153">
        <v>2</v>
      </c>
      <c r="E1153" t="s">
        <v>1161</v>
      </c>
      <c r="F1153">
        <f>MAX(MAX(L1153:AE1153),-MIN(L1153:AE1153))</f>
        <v>3.5527136788005009E-15</v>
      </c>
      <c r="I1153" t="s">
        <v>1508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-4.4408920985006262E-16</v>
      </c>
      <c r="Q1153">
        <f t="shared" si="285"/>
        <v>0</v>
      </c>
      <c r="R1153">
        <f t="shared" si="285"/>
        <v>0</v>
      </c>
      <c r="S1153">
        <f t="shared" si="285"/>
        <v>-1.7763568394002505E-15</v>
      </c>
      <c r="T1153">
        <f t="shared" si="285"/>
        <v>-8.8817841970012523E-16</v>
      </c>
      <c r="U1153">
        <f t="shared" si="285"/>
        <v>-8.8817841970012523E-16</v>
      </c>
      <c r="V1153">
        <f t="shared" si="285"/>
        <v>-1.7763568394002505E-15</v>
      </c>
      <c r="W1153">
        <f t="shared" si="285"/>
        <v>-8.8817841970012523E-16</v>
      </c>
      <c r="X1153">
        <f t="shared" si="285"/>
        <v>-8.8817841970012523E-16</v>
      </c>
      <c r="Y1153">
        <f t="shared" si="285"/>
        <v>-8.8817841970012523E-16</v>
      </c>
      <c r="Z1153">
        <f t="shared" si="285"/>
        <v>-1.7763568394002505E-15</v>
      </c>
      <c r="AA1153">
        <f t="shared" si="285"/>
        <v>-2.6645352591003757E-15</v>
      </c>
      <c r="AB1153">
        <f t="shared" si="285"/>
        <v>-1.7763568394002505E-15</v>
      </c>
      <c r="AC1153">
        <f t="shared" si="285"/>
        <v>-2.6645352591003757E-15</v>
      </c>
      <c r="AD1153">
        <f t="shared" si="285"/>
        <v>-3.5527136788005009E-15</v>
      </c>
      <c r="AE1153">
        <f t="shared" si="285"/>
        <v>-2.6645352591003757E-15</v>
      </c>
    </row>
    <row r="1155" spans="1:31" x14ac:dyDescent="0.45">
      <c r="A1155" t="s">
        <v>1654</v>
      </c>
      <c r="B1155" t="s">
        <v>1480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1654</v>
      </c>
      <c r="B1156" t="s">
        <v>1480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0.76602969146880018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0.91001300310918554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0.99185593255681315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1.0810594877072428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1.2301302225606034</v>
      </c>
      <c r="AC1156">
        <f>IF(ISBLANK(Mitigation_Industry!AC730),"",Mitigation_Industry!AC730)</f>
        <v>1.2842559523532699</v>
      </c>
      <c r="AD1156">
        <f>IF(ISBLANK(Mitigation_Industry!AD730),"",Mitigation_Industry!AD730)</f>
        <v>1.3407632142568138</v>
      </c>
      <c r="AE1156">
        <f>IF(ISBLANK(Mitigation_Industry!AE730),"",Mitigation_Industry!AE730)</f>
        <v>1.3997567956841135</v>
      </c>
    </row>
    <row r="1157" spans="1:31" x14ac:dyDescent="0.45">
      <c r="A1157" t="s">
        <v>1654</v>
      </c>
      <c r="B1157" t="s">
        <v>1480</v>
      </c>
      <c r="C1157" t="s">
        <v>1357</v>
      </c>
      <c r="D1157">
        <v>2</v>
      </c>
      <c r="E1157" t="s">
        <v>1161</v>
      </c>
      <c r="F1157">
        <f>MAX(MAX(L1157:AE1157),-MIN(L1157:AE1157))</f>
        <v>2.2204460492503131E-16</v>
      </c>
      <c r="I1157" t="s">
        <v>1508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1.1102230246251565E-16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1.1102230246251565E-16</v>
      </c>
      <c r="V1157">
        <f t="shared" si="286"/>
        <v>0</v>
      </c>
      <c r="W1157">
        <f t="shared" si="286"/>
        <v>1.1102230246251565E-16</v>
      </c>
      <c r="X1157">
        <f t="shared" si="286"/>
        <v>0</v>
      </c>
      <c r="Y1157">
        <f t="shared" si="286"/>
        <v>2.2204460492503131E-16</v>
      </c>
      <c r="Z1157">
        <f t="shared" si="286"/>
        <v>0</v>
      </c>
      <c r="AA1157">
        <f t="shared" si="286"/>
        <v>0</v>
      </c>
      <c r="AB1157">
        <f t="shared" si="286"/>
        <v>2.2204460492503131E-16</v>
      </c>
      <c r="AC1157">
        <f t="shared" si="286"/>
        <v>2.2204460492503131E-16</v>
      </c>
      <c r="AD1157">
        <f t="shared" si="286"/>
        <v>2.2204460492503131E-16</v>
      </c>
      <c r="AE1157">
        <f t="shared" si="286"/>
        <v>0</v>
      </c>
    </row>
    <row r="1159" spans="1:31" x14ac:dyDescent="0.45">
      <c r="A1159" t="s">
        <v>1655</v>
      </c>
      <c r="B1159" t="s">
        <v>1480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1655</v>
      </c>
      <c r="B1160" t="s">
        <v>1480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1655</v>
      </c>
      <c r="B1161" t="s">
        <v>1480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1508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1656</v>
      </c>
      <c r="B1163" t="s">
        <v>1480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1656</v>
      </c>
      <c r="B1164" t="s">
        <v>1480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18.093263054517923</v>
      </c>
      <c r="V1164">
        <f>IF(ISBLANK(Mitigation_Industry!V732),"",Mitigation_Industry!V732)</f>
        <v>18.690340735317012</v>
      </c>
      <c r="W1164">
        <f>IF(ISBLANK(Mitigation_Industry!W732),"",Mitigation_Industry!W732)</f>
        <v>19.307121979582472</v>
      </c>
      <c r="X1164">
        <f>IF(ISBLANK(Mitigation_Industry!X732),"",Mitigation_Industry!X732)</f>
        <v>19.944257004908685</v>
      </c>
      <c r="Y1164">
        <f>IF(ISBLANK(Mitigation_Industry!Y732),"",Mitigation_Industry!Y732)</f>
        <v>20.602417486070678</v>
      </c>
      <c r="Z1164">
        <f>IF(ISBLANK(Mitigation_Industry!Z732),"",Mitigation_Industry!Z732)</f>
        <v>21.282297263111005</v>
      </c>
      <c r="AA1164">
        <f>IF(ISBLANK(Mitigation_Industry!AA732),"",Mitigation_Industry!AA732)</f>
        <v>21.984613072793667</v>
      </c>
      <c r="AB1164">
        <f>IF(ISBLANK(Mitigation_Industry!AB732),"",Mitigation_Industry!AB732)</f>
        <v>22.710105304195856</v>
      </c>
      <c r="AC1164">
        <f>IF(ISBLANK(Mitigation_Industry!AC732),"",Mitigation_Industry!AC732)</f>
        <v>23.459538779234315</v>
      </c>
      <c r="AD1164">
        <f>IF(ISBLANK(Mitigation_Industry!AD732),"",Mitigation_Industry!AD732)</f>
        <v>24.233703558949045</v>
      </c>
      <c r="AE1164">
        <f>IF(ISBLANK(Mitigation_Industry!AE732),"",Mitigation_Industry!AE732)</f>
        <v>25.03341577639436</v>
      </c>
    </row>
    <row r="1165" spans="1:31" x14ac:dyDescent="0.45">
      <c r="A1165" t="s">
        <v>1656</v>
      </c>
      <c r="B1165" t="s">
        <v>1480</v>
      </c>
      <c r="C1165" t="s">
        <v>1369</v>
      </c>
      <c r="D1165">
        <v>2</v>
      </c>
      <c r="E1165" t="s">
        <v>1161</v>
      </c>
      <c r="F1165">
        <f>MAX(MAX(L1165:AE1165),-MIN(L1165:AE1165))</f>
        <v>1.0658141036401503E-14</v>
      </c>
      <c r="I1165" t="s">
        <v>1508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0</v>
      </c>
      <c r="V1165">
        <f t="shared" si="288"/>
        <v>0</v>
      </c>
      <c r="W1165">
        <f t="shared" si="288"/>
        <v>0</v>
      </c>
      <c r="X1165">
        <f t="shared" si="288"/>
        <v>-7.1054273576010019E-15</v>
      </c>
      <c r="Y1165">
        <f t="shared" si="288"/>
        <v>0</v>
      </c>
      <c r="Z1165">
        <f t="shared" si="288"/>
        <v>-3.5527136788005009E-15</v>
      </c>
      <c r="AA1165">
        <f t="shared" si="288"/>
        <v>-3.5527136788005009E-15</v>
      </c>
      <c r="AB1165">
        <f t="shared" si="288"/>
        <v>-7.1054273576010019E-15</v>
      </c>
      <c r="AC1165">
        <f t="shared" si="288"/>
        <v>-7.1054273576010019E-15</v>
      </c>
      <c r="AD1165">
        <f t="shared" si="288"/>
        <v>-1.0658141036401503E-14</v>
      </c>
      <c r="AE1165">
        <f t="shared" si="288"/>
        <v>-1.0658141036401503E-14</v>
      </c>
    </row>
    <row r="1167" spans="1:31" x14ac:dyDescent="0.45">
      <c r="A1167" t="s">
        <v>1657</v>
      </c>
      <c r="B1167" t="s">
        <v>1480</v>
      </c>
      <c r="C1167" t="s">
        <v>1441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1657</v>
      </c>
      <c r="B1168" t="s">
        <v>1480</v>
      </c>
      <c r="C1168" t="s">
        <v>1441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3.5275055764326839</v>
      </c>
      <c r="R1168">
        <f>IF(ISBLANK(Mitigation_Industry!R733),"",Mitigation_Industry!R733)</f>
        <v>3.6051106991142032</v>
      </c>
      <c r="S1168">
        <f>IF(ISBLANK(Mitigation_Industry!S733),"",Mitigation_Industry!S733)</f>
        <v>3.6844231344947156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4.4815429480806639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1657</v>
      </c>
      <c r="B1169" t="s">
        <v>1480</v>
      </c>
      <c r="C1169" t="s">
        <v>1441</v>
      </c>
      <c r="D1169">
        <v>2</v>
      </c>
      <c r="E1169" t="s">
        <v>1161</v>
      </c>
      <c r="F1169">
        <f>MAX(MAX(L1169:AE1169),-MIN(L1169:AE1169))</f>
        <v>1.7763568394002505E-15</v>
      </c>
      <c r="I1169" t="s">
        <v>1508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0</v>
      </c>
      <c r="R1169">
        <f t="shared" si="289"/>
        <v>0</v>
      </c>
      <c r="S1169">
        <f t="shared" si="289"/>
        <v>0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-1.7763568394002505E-15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1658</v>
      </c>
      <c r="B1171" t="s">
        <v>1480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1658</v>
      </c>
      <c r="B1172" t="s">
        <v>1480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1658</v>
      </c>
      <c r="B1173" t="s">
        <v>1480</v>
      </c>
      <c r="C1173" t="s">
        <v>1383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1508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1659</v>
      </c>
      <c r="B1175" t="s">
        <v>1480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1659</v>
      </c>
      <c r="B1176" t="s">
        <v>1480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1659</v>
      </c>
      <c r="B1177" t="s">
        <v>1480</v>
      </c>
      <c r="C1177" t="s">
        <v>1390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1508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1660</v>
      </c>
      <c r="B1179" t="s">
        <v>1480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1660</v>
      </c>
      <c r="B1180" t="s">
        <v>1480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5.4954496349999986E-2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6.1165728299958734E-2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6.8078984741061555E-2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9.3870218401865227E-2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0.10447989983673604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1660</v>
      </c>
      <c r="B1181" t="s">
        <v>1480</v>
      </c>
      <c r="C1181" t="s">
        <v>1397</v>
      </c>
      <c r="D1181">
        <v>2</v>
      </c>
      <c r="E1181" t="s">
        <v>1161</v>
      </c>
      <c r="F1181">
        <f>MAX(MAX(L1181:AE1181),-MIN(L1181:AE1181))</f>
        <v>1.3877787807814457E-17</v>
      </c>
      <c r="I1181" t="s">
        <v>1508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-6.9388939039072284E-18</v>
      </c>
      <c r="R1181">
        <f t="shared" si="292"/>
        <v>0</v>
      </c>
      <c r="S1181">
        <f t="shared" si="292"/>
        <v>-6.9388939039072284E-18</v>
      </c>
      <c r="T1181">
        <f t="shared" si="292"/>
        <v>0</v>
      </c>
      <c r="U1181">
        <f t="shared" si="292"/>
        <v>-1.3877787807814457E-17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-1.3877787807814457E-17</v>
      </c>
      <c r="AB1181">
        <f t="shared" si="292"/>
        <v>0</v>
      </c>
      <c r="AC1181">
        <f t="shared" si="292"/>
        <v>-1.3877787807814457E-17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1661</v>
      </c>
      <c r="B1183" t="s">
        <v>1480</v>
      </c>
      <c r="C1183" t="s">
        <v>1485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1661</v>
      </c>
      <c r="B1184" t="s">
        <v>1480</v>
      </c>
      <c r="C1184" t="s">
        <v>1485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26.326124888867824</v>
      </c>
      <c r="T1184">
        <f>IF(ISBLANK(Mitigation_Industry!T737),"",Mitigation_Industry!T737)</f>
        <v>27.208219705139577</v>
      </c>
      <c r="U1184">
        <f>IF(ISBLANK(Mitigation_Industry!U737),"",Mitigation_Industry!U737)</f>
        <v>28.12101965134655</v>
      </c>
      <c r="V1184">
        <f>IF(ISBLANK(Mitigation_Industry!V737),"",Mitigation_Industry!V737)</f>
        <v>29.065630915263302</v>
      </c>
      <c r="W1184">
        <f>IF(ISBLANK(Mitigation_Industry!W737),"",Mitigation_Industry!W737)</f>
        <v>30.043200803417911</v>
      </c>
      <c r="X1184">
        <f>IF(ISBLANK(Mitigation_Industry!X737),"",Mitigation_Industry!X737)</f>
        <v>31.054919314104172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33.185785528135774</v>
      </c>
      <c r="AA1184">
        <f>IF(ISBLANK(Mitigation_Industry!AA737),"",Mitigation_Industry!AA737)</f>
        <v>34.307541724028297</v>
      </c>
      <c r="AB1184">
        <f>IF(ISBLANK(Mitigation_Industry!AB737),"",Mitigation_Industry!AB737)</f>
        <v>35.468667128962906</v>
      </c>
      <c r="AC1184">
        <f>IF(ISBLANK(Mitigation_Industry!AC737),"",Mitigation_Industry!AC737)</f>
        <v>36.670591046941816</v>
      </c>
      <c r="AD1184">
        <f>IF(ISBLANK(Mitigation_Industry!AD737),"",Mitigation_Industry!AD737)</f>
        <v>37.914796299992894</v>
      </c>
      <c r="AE1184">
        <f>IF(ISBLANK(Mitigation_Industry!AE737),"",Mitigation_Industry!AE737)</f>
        <v>39.202821289623245</v>
      </c>
    </row>
    <row r="1185" spans="1:31" x14ac:dyDescent="0.45">
      <c r="A1185" t="s">
        <v>1661</v>
      </c>
      <c r="B1185" t="s">
        <v>1480</v>
      </c>
      <c r="C1185" t="s">
        <v>1485</v>
      </c>
      <c r="D1185">
        <v>2</v>
      </c>
      <c r="E1185" t="s">
        <v>1161</v>
      </c>
      <c r="F1185">
        <f>MAX(MAX(L1185:AE1185),-MIN(L1185:AE1185))</f>
        <v>2.1316282072803006E-14</v>
      </c>
      <c r="I1185" t="s">
        <v>1508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0</v>
      </c>
      <c r="T1185">
        <f t="shared" si="293"/>
        <v>3.5527136788005009E-15</v>
      </c>
      <c r="U1185">
        <f t="shared" si="293"/>
        <v>0</v>
      </c>
      <c r="V1185">
        <f t="shared" si="293"/>
        <v>-3.5527136788005009E-15</v>
      </c>
      <c r="W1185">
        <f t="shared" si="293"/>
        <v>-7.1054273576010019E-15</v>
      </c>
      <c r="X1185">
        <f t="shared" si="293"/>
        <v>-7.1054273576010019E-15</v>
      </c>
      <c r="Y1185">
        <f t="shared" si="293"/>
        <v>0</v>
      </c>
      <c r="Z1185">
        <f t="shared" si="293"/>
        <v>0</v>
      </c>
      <c r="AA1185">
        <f t="shared" si="293"/>
        <v>-7.1054273576010019E-15</v>
      </c>
      <c r="AB1185">
        <f t="shared" si="293"/>
        <v>-2.1316282072803006E-14</v>
      </c>
      <c r="AC1185">
        <f t="shared" si="293"/>
        <v>-7.1054273576010019E-15</v>
      </c>
      <c r="AD1185">
        <f t="shared" si="293"/>
        <v>-1.4210854715202004E-14</v>
      </c>
      <c r="AE1185">
        <f t="shared" si="293"/>
        <v>-1.4210854715202004E-14</v>
      </c>
    </row>
    <row r="1187" spans="1:31" x14ac:dyDescent="0.45">
      <c r="A1187" t="s">
        <v>1662</v>
      </c>
      <c r="B1187" t="s">
        <v>1486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1662</v>
      </c>
      <c r="B1188" t="s">
        <v>1486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0.22234694400000002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0.24234393875558402</v>
      </c>
      <c r="S1188">
        <f>IF(ISBLANK(Mitigation_Industry!S740),"",Mitigation_Industry!S740)</f>
        <v>0.25300707206082967</v>
      </c>
      <c r="T1188">
        <f>IF(ISBLANK(Mitigation_Industry!T740),"",Mitigation_Industry!T740)</f>
        <v>0.26413938323150626</v>
      </c>
      <c r="U1188">
        <f>IF(ISBLANK(Mitigation_Industry!U740),"",Mitigation_Industry!U740)</f>
        <v>0.27576151609369254</v>
      </c>
      <c r="V1188">
        <f>IF(ISBLANK(Mitigation_Industry!V740),"",Mitigation_Industry!V740)</f>
        <v>0.287895022801815</v>
      </c>
      <c r="W1188">
        <f>IF(ISBLANK(Mitigation_Industry!W740),"",Mitigation_Industry!W740)</f>
        <v>0.30056240380509491</v>
      </c>
      <c r="X1188">
        <f>IF(ISBLANK(Mitigation_Industry!X740),"",Mitigation_Industry!X740)</f>
        <v>0.31378714957251908</v>
      </c>
      <c r="Y1188">
        <f>IF(ISBLANK(Mitigation_Industry!Y740),"",Mitigation_Industry!Y740)</f>
        <v>0.32759378415370993</v>
      </c>
      <c r="Z1188">
        <f>IF(ISBLANK(Mitigation_Industry!Z740),"",Mitigation_Industry!Z740)</f>
        <v>0.34200791065647307</v>
      </c>
      <c r="AA1188">
        <f>IF(ISBLANK(Mitigation_Industry!AA740),"",Mitigation_Industry!AA740)</f>
        <v>0.3570562587253579</v>
      </c>
      <c r="AB1188">
        <f>IF(ISBLANK(Mitigation_Industry!AB740),"",Mitigation_Industry!AB740)</f>
        <v>0.37276673410927375</v>
      </c>
      <c r="AC1188">
        <f>IF(ISBLANK(Mitigation_Industry!AC740),"",Mitigation_Industry!AC740)</f>
        <v>0.38916847041008179</v>
      </c>
      <c r="AD1188">
        <f>IF(ISBLANK(Mitigation_Industry!AD740),"",Mitigation_Industry!AD740)</f>
        <v>0.40629188310812531</v>
      </c>
      <c r="AE1188">
        <f>IF(ISBLANK(Mitigation_Industry!AE740),"",Mitigation_Industry!AE740)</f>
        <v>0.42416872596488286</v>
      </c>
    </row>
    <row r="1189" spans="1:31" x14ac:dyDescent="0.45">
      <c r="A1189" t="s">
        <v>1662</v>
      </c>
      <c r="B1189" t="s">
        <v>1486</v>
      </c>
      <c r="C1189" t="s">
        <v>1350</v>
      </c>
      <c r="D1189">
        <v>2</v>
      </c>
      <c r="E1189" t="s">
        <v>1161</v>
      </c>
      <c r="F1189">
        <f>MAX(MAX(L1189:AE1189),-MIN(L1189:AE1189))</f>
        <v>1.6653345369377348E-16</v>
      </c>
      <c r="I1189" t="s">
        <v>1508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-2.7755575615628914E-17</v>
      </c>
      <c r="Q1189">
        <f t="shared" si="294"/>
        <v>0</v>
      </c>
      <c r="R1189">
        <f t="shared" si="294"/>
        <v>-5.5511151231257827E-17</v>
      </c>
      <c r="S1189">
        <f t="shared" si="294"/>
        <v>-1.1102230246251565E-16</v>
      </c>
      <c r="T1189">
        <f t="shared" si="294"/>
        <v>-5.5511151231257827E-17</v>
      </c>
      <c r="U1189">
        <f t="shared" si="294"/>
        <v>-5.5511151231257827E-17</v>
      </c>
      <c r="V1189">
        <f t="shared" si="294"/>
        <v>-5.5511151231257827E-17</v>
      </c>
      <c r="W1189">
        <f t="shared" si="294"/>
        <v>-5.5511151231257827E-17</v>
      </c>
      <c r="X1189">
        <f t="shared" si="294"/>
        <v>-5.5511151231257827E-17</v>
      </c>
      <c r="Y1189">
        <f t="shared" si="294"/>
        <v>-5.5511151231257827E-17</v>
      </c>
      <c r="Z1189">
        <f t="shared" si="294"/>
        <v>-1.6653345369377348E-16</v>
      </c>
      <c r="AA1189">
        <f t="shared" si="294"/>
        <v>-1.6653345369377348E-16</v>
      </c>
      <c r="AB1189">
        <f t="shared" si="294"/>
        <v>-1.1102230246251565E-16</v>
      </c>
      <c r="AC1189">
        <f t="shared" si="294"/>
        <v>-5.5511151231257827E-17</v>
      </c>
      <c r="AD1189">
        <f t="shared" si="294"/>
        <v>-1.6653345369377348E-16</v>
      </c>
      <c r="AE1189">
        <f t="shared" si="294"/>
        <v>-1.1102230246251565E-16</v>
      </c>
    </row>
    <row r="1191" spans="1:31" x14ac:dyDescent="0.45">
      <c r="A1191" t="s">
        <v>1663</v>
      </c>
      <c r="B1191" t="s">
        <v>1486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1663</v>
      </c>
      <c r="B1192" t="s">
        <v>1486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8.1928309248E-2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9.732759391542091E-2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0.1060808484017982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0.11562133558366232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0.13156472968562602</v>
      </c>
      <c r="AC1192">
        <f>IF(ISBLANK(Mitigation_Industry!AC741),"",Mitigation_Industry!AC741)</f>
        <v>0.13735357779179355</v>
      </c>
      <c r="AD1192">
        <f>IF(ISBLANK(Mitigation_Industry!AD741),"",Mitigation_Industry!AD741)</f>
        <v>0.14339713521463246</v>
      </c>
      <c r="AE1192">
        <f>IF(ISBLANK(Mitigation_Industry!AE741),"",Mitigation_Industry!AE741)</f>
        <v>0.1497066091640763</v>
      </c>
    </row>
    <row r="1193" spans="1:31" x14ac:dyDescent="0.45">
      <c r="A1193" t="s">
        <v>1663</v>
      </c>
      <c r="B1193" t="s">
        <v>1486</v>
      </c>
      <c r="C1193" t="s">
        <v>1357</v>
      </c>
      <c r="D1193">
        <v>2</v>
      </c>
      <c r="E1193" t="s">
        <v>1161</v>
      </c>
      <c r="F1193">
        <f>MAX(MAX(L1193:AE1193),-MIN(L1193:AE1193))</f>
        <v>2.7755575615628914E-17</v>
      </c>
      <c r="I1193" t="s">
        <v>1508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1.3877787807814457E-17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1.3877787807814457E-17</v>
      </c>
      <c r="V1193">
        <f t="shared" si="295"/>
        <v>0</v>
      </c>
      <c r="W1193">
        <f t="shared" si="295"/>
        <v>1.3877787807814457E-17</v>
      </c>
      <c r="X1193">
        <f t="shared" si="295"/>
        <v>0</v>
      </c>
      <c r="Y1193">
        <f t="shared" si="295"/>
        <v>1.3877787807814457E-17</v>
      </c>
      <c r="Z1193">
        <f t="shared" si="295"/>
        <v>0</v>
      </c>
      <c r="AA1193">
        <f t="shared" si="295"/>
        <v>0</v>
      </c>
      <c r="AB1193">
        <f t="shared" si="295"/>
        <v>2.7755575615628914E-17</v>
      </c>
      <c r="AC1193">
        <f t="shared" si="295"/>
        <v>2.7755575615628914E-17</v>
      </c>
      <c r="AD1193">
        <f t="shared" si="295"/>
        <v>2.7755575615628914E-17</v>
      </c>
      <c r="AE1193">
        <f t="shared" si="295"/>
        <v>0</v>
      </c>
    </row>
    <row r="1195" spans="1:31" x14ac:dyDescent="0.45">
      <c r="A1195" t="s">
        <v>1664</v>
      </c>
      <c r="B1195" t="s">
        <v>1486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1664</v>
      </c>
      <c r="B1196" t="s">
        <v>1486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1664</v>
      </c>
      <c r="B1197" t="s">
        <v>1486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1508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1665</v>
      </c>
      <c r="B1199" t="s">
        <v>1486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1665</v>
      </c>
      <c r="B1200" t="s">
        <v>1486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31.956387417365107</v>
      </c>
      <c r="U1200">
        <f>IF(ISBLANK(Mitigation_Industry!U743),"",Mitigation_Industry!U743)</f>
        <v>33.010948202138145</v>
      </c>
      <c r="V1200">
        <f>IF(ISBLANK(Mitigation_Industry!V743),"",Mitigation_Industry!V743)</f>
        <v>34.100309492808698</v>
      </c>
      <c r="W1200">
        <f>IF(ISBLANK(Mitigation_Industry!W743),"",Mitigation_Industry!W743)</f>
        <v>35.225619706071392</v>
      </c>
      <c r="X1200">
        <f>IF(ISBLANK(Mitigation_Industry!X743),"",Mitigation_Industry!X743)</f>
        <v>36.388065156371731</v>
      </c>
      <c r="Y1200">
        <f>IF(ISBLANK(Mitigation_Industry!Y743),"",Mitigation_Industry!Y743)</f>
        <v>37.588871306532006</v>
      </c>
      <c r="Z1200">
        <f>IF(ISBLANK(Mitigation_Industry!Z743),"",Mitigation_Industry!Z743)</f>
        <v>38.829304059647555</v>
      </c>
      <c r="AA1200">
        <f>IF(ISBLANK(Mitigation_Industry!AA743),"",Mitigation_Industry!AA743)</f>
        <v>40.11067109361592</v>
      </c>
      <c r="AB1200">
        <f>IF(ISBLANK(Mitigation_Industry!AB743),"",Mitigation_Industry!AB743)</f>
        <v>41.434323239705236</v>
      </c>
      <c r="AC1200">
        <f>IF(ISBLANK(Mitigation_Industry!AC743),"",Mitigation_Industry!AC743)</f>
        <v>42.801655906615501</v>
      </c>
      <c r="AD1200">
        <f>IF(ISBLANK(Mitigation_Industry!AD743),"",Mitigation_Industry!AD743)</f>
        <v>44.214110551533814</v>
      </c>
      <c r="AE1200">
        <f>IF(ISBLANK(Mitigation_Industry!AE743),"",Mitigation_Industry!AE743)</f>
        <v>45.673176199734421</v>
      </c>
    </row>
    <row r="1201" spans="1:31" x14ac:dyDescent="0.45">
      <c r="A1201" t="s">
        <v>1665</v>
      </c>
      <c r="B1201" t="s">
        <v>1486</v>
      </c>
      <c r="C1201" t="s">
        <v>1369</v>
      </c>
      <c r="D1201">
        <v>2</v>
      </c>
      <c r="E1201" t="s">
        <v>1161</v>
      </c>
      <c r="F1201">
        <f>MAX(MAX(L1201:AE1201),-MIN(L1201:AE1201))</f>
        <v>2.8421709430404007E-14</v>
      </c>
      <c r="I1201" t="s">
        <v>1508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-3.5527136788005009E-15</v>
      </c>
      <c r="U1201">
        <f t="shared" si="297"/>
        <v>-7.1054273576010019E-15</v>
      </c>
      <c r="V1201">
        <f t="shared" si="297"/>
        <v>-7.1054273576010019E-15</v>
      </c>
      <c r="W1201">
        <f t="shared" si="297"/>
        <v>-7.1054273576010019E-15</v>
      </c>
      <c r="X1201">
        <f t="shared" si="297"/>
        <v>-1.4210854715202004E-14</v>
      </c>
      <c r="Y1201">
        <f t="shared" si="297"/>
        <v>-7.1054273576010019E-15</v>
      </c>
      <c r="Z1201">
        <f t="shared" si="297"/>
        <v>-1.4210854715202004E-14</v>
      </c>
      <c r="AA1201">
        <f t="shared" si="297"/>
        <v>-1.4210854715202004E-14</v>
      </c>
      <c r="AB1201">
        <f t="shared" si="297"/>
        <v>-2.1316282072803006E-14</v>
      </c>
      <c r="AC1201">
        <f t="shared" si="297"/>
        <v>-2.1316282072803006E-14</v>
      </c>
      <c r="AD1201">
        <f t="shared" si="297"/>
        <v>-2.1316282072803006E-14</v>
      </c>
      <c r="AE1201">
        <f t="shared" si="297"/>
        <v>-2.8421709430404007E-14</v>
      </c>
    </row>
    <row r="1203" spans="1:31" x14ac:dyDescent="0.45">
      <c r="A1203" t="s">
        <v>1666</v>
      </c>
      <c r="B1203" t="s">
        <v>1486</v>
      </c>
      <c r="C1203" t="s">
        <v>1441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1666</v>
      </c>
      <c r="B1204" t="s">
        <v>1486</v>
      </c>
      <c r="C1204" t="s">
        <v>1441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1666</v>
      </c>
      <c r="B1205" t="s">
        <v>1486</v>
      </c>
      <c r="C1205" t="s">
        <v>1441</v>
      </c>
      <c r="D1205">
        <v>2</v>
      </c>
      <c r="E1205" t="s">
        <v>1161</v>
      </c>
      <c r="F1205">
        <f>MAX(MAX(L1205:AE1205),-MIN(L1205:AE1205))</f>
        <v>0</v>
      </c>
      <c r="I1205" t="s">
        <v>1508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1667</v>
      </c>
      <c r="B1207" t="s">
        <v>1486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1667</v>
      </c>
      <c r="B1208" t="s">
        <v>1486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1667</v>
      </c>
      <c r="B1209" t="s">
        <v>1486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1508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1668</v>
      </c>
      <c r="B1211" t="s">
        <v>1486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1668</v>
      </c>
      <c r="B1212" t="s">
        <v>1486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0.60788968799999998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0.66317532583734995</v>
      </c>
      <c r="U1212">
        <f>IF(ISBLANK(Mitigation_Industry!U746),"",Mitigation_Industry!U746)</f>
        <v>0.67776518300577171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0.70791488940660041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0.78928804689836307</v>
      </c>
      <c r="AC1212">
        <f>IF(ISBLANK(Mitigation_Industry!AC746),"",Mitigation_Industry!AC746)</f>
        <v>0.80665238393012706</v>
      </c>
      <c r="AD1212">
        <f>IF(ISBLANK(Mitigation_Industry!AD746),"",Mitigation_Industry!AD746)</f>
        <v>0.82439873637658989</v>
      </c>
      <c r="AE1212">
        <f>IF(ISBLANK(Mitigation_Industry!AE746),"",Mitigation_Industry!AE746)</f>
        <v>0.84253550857687487</v>
      </c>
    </row>
    <row r="1213" spans="1:31" x14ac:dyDescent="0.45">
      <c r="A1213" t="s">
        <v>1668</v>
      </c>
      <c r="B1213" t="s">
        <v>1486</v>
      </c>
      <c r="C1213" t="s">
        <v>1390</v>
      </c>
      <c r="D1213">
        <v>2</v>
      </c>
      <c r="E1213" t="s">
        <v>1161</v>
      </c>
      <c r="F1213">
        <f>MAX(MAX(L1213:AE1213),-MIN(L1213:AE1213))</f>
        <v>1.1102230246251565E-16</v>
      </c>
      <c r="I1213" t="s">
        <v>1508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-1.1102230246251565E-16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-1.1102230246251565E-16</v>
      </c>
      <c r="U1213">
        <f t="shared" si="300"/>
        <v>-1.1102230246251565E-16</v>
      </c>
      <c r="V1213">
        <f t="shared" si="300"/>
        <v>0</v>
      </c>
      <c r="W1213">
        <f t="shared" si="300"/>
        <v>-1.1102230246251565E-16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-1.1102230246251565E-16</v>
      </c>
      <c r="AC1213">
        <f t="shared" si="300"/>
        <v>-1.1102230246251565E-16</v>
      </c>
      <c r="AD1213">
        <f t="shared" si="300"/>
        <v>-1.1102230246251565E-16</v>
      </c>
      <c r="AE1213">
        <f t="shared" si="300"/>
        <v>-1.1102230246251565E-16</v>
      </c>
    </row>
    <row r="1215" spans="1:31" x14ac:dyDescent="0.45">
      <c r="A1215" t="s">
        <v>1669</v>
      </c>
      <c r="B1215" t="s">
        <v>1486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1669</v>
      </c>
      <c r="B1216" t="s">
        <v>1486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0.82784016937499982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0.92140680451860923</v>
      </c>
      <c r="T1216">
        <f>IF(ISBLANK(Mitigation_Industry!T747),"",Mitigation_Industry!T747)</f>
        <v>0.97208417876713271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1.4140705977204056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1.5738959270277544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1669</v>
      </c>
      <c r="B1217" t="s">
        <v>1486</v>
      </c>
      <c r="C1217" t="s">
        <v>1397</v>
      </c>
      <c r="D1217">
        <v>2</v>
      </c>
      <c r="E1217" t="s">
        <v>1161</v>
      </c>
      <c r="F1217">
        <f>MAX(MAX(L1217:AE1217),-MIN(L1217:AE1217))</f>
        <v>6.6613381477509392E-16</v>
      </c>
      <c r="I1217" t="s">
        <v>1508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-1.1102230246251565E-16</v>
      </c>
      <c r="R1217">
        <f t="shared" si="301"/>
        <v>0</v>
      </c>
      <c r="S1217">
        <f t="shared" si="301"/>
        <v>-1.1102230246251565E-16</v>
      </c>
      <c r="T1217">
        <f t="shared" si="301"/>
        <v>-1.1102230246251565E-16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-6.6613381477509392E-16</v>
      </c>
      <c r="AB1217">
        <f t="shared" si="301"/>
        <v>0</v>
      </c>
      <c r="AC1217">
        <f t="shared" si="301"/>
        <v>-2.2204460492503131E-16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1670</v>
      </c>
      <c r="B1219" t="s">
        <v>1486</v>
      </c>
      <c r="C1219" t="s">
        <v>1485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1670</v>
      </c>
      <c r="B1220" t="s">
        <v>1486</v>
      </c>
      <c r="C1220" t="s">
        <v>1485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35.087351303752357</v>
      </c>
      <c r="V1220">
        <f>IF(ISBLANK(Mitigation_Industry!V748),"",Mitigation_Industry!V748)</f>
        <v>36.264444533762401</v>
      </c>
      <c r="W1220">
        <f>IF(ISBLANK(Mitigation_Industry!W748),"",Mitigation_Industry!W748)</f>
        <v>37.481639310376146</v>
      </c>
      <c r="X1220">
        <f>IF(ISBLANK(Mitigation_Industry!X748),"",Mitigation_Industry!X748)</f>
        <v>38.740331571788559</v>
      </c>
      <c r="Y1220">
        <f>IF(ISBLANK(Mitigation_Industry!Y748),"",Mitigation_Industry!Y748)</f>
        <v>40.041967346128288</v>
      </c>
      <c r="Z1220">
        <f>IF(ISBLANK(Mitigation_Industry!Z748),"",Mitigation_Industry!Z748)</f>
        <v>41.388044624518066</v>
      </c>
      <c r="AA1220">
        <f>IF(ISBLANK(Mitigation_Industry!AA748),"",Mitigation_Industry!AA748)</f>
        <v>42.780115307939894</v>
      </c>
      <c r="AB1220">
        <f>IF(ISBLANK(Mitigation_Industry!AB748),"",Mitigation_Industry!AB748)</f>
        <v>44.219787230993525</v>
      </c>
      <c r="AC1220">
        <f>IF(ISBLANK(Mitigation_Industry!AC748),"",Mitigation_Industry!AC748)</f>
        <v>45.708726265775262</v>
      </c>
      <c r="AD1220">
        <f>IF(ISBLANK(Mitigation_Industry!AD748),"",Mitigation_Industry!AD748)</f>
        <v>47.248658509247441</v>
      </c>
      <c r="AE1220">
        <f>IF(ISBLANK(Mitigation_Industry!AE748),"",Mitigation_Industry!AE748)</f>
        <v>48.841372557620318</v>
      </c>
    </row>
    <row r="1221" spans="1:31" x14ac:dyDescent="0.45">
      <c r="A1221" t="s">
        <v>1670</v>
      </c>
      <c r="B1221" t="s">
        <v>1486</v>
      </c>
      <c r="C1221" t="s">
        <v>1485</v>
      </c>
      <c r="D1221">
        <v>2</v>
      </c>
      <c r="E1221" t="s">
        <v>1161</v>
      </c>
      <c r="F1221">
        <f>MAX(MAX(L1221:AE1221),-MIN(L1221:AE1221))</f>
        <v>2.8421709430404007E-14</v>
      </c>
      <c r="I1221" t="s">
        <v>1508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-7.1054273576010019E-15</v>
      </c>
      <c r="V1221">
        <f t="shared" si="302"/>
        <v>-7.1054273576010019E-15</v>
      </c>
      <c r="W1221">
        <f t="shared" si="302"/>
        <v>-7.1054273576010019E-15</v>
      </c>
      <c r="X1221">
        <f t="shared" si="302"/>
        <v>-1.4210854715202004E-14</v>
      </c>
      <c r="Y1221">
        <f t="shared" si="302"/>
        <v>-7.1054273576010019E-15</v>
      </c>
      <c r="Z1221">
        <f t="shared" si="302"/>
        <v>-1.4210854715202004E-14</v>
      </c>
      <c r="AA1221">
        <f t="shared" si="302"/>
        <v>-1.4210854715202004E-14</v>
      </c>
      <c r="AB1221">
        <f t="shared" si="302"/>
        <v>-2.1316282072803006E-14</v>
      </c>
      <c r="AC1221">
        <f t="shared" si="302"/>
        <v>-2.1316282072803006E-14</v>
      </c>
      <c r="AD1221">
        <f t="shared" si="302"/>
        <v>-2.1316282072803006E-14</v>
      </c>
      <c r="AE1221">
        <f t="shared" si="302"/>
        <v>-2.8421709430404007E-14</v>
      </c>
    </row>
    <row r="1223" spans="1:31" x14ac:dyDescent="0.45">
      <c r="A1223" t="s">
        <v>1671</v>
      </c>
      <c r="B1223" t="s">
        <v>1487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1671</v>
      </c>
      <c r="B1224" t="s">
        <v>1487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1671</v>
      </c>
      <c r="B1225" t="s">
        <v>1487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1508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1672</v>
      </c>
      <c r="B1227" t="s">
        <v>1487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1672</v>
      </c>
      <c r="B1228" t="s">
        <v>1487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1672</v>
      </c>
      <c r="B1229" t="s">
        <v>1487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1508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1673</v>
      </c>
      <c r="B1231" t="s">
        <v>1487</v>
      </c>
      <c r="C1231" t="s">
        <v>1407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1673</v>
      </c>
      <c r="B1232" t="s">
        <v>1487</v>
      </c>
      <c r="C1232" t="s">
        <v>1407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1673</v>
      </c>
      <c r="B1233" t="s">
        <v>1487</v>
      </c>
      <c r="C1233" t="s">
        <v>1407</v>
      </c>
      <c r="D1233">
        <v>2</v>
      </c>
      <c r="E1233" t="s">
        <v>1161</v>
      </c>
      <c r="F1233">
        <f>MAX(MAX(L1233:AE1233),-MIN(L1233:AE1233))</f>
        <v>0</v>
      </c>
      <c r="I1233" t="s">
        <v>1508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1674</v>
      </c>
      <c r="B1235" t="s">
        <v>1487</v>
      </c>
      <c r="C1235" t="s">
        <v>1408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1674</v>
      </c>
      <c r="B1236" t="s">
        <v>1487</v>
      </c>
      <c r="C1236" t="s">
        <v>1408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1674</v>
      </c>
      <c r="B1237" t="s">
        <v>1487</v>
      </c>
      <c r="C1237" t="s">
        <v>1408</v>
      </c>
      <c r="D1237">
        <v>2</v>
      </c>
      <c r="E1237" t="s">
        <v>1161</v>
      </c>
      <c r="F1237">
        <f>MAX(MAX(L1237:AE1237),-MIN(L1237:AE1237))</f>
        <v>0</v>
      </c>
      <c r="I1237" t="s">
        <v>1508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1675</v>
      </c>
      <c r="B1239" t="s">
        <v>1487</v>
      </c>
      <c r="C1239" t="s">
        <v>1409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1675</v>
      </c>
      <c r="B1240" t="s">
        <v>1487</v>
      </c>
      <c r="C1240" t="s">
        <v>1409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1675</v>
      </c>
      <c r="B1241" t="s">
        <v>1487</v>
      </c>
      <c r="C1241" t="s">
        <v>1409</v>
      </c>
      <c r="D1241">
        <v>2</v>
      </c>
      <c r="E1241" t="s">
        <v>1161</v>
      </c>
      <c r="F1241">
        <f>MAX(MAX(L1241:AE1241),-MIN(L1241:AE1241))</f>
        <v>0</v>
      </c>
      <c r="I1241" t="s">
        <v>1508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1676</v>
      </c>
      <c r="B1243" t="s">
        <v>1487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1676</v>
      </c>
      <c r="B1244" t="s">
        <v>1487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1676</v>
      </c>
      <c r="B1245" t="s">
        <v>1487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1508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1677</v>
      </c>
      <c r="B1247" t="s">
        <v>1487</v>
      </c>
      <c r="C1247" t="s">
        <v>1410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1677</v>
      </c>
      <c r="B1248" t="s">
        <v>1487</v>
      </c>
      <c r="C1248" t="s">
        <v>1410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1677</v>
      </c>
      <c r="B1249" t="s">
        <v>1487</v>
      </c>
      <c r="C1249" t="s">
        <v>1410</v>
      </c>
      <c r="D1249">
        <v>2</v>
      </c>
      <c r="E1249" t="s">
        <v>1161</v>
      </c>
      <c r="F1249">
        <f>MAX(MAX(L1249:AE1249),-MIN(L1249:AE1249))</f>
        <v>0</v>
      </c>
      <c r="I1249" t="s">
        <v>1508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1678</v>
      </c>
      <c r="B1251" t="s">
        <v>1487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1678</v>
      </c>
      <c r="B1252" t="s">
        <v>1487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1678</v>
      </c>
      <c r="B1253" t="s">
        <v>1487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1508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1679</v>
      </c>
      <c r="B1255" t="s">
        <v>1487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1679</v>
      </c>
      <c r="B1256" t="s">
        <v>1487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1679</v>
      </c>
      <c r="B1257" t="s">
        <v>1487</v>
      </c>
      <c r="D1257">
        <v>2</v>
      </c>
      <c r="E1257" t="s">
        <v>1161</v>
      </c>
      <c r="F1257">
        <f>MAX(MAX(L1257:AE1257),-MIN(L1257:AE1257))</f>
        <v>0</v>
      </c>
      <c r="I1257" t="s">
        <v>1508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1680</v>
      </c>
      <c r="B1259" t="s">
        <v>1490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1680</v>
      </c>
      <c r="B1260" t="s">
        <v>1490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1680</v>
      </c>
      <c r="B1261" t="s">
        <v>1490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1508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1681</v>
      </c>
      <c r="B1263" t="s">
        <v>1490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1681</v>
      </c>
      <c r="B1264" t="s">
        <v>1490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1681</v>
      </c>
      <c r="B1265" t="s">
        <v>1490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1508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1682</v>
      </c>
      <c r="B1267" t="s">
        <v>1490</v>
      </c>
      <c r="C1267" t="s">
        <v>1407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1682</v>
      </c>
      <c r="B1268" t="s">
        <v>1490</v>
      </c>
      <c r="C1268" t="s">
        <v>1407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1682</v>
      </c>
      <c r="B1269" t="s">
        <v>1490</v>
      </c>
      <c r="C1269" t="s">
        <v>1407</v>
      </c>
      <c r="D1269">
        <v>2</v>
      </c>
      <c r="E1269" t="s">
        <v>1161</v>
      </c>
      <c r="F1269">
        <f>MAX(MAX(L1269:AE1269),-MIN(L1269:AE1269))</f>
        <v>0</v>
      </c>
      <c r="I1269" t="s">
        <v>1508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1683</v>
      </c>
      <c r="B1271" t="s">
        <v>1490</v>
      </c>
      <c r="C1271" t="s">
        <v>1408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1683</v>
      </c>
      <c r="B1272" t="s">
        <v>1490</v>
      </c>
      <c r="C1272" t="s">
        <v>1408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1683</v>
      </c>
      <c r="B1273" t="s">
        <v>1490</v>
      </c>
      <c r="C1273" t="s">
        <v>1408</v>
      </c>
      <c r="D1273">
        <v>2</v>
      </c>
      <c r="E1273" t="s">
        <v>1161</v>
      </c>
      <c r="F1273">
        <f>MAX(MAX(L1273:AE1273),-MIN(L1273:AE1273))</f>
        <v>0</v>
      </c>
      <c r="I1273" t="s">
        <v>1508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1684</v>
      </c>
      <c r="B1275" t="s">
        <v>1490</v>
      </c>
      <c r="C1275" t="s">
        <v>1409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1684</v>
      </c>
      <c r="B1276" t="s">
        <v>1490</v>
      </c>
      <c r="C1276" t="s">
        <v>1409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1684</v>
      </c>
      <c r="B1277" t="s">
        <v>1490</v>
      </c>
      <c r="C1277" t="s">
        <v>1409</v>
      </c>
      <c r="D1277">
        <v>2</v>
      </c>
      <c r="E1277" t="s">
        <v>1161</v>
      </c>
      <c r="F1277">
        <f>MAX(MAX(L1277:AE1277),-MIN(L1277:AE1277))</f>
        <v>0</v>
      </c>
      <c r="I1277" t="s">
        <v>1508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1685</v>
      </c>
      <c r="B1279" t="s">
        <v>1490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1685</v>
      </c>
      <c r="B1280" t="s">
        <v>1490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1685</v>
      </c>
      <c r="B1281" t="s">
        <v>1490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1508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1686</v>
      </c>
      <c r="B1283" t="s">
        <v>1490</v>
      </c>
      <c r="C1283" t="s">
        <v>1410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1686</v>
      </c>
      <c r="B1284" t="s">
        <v>1490</v>
      </c>
      <c r="C1284" t="s">
        <v>1410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1686</v>
      </c>
      <c r="B1285" t="s">
        <v>1490</v>
      </c>
      <c r="C1285" t="s">
        <v>1410</v>
      </c>
      <c r="D1285">
        <v>2</v>
      </c>
      <c r="E1285" t="s">
        <v>1161</v>
      </c>
      <c r="F1285">
        <f>MAX(MAX(L1285:AE1285),-MIN(L1285:AE1285))</f>
        <v>0</v>
      </c>
      <c r="I1285" t="s">
        <v>1508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1687</v>
      </c>
      <c r="B1287" t="s">
        <v>1490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1687</v>
      </c>
      <c r="B1288" t="s">
        <v>1490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1687</v>
      </c>
      <c r="B1289" t="s">
        <v>1490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1508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1688</v>
      </c>
      <c r="B1291" t="s">
        <v>1490</v>
      </c>
      <c r="C1291" t="s">
        <v>1491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1688</v>
      </c>
      <c r="B1292" t="s">
        <v>1490</v>
      </c>
      <c r="C1292" t="s">
        <v>1491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1688</v>
      </c>
      <c r="B1293" t="s">
        <v>1490</v>
      </c>
      <c r="C1293" t="s">
        <v>1491</v>
      </c>
      <c r="D1293">
        <v>2</v>
      </c>
      <c r="E1293" t="s">
        <v>1161</v>
      </c>
      <c r="F1293">
        <f>MAX(MAX(L1293:AE1293),-MIN(L1293:AE1293))</f>
        <v>0</v>
      </c>
      <c r="I1293" t="s">
        <v>1508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1689</v>
      </c>
      <c r="B1295" t="s">
        <v>1492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1689</v>
      </c>
      <c r="B1296" t="s">
        <v>1492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3.9347212273917243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4.1097533664710175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4.387008211200067</v>
      </c>
      <c r="W1296">
        <f>IF(ISBLANK(Mitigation_Industry!W773),"",Mitigation_Industry!W773)</f>
        <v>4.4835223918464679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4.8912845238326144</v>
      </c>
      <c r="AB1296">
        <f>IF(ISBLANK(Mitigation_Industry!AB773),"",Mitigation_Industry!AB773)</f>
        <v>4.998892783356931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1689</v>
      </c>
      <c r="B1297" t="s">
        <v>1492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1587</v>
      </c>
      <c r="J1297" t="s">
        <v>1588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3.3134579662557244</v>
      </c>
      <c r="R1297">
        <f t="shared" si="321"/>
        <v>3.38635404151335</v>
      </c>
      <c r="S1297">
        <f t="shared" si="321"/>
        <v>3.4608538304266436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3.6943321941681679</v>
      </c>
      <c r="W1297">
        <f t="shared" si="321"/>
        <v>3.7756075024398674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4.1189870219751157</v>
      </c>
      <c r="AB1297">
        <f t="shared" si="321"/>
        <v>4.2096047364585676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1690</v>
      </c>
      <c r="B1299" t="s">
        <v>1492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1690</v>
      </c>
      <c r="B1300" t="s">
        <v>1492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5.1994850861540964</v>
      </c>
      <c r="T1300">
        <f>IF(ISBLANK(Mitigation_Industry!T774),"",Mitigation_Industry!T774)</f>
        <v>5.4282624299448763</v>
      </c>
      <c r="U1300">
        <f>IF(ISBLANK(Mitigation_Industry!U774),"",Mitigation_Industry!U774)</f>
        <v>5.6671059768624517</v>
      </c>
      <c r="V1300">
        <f>IF(ISBLANK(Mitigation_Industry!V774),"",Mitigation_Industry!V774)</f>
        <v>5.9164586398444001</v>
      </c>
      <c r="W1300">
        <f>IF(ISBLANK(Mitigation_Industry!W774),"",Mitigation_Industry!W774)</f>
        <v>6.1767828199975536</v>
      </c>
      <c r="X1300">
        <f>IF(ISBLANK(Mitigation_Industry!X774),"",Mitigation_Industry!X774)</f>
        <v>6.4485612640774468</v>
      </c>
      <c r="Y1300">
        <f>IF(ISBLANK(Mitigation_Industry!Y774),"",Mitigation_Industry!Y774)</f>
        <v>6.7322979596968544</v>
      </c>
      <c r="Z1300">
        <f>IF(ISBLANK(Mitigation_Industry!Z774),"",Mitigation_Industry!Z774)</f>
        <v>7.0285190699235152</v>
      </c>
      <c r="AA1300">
        <f>IF(ISBLANK(Mitigation_Industry!AA774),"",Mitigation_Industry!AA774)</f>
        <v>7.3377739090001493</v>
      </c>
      <c r="AB1300">
        <f>IF(ISBLANK(Mitigation_Industry!AB774),"",Mitigation_Industry!AB774)</f>
        <v>7.6606359609961574</v>
      </c>
      <c r="AC1300">
        <f>IF(ISBLANK(Mitigation_Industry!AC774),"",Mitigation_Industry!AC774)</f>
        <v>7.9977039432799879</v>
      </c>
      <c r="AD1300">
        <f>IF(ISBLANK(Mitigation_Industry!AD774),"",Mitigation_Industry!AD774)</f>
        <v>8.3496029167843062</v>
      </c>
      <c r="AE1300">
        <f>IF(ISBLANK(Mitigation_Industry!AE774),"",Mitigation_Industry!AE774)</f>
        <v>8.7169854451228161</v>
      </c>
    </row>
    <row r="1301" spans="1:31" x14ac:dyDescent="0.45">
      <c r="A1301" t="s">
        <v>1690</v>
      </c>
      <c r="B1301" t="s">
        <v>1492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8.1431101099938576</v>
      </c>
      <c r="I1301" t="s">
        <v>1587</v>
      </c>
      <c r="J1301" t="s">
        <v>1588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4.8571814004247384</v>
      </c>
      <c r="T1301">
        <f t="shared" si="322"/>
        <v>5.0708973820434267</v>
      </c>
      <c r="U1301">
        <f t="shared" si="322"/>
        <v>5.2940168668533385</v>
      </c>
      <c r="V1301">
        <f t="shared" si="322"/>
        <v>5.5269536089948854</v>
      </c>
      <c r="W1301">
        <f t="shared" si="322"/>
        <v>5.7701395677906602</v>
      </c>
      <c r="X1301">
        <f t="shared" si="322"/>
        <v>6.0240257087734506</v>
      </c>
      <c r="Y1301">
        <f t="shared" si="322"/>
        <v>6.289082839959482</v>
      </c>
      <c r="Z1301">
        <f t="shared" si="322"/>
        <v>6.5658024849176986</v>
      </c>
      <c r="AA1301">
        <f t="shared" si="322"/>
        <v>6.8546977942540765</v>
      </c>
      <c r="AB1301">
        <f t="shared" si="322"/>
        <v>7.1563044972012575</v>
      </c>
      <c r="AC1301">
        <f t="shared" si="322"/>
        <v>7.4711818950781126</v>
      </c>
      <c r="AD1301">
        <f t="shared" si="322"/>
        <v>7.7999138984615488</v>
      </c>
      <c r="AE1301">
        <f t="shared" si="322"/>
        <v>8.1431101099938576</v>
      </c>
    </row>
    <row r="1303" spans="1:31" x14ac:dyDescent="0.45">
      <c r="A1303" t="s">
        <v>1691</v>
      </c>
      <c r="B1303" t="s">
        <v>1492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1691</v>
      </c>
      <c r="B1304" t="s">
        <v>1492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5.4954496349999986E-2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6.1165728299958734E-2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6.8078984741061555E-2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9.3870218401865227E-2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0.10447989983673604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1691</v>
      </c>
      <c r="B1305" t="s">
        <v>1492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1587</v>
      </c>
      <c r="J1305" t="s">
        <v>1588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1692</v>
      </c>
      <c r="B1307" t="s">
        <v>1492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1692</v>
      </c>
      <c r="B1308" t="s">
        <v>1492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1692</v>
      </c>
      <c r="B1309" t="s">
        <v>1492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1587</v>
      </c>
      <c r="J1309" t="s">
        <v>1588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1693</v>
      </c>
      <c r="B1311" t="s">
        <v>1492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1693</v>
      </c>
      <c r="B1312" t="s">
        <v>1492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18.093263054517923</v>
      </c>
      <c r="V1312">
        <f>IF(ISBLANK(Mitigation_Industry!V777),"",Mitigation_Industry!V777)</f>
        <v>18.690340735317012</v>
      </c>
      <c r="W1312">
        <f>IF(ISBLANK(Mitigation_Industry!W777),"",Mitigation_Industry!W777)</f>
        <v>19.307121979582472</v>
      </c>
      <c r="X1312">
        <f>IF(ISBLANK(Mitigation_Industry!X777),"",Mitigation_Industry!X777)</f>
        <v>19.944257004908685</v>
      </c>
      <c r="Y1312">
        <f>IF(ISBLANK(Mitigation_Industry!Y777),"",Mitigation_Industry!Y777)</f>
        <v>20.602417486070678</v>
      </c>
      <c r="Z1312">
        <f>IF(ISBLANK(Mitigation_Industry!Z777),"",Mitigation_Industry!Z777)</f>
        <v>21.282297263111005</v>
      </c>
      <c r="AA1312">
        <f>IF(ISBLANK(Mitigation_Industry!AA777),"",Mitigation_Industry!AA777)</f>
        <v>21.984613072793667</v>
      </c>
      <c r="AB1312">
        <f>IF(ISBLANK(Mitigation_Industry!AB777),"",Mitigation_Industry!AB777)</f>
        <v>22.710105304195856</v>
      </c>
      <c r="AC1312">
        <f>IF(ISBLANK(Mitigation_Industry!AC777),"",Mitigation_Industry!AC777)</f>
        <v>23.459538779234315</v>
      </c>
      <c r="AD1312">
        <f>IF(ISBLANK(Mitigation_Industry!AD777),"",Mitigation_Industry!AD777)</f>
        <v>24.233703558949045</v>
      </c>
      <c r="AE1312">
        <f>IF(ISBLANK(Mitigation_Industry!AE777),"",Mitigation_Industry!AE777)</f>
        <v>25.03341577639436</v>
      </c>
    </row>
    <row r="1313" spans="1:31" x14ac:dyDescent="0.45">
      <c r="A1313" t="s">
        <v>1693</v>
      </c>
      <c r="B1313" t="s">
        <v>1492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20.639760423340089</v>
      </c>
      <c r="I1313" t="s">
        <v>1587</v>
      </c>
      <c r="J1313" t="s">
        <v>1588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-14.917685147620229</v>
      </c>
      <c r="V1313">
        <f t="shared" si="325"/>
        <v>-15.409968757491693</v>
      </c>
      <c r="W1313">
        <f t="shared" si="325"/>
        <v>-15.918497726488926</v>
      </c>
      <c r="X1313">
        <f t="shared" si="325"/>
        <v>-16.44380815146306</v>
      </c>
      <c r="Y1313">
        <f t="shared" si="325"/>
        <v>-16.986453820461335</v>
      </c>
      <c r="Z1313">
        <f t="shared" si="325"/>
        <v>-17.547006796536564</v>
      </c>
      <c r="AA1313">
        <f t="shared" si="325"/>
        <v>-18.126058020822267</v>
      </c>
      <c r="AB1313">
        <f t="shared" si="325"/>
        <v>-18.724217935509401</v>
      </c>
      <c r="AC1313">
        <f t="shared" si="325"/>
        <v>-19.342117127381208</v>
      </c>
      <c r="AD1313">
        <f t="shared" si="325"/>
        <v>-19.98040699258479</v>
      </c>
      <c r="AE1313">
        <f t="shared" si="325"/>
        <v>-20.639760423340089</v>
      </c>
    </row>
    <row r="1315" spans="1:31" x14ac:dyDescent="0.45">
      <c r="A1315" t="s">
        <v>1694</v>
      </c>
      <c r="B1315" t="s">
        <v>1492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1694</v>
      </c>
      <c r="B1316" t="s">
        <v>1492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26.326124888867827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</v>
      </c>
      <c r="V1316">
        <f>IF(ISBLANK(Mitigation_Industry!V778),"",Mitigation_Industry!V778)</f>
        <v>29.065630915263299</v>
      </c>
      <c r="W1316">
        <f>IF(ISBLANK(Mitigation_Industry!W778),"",Mitigation_Industry!W778)</f>
        <v>30.043200803417914</v>
      </c>
      <c r="X1316">
        <f>IF(ISBLANK(Mitigation_Industry!X778),"",Mitigation_Industry!X778)</f>
        <v>31.054919314104168</v>
      </c>
      <c r="Y1316">
        <f>IF(ISBLANK(Mitigation_Industry!Y778),"",Mitigation_Industry!Y778)</f>
        <v>32.10202077217965</v>
      </c>
      <c r="Z1316">
        <f>IF(ISBLANK(Mitigation_Industry!Z778),"",Mitigation_Industry!Z778)</f>
        <v>33.185785528135767</v>
      </c>
      <c r="AA1316">
        <f>IF(ISBLANK(Mitigation_Industry!AA778),"",Mitigation_Industry!AA778)</f>
        <v>34.307541724028297</v>
      </c>
      <c r="AB1316">
        <f>IF(ISBLANK(Mitigation_Industry!AB778),"",Mitigation_Industry!AB778)</f>
        <v>35.468667128962913</v>
      </c>
      <c r="AC1316">
        <f>IF(ISBLANK(Mitigation_Industry!AC778),"",Mitigation_Industry!AC778)</f>
        <v>36.670591046941823</v>
      </c>
      <c r="AD1316">
        <f>IF(ISBLANK(Mitigation_Industry!AD778),"",Mitigation_Industry!AD778)</f>
        <v>37.914796299992886</v>
      </c>
      <c r="AE1316">
        <f>IF(ISBLANK(Mitigation_Industry!AE778),"",Mitigation_Industry!AE778)</f>
        <v>39.202821289623245</v>
      </c>
    </row>
    <row r="1317" spans="1:31" x14ac:dyDescent="0.45">
      <c r="A1317" t="s">
        <v>1694</v>
      </c>
      <c r="B1317" t="s">
        <v>1492</v>
      </c>
      <c r="C1317" t="s">
        <v>111</v>
      </c>
      <c r="D1317">
        <v>2</v>
      </c>
      <c r="E1317" t="s">
        <v>1161</v>
      </c>
      <c r="F1317">
        <f>MAX(MAX(L1317:AE1317),-MIN(L1317:AE1317))</f>
        <v>9.6385512679971015</v>
      </c>
      <c r="I1317" t="s">
        <v>1587</v>
      </c>
      <c r="J1317" t="s">
        <v>1588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-6.5220005462968338</v>
      </c>
      <c r="T1317">
        <f t="shared" si="326"/>
        <v>-6.7407922647314642</v>
      </c>
      <c r="U1317">
        <f t="shared" si="326"/>
        <v>-6.9663316524058132</v>
      </c>
      <c r="V1317">
        <f t="shared" si="326"/>
        <v>-7.1988136184991092</v>
      </c>
      <c r="W1317">
        <f t="shared" si="326"/>
        <v>-7.4384385069582386</v>
      </c>
      <c r="X1317">
        <f t="shared" si="326"/>
        <v>-7.6854122576844048</v>
      </c>
      <c r="Y1317">
        <f t="shared" si="326"/>
        <v>-7.9399465739486459</v>
      </c>
      <c r="Z1317">
        <f t="shared" si="326"/>
        <v>-8.2022590963823134</v>
      </c>
      <c r="AA1317">
        <f t="shared" si="326"/>
        <v>-8.4725735839116112</v>
      </c>
      <c r="AB1317">
        <f t="shared" si="326"/>
        <v>-8.7511201020306331</v>
      </c>
      <c r="AC1317">
        <f t="shared" si="326"/>
        <v>-9.0381352188334603</v>
      </c>
      <c r="AD1317">
        <f t="shared" si="326"/>
        <v>-9.3338622092545762</v>
      </c>
      <c r="AE1317">
        <f t="shared" si="326"/>
        <v>-9.6385512679971015</v>
      </c>
    </row>
    <row r="1319" spans="1:31" x14ac:dyDescent="0.45">
      <c r="A1319" t="s">
        <v>1695</v>
      </c>
      <c r="B1319" t="s">
        <v>1498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1695</v>
      </c>
      <c r="B1320" t="s">
        <v>1498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0.60788968799999998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0.66317532583734995</v>
      </c>
      <c r="U1320">
        <f>IF(ISBLANK(Mitigation_Industry!U784),"",Mitigation_Industry!U784)</f>
        <v>0.67776518300577171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0.70791488940660041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0.78928804689836307</v>
      </c>
      <c r="AC1320">
        <f>IF(ISBLANK(Mitigation_Industry!AC784),"",Mitigation_Industry!AC784)</f>
        <v>0.80665238393012706</v>
      </c>
      <c r="AD1320">
        <f>IF(ISBLANK(Mitigation_Industry!AD784),"",Mitigation_Industry!AD784)</f>
        <v>0.82439873637658989</v>
      </c>
      <c r="AE1320">
        <f>IF(ISBLANK(Mitigation_Industry!AE784),"",Mitigation_Industry!AE784)</f>
        <v>0.84253550857687487</v>
      </c>
    </row>
    <row r="1321" spans="1:31" x14ac:dyDescent="0.45">
      <c r="A1321" t="s">
        <v>1695</v>
      </c>
      <c r="B1321" t="s">
        <v>1498</v>
      </c>
      <c r="C1321" t="s">
        <v>283</v>
      </c>
      <c r="D1321">
        <v>2</v>
      </c>
      <c r="E1321" t="s">
        <v>1161</v>
      </c>
      <c r="F1321">
        <f>MAX(MAX(L1321:AE1321),-MIN(L1321:AE1321))</f>
        <v>1.1102230246251565E-16</v>
      </c>
      <c r="I1321" t="s">
        <v>1508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-1.1102230246251565E-16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-1.1102230246251565E-16</v>
      </c>
      <c r="U1321">
        <f t="shared" si="327"/>
        <v>-1.1102230246251565E-16</v>
      </c>
      <c r="V1321">
        <f t="shared" si="327"/>
        <v>0</v>
      </c>
      <c r="W1321">
        <f t="shared" si="327"/>
        <v>-1.1102230246251565E-16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-1.1102230246251565E-16</v>
      </c>
      <c r="AC1321">
        <f t="shared" si="327"/>
        <v>-1.1102230246251565E-16</v>
      </c>
      <c r="AD1321">
        <f t="shared" si="327"/>
        <v>-1.1102230246251565E-16</v>
      </c>
      <c r="AE1321">
        <f t="shared" si="327"/>
        <v>-1.1102230246251565E-16</v>
      </c>
    </row>
    <row r="1323" spans="1:31" x14ac:dyDescent="0.45">
      <c r="A1323" t="s">
        <v>1696</v>
      </c>
      <c r="B1323" t="s">
        <v>1498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1696</v>
      </c>
      <c r="B1324" t="s">
        <v>1498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0.30082233600000002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</v>
      </c>
      <c r="S1324">
        <f>IF(ISBLANK(Mitigation_Industry!S785),"",Mitigation_Industry!S785)</f>
        <v>0.34230368572935777</v>
      </c>
      <c r="T1324">
        <f>IF(ISBLANK(Mitigation_Industry!T785),"",Mitigation_Industry!T785)</f>
        <v>0.35736504790144963</v>
      </c>
      <c r="U1324">
        <f>IF(ISBLANK(Mitigation_Industry!U785),"",Mitigation_Industry!U785)</f>
        <v>0.37308911000911343</v>
      </c>
      <c r="V1324">
        <f>IF(ISBLANK(Mitigation_Industry!V785),"",Mitigation_Industry!V785)</f>
        <v>0.38950503084951443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0.42453555530399639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0.46271658500581653</v>
      </c>
      <c r="AA1324">
        <f>IF(ISBLANK(Mitigation_Industry!AA785),"",Mitigation_Industry!AA785)</f>
        <v>0.48307611474607248</v>
      </c>
      <c r="AB1324">
        <f>IF(ISBLANK(Mitigation_Industry!AB785),"",Mitigation_Industry!AB785)</f>
        <v>0.50433146379489979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0.54968901832275774</v>
      </c>
      <c r="AE1324">
        <f>IF(ISBLANK(Mitigation_Industry!AE785),"",Mitigation_Industry!AE785)</f>
        <v>0.57387533512895916</v>
      </c>
    </row>
    <row r="1325" spans="1:31" x14ac:dyDescent="0.45">
      <c r="A1325" t="s">
        <v>1696</v>
      </c>
      <c r="B1325" t="s">
        <v>1498</v>
      </c>
      <c r="C1325" t="s">
        <v>284</v>
      </c>
      <c r="D1325">
        <v>2</v>
      </c>
      <c r="E1325" t="s">
        <v>1161</v>
      </c>
      <c r="F1325">
        <f>MAX(MAX(L1325:AE1325),-MIN(L1325:AE1325))</f>
        <v>1.6653345369377348E-16</v>
      </c>
      <c r="I1325" t="s">
        <v>1508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-5.5511151231257827E-17</v>
      </c>
      <c r="Q1325">
        <f t="shared" si="328"/>
        <v>0</v>
      </c>
      <c r="R1325">
        <f t="shared" si="328"/>
        <v>-1.1102230246251565E-16</v>
      </c>
      <c r="S1325">
        <f t="shared" si="328"/>
        <v>-1.1102230246251565E-16</v>
      </c>
      <c r="T1325">
        <f t="shared" si="328"/>
        <v>-5.5511151231257827E-17</v>
      </c>
      <c r="U1325">
        <f t="shared" si="328"/>
        <v>-5.5511151231257827E-17</v>
      </c>
      <c r="V1325">
        <f t="shared" si="328"/>
        <v>-5.5511151231257827E-17</v>
      </c>
      <c r="W1325">
        <f t="shared" si="328"/>
        <v>0</v>
      </c>
      <c r="X1325">
        <f t="shared" si="328"/>
        <v>-5.5511151231257827E-17</v>
      </c>
      <c r="Y1325">
        <f t="shared" si="328"/>
        <v>0</v>
      </c>
      <c r="Z1325">
        <f t="shared" si="328"/>
        <v>-1.6653345369377348E-16</v>
      </c>
      <c r="AA1325">
        <f t="shared" si="328"/>
        <v>-1.1102230246251565E-16</v>
      </c>
      <c r="AB1325">
        <f t="shared" si="328"/>
        <v>-1.1102230246251565E-16</v>
      </c>
      <c r="AC1325">
        <f t="shared" si="328"/>
        <v>0</v>
      </c>
      <c r="AD1325">
        <f t="shared" si="328"/>
        <v>-1.1102230246251565E-16</v>
      </c>
      <c r="AE1325">
        <f t="shared" si="328"/>
        <v>-1.1102230246251565E-16</v>
      </c>
    </row>
    <row r="1327" spans="1:31" x14ac:dyDescent="0.45">
      <c r="A1327" t="s">
        <v>1697</v>
      </c>
      <c r="B1327" t="s">
        <v>1498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1697</v>
      </c>
      <c r="B1328" t="s">
        <v>1498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0.82784016937499982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0.92140680451860923</v>
      </c>
      <c r="T1328">
        <f>IF(ISBLANK(Mitigation_Industry!T786),"",Mitigation_Industry!T786)</f>
        <v>0.97208417876713271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1.4140705977204056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1.5738959270277544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1697</v>
      </c>
      <c r="B1329" t="s">
        <v>1498</v>
      </c>
      <c r="C1329" t="s">
        <v>285</v>
      </c>
      <c r="D1329">
        <v>2</v>
      </c>
      <c r="E1329" t="s">
        <v>1161</v>
      </c>
      <c r="F1329">
        <f>MAX(MAX(L1329:AE1329),-MIN(L1329:AE1329))</f>
        <v>6.6613381477509392E-16</v>
      </c>
      <c r="I1329" t="s">
        <v>1508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-1.1102230246251565E-16</v>
      </c>
      <c r="R1329">
        <f t="shared" si="329"/>
        <v>0</v>
      </c>
      <c r="S1329">
        <f t="shared" si="329"/>
        <v>-1.1102230246251565E-16</v>
      </c>
      <c r="T1329">
        <f t="shared" si="329"/>
        <v>-1.1102230246251565E-16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-6.6613381477509392E-16</v>
      </c>
      <c r="AB1329">
        <f t="shared" si="329"/>
        <v>0</v>
      </c>
      <c r="AC1329">
        <f t="shared" si="329"/>
        <v>-2.2204460492503131E-16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1698</v>
      </c>
      <c r="B1331" t="s">
        <v>1498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1698</v>
      </c>
      <c r="B1332" t="s">
        <v>1498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1698</v>
      </c>
      <c r="B1333" t="s">
        <v>1498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1508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1699</v>
      </c>
      <c r="B1335" t="s">
        <v>1498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1699</v>
      </c>
      <c r="B1336" t="s">
        <v>1498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31.956387417365107</v>
      </c>
      <c r="U1336">
        <f>IF(ISBLANK(Mitigation_Industry!U788),"",Mitigation_Industry!U788)</f>
        <v>33.010948202138145</v>
      </c>
      <c r="V1336">
        <f>IF(ISBLANK(Mitigation_Industry!V788),"",Mitigation_Industry!V788)</f>
        <v>34.100309492808698</v>
      </c>
      <c r="W1336">
        <f>IF(ISBLANK(Mitigation_Industry!W788),"",Mitigation_Industry!W788)</f>
        <v>35.225619706071392</v>
      </c>
      <c r="X1336">
        <f>IF(ISBLANK(Mitigation_Industry!X788),"",Mitigation_Industry!X788)</f>
        <v>36.388065156371731</v>
      </c>
      <c r="Y1336">
        <f>IF(ISBLANK(Mitigation_Industry!Y788),"",Mitigation_Industry!Y788)</f>
        <v>37.588871306532006</v>
      </c>
      <c r="Z1336">
        <f>IF(ISBLANK(Mitigation_Industry!Z788),"",Mitigation_Industry!Z788)</f>
        <v>38.829304059647555</v>
      </c>
      <c r="AA1336">
        <f>IF(ISBLANK(Mitigation_Industry!AA788),"",Mitigation_Industry!AA788)</f>
        <v>40.11067109361592</v>
      </c>
      <c r="AB1336">
        <f>IF(ISBLANK(Mitigation_Industry!AB788),"",Mitigation_Industry!AB788)</f>
        <v>41.434323239705236</v>
      </c>
      <c r="AC1336">
        <f>IF(ISBLANK(Mitigation_Industry!AC788),"",Mitigation_Industry!AC788)</f>
        <v>42.801655906615501</v>
      </c>
      <c r="AD1336">
        <f>IF(ISBLANK(Mitigation_Industry!AD788),"",Mitigation_Industry!AD788)</f>
        <v>44.214110551533814</v>
      </c>
      <c r="AE1336">
        <f>IF(ISBLANK(Mitigation_Industry!AE788),"",Mitigation_Industry!AE788)</f>
        <v>45.673176199734421</v>
      </c>
    </row>
    <row r="1337" spans="1:31" x14ac:dyDescent="0.45">
      <c r="A1337" t="s">
        <v>1699</v>
      </c>
      <c r="B1337" t="s">
        <v>1498</v>
      </c>
      <c r="C1337" t="s">
        <v>287</v>
      </c>
      <c r="D1337">
        <v>2</v>
      </c>
      <c r="E1337" t="s">
        <v>1161</v>
      </c>
      <c r="F1337">
        <f>MAX(MAX(L1337:AE1337),-MIN(L1337:AE1337))</f>
        <v>2.8421709430404007E-14</v>
      </c>
      <c r="I1337" t="s">
        <v>1508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-3.5527136788005009E-15</v>
      </c>
      <c r="U1337">
        <f t="shared" si="331"/>
        <v>-7.1054273576010019E-15</v>
      </c>
      <c r="V1337">
        <f t="shared" si="331"/>
        <v>-7.1054273576010019E-15</v>
      </c>
      <c r="W1337">
        <f t="shared" si="331"/>
        <v>-7.1054273576010019E-15</v>
      </c>
      <c r="X1337">
        <f t="shared" si="331"/>
        <v>-1.4210854715202004E-14</v>
      </c>
      <c r="Y1337">
        <f t="shared" si="331"/>
        <v>-7.1054273576010019E-15</v>
      </c>
      <c r="Z1337">
        <f t="shared" si="331"/>
        <v>-1.4210854715202004E-14</v>
      </c>
      <c r="AA1337">
        <f t="shared" si="331"/>
        <v>-1.4210854715202004E-14</v>
      </c>
      <c r="AB1337">
        <f t="shared" si="331"/>
        <v>-2.1316282072803006E-14</v>
      </c>
      <c r="AC1337">
        <f t="shared" si="331"/>
        <v>-2.1316282072803006E-14</v>
      </c>
      <c r="AD1337">
        <f t="shared" si="331"/>
        <v>-2.1316282072803006E-14</v>
      </c>
      <c r="AE1337">
        <f t="shared" si="331"/>
        <v>-2.8421709430404007E-14</v>
      </c>
    </row>
    <row r="1339" spans="1:31" x14ac:dyDescent="0.45">
      <c r="A1339" t="s">
        <v>1700</v>
      </c>
      <c r="B1339" t="s">
        <v>1498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1700</v>
      </c>
      <c r="B1340" t="s">
        <v>1498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33.949011969871037</v>
      </c>
      <c r="U1340">
        <f>IF(ISBLANK(Mitigation_Industry!U789),"",Mitigation_Industry!U789)</f>
        <v>35.087351303752357</v>
      </c>
      <c r="V1340">
        <f>IF(ISBLANK(Mitigation_Industry!V789),"",Mitigation_Industry!V789)</f>
        <v>36.264444533762401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38.740331571788559</v>
      </c>
      <c r="Y1340">
        <f>IF(ISBLANK(Mitigation_Industry!Y789),"",Mitigation_Industry!Y789)</f>
        <v>40.041967346128288</v>
      </c>
      <c r="Z1340">
        <f>IF(ISBLANK(Mitigation_Industry!Z789),"",Mitigation_Industry!Z789)</f>
        <v>41.388044624518066</v>
      </c>
      <c r="AA1340">
        <f>IF(ISBLANK(Mitigation_Industry!AA789),"",Mitigation_Industry!AA789)</f>
        <v>42.780115307939894</v>
      </c>
      <c r="AB1340">
        <f>IF(ISBLANK(Mitigation_Industry!AB789),"",Mitigation_Industry!AB789)</f>
        <v>44.219787230993525</v>
      </c>
      <c r="AC1340">
        <f>IF(ISBLANK(Mitigation_Industry!AC789),"",Mitigation_Industry!AC789)</f>
        <v>45.708726265775255</v>
      </c>
      <c r="AD1340">
        <f>IF(ISBLANK(Mitigation_Industry!AD789),"",Mitigation_Industry!AD789)</f>
        <v>47.248658509247441</v>
      </c>
      <c r="AE1340">
        <f>IF(ISBLANK(Mitigation_Industry!AE789),"",Mitigation_Industry!AE789)</f>
        <v>48.841372557620318</v>
      </c>
    </row>
    <row r="1341" spans="1:31" x14ac:dyDescent="0.45">
      <c r="A1341" t="s">
        <v>1700</v>
      </c>
      <c r="B1341" t="s">
        <v>1498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1508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1701</v>
      </c>
      <c r="B1343" t="s">
        <v>1499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1701</v>
      </c>
      <c r="B1344" t="s">
        <v>1499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163.67106556325092</v>
      </c>
      <c r="T1344">
        <f>IF(ISBLANK(Mitigation_Industry!T791),"",Mitigation_Industry!T791)</f>
        <v>227.83012326404531</v>
      </c>
      <c r="U1344">
        <f>IF(ISBLANK(Mitigation_Industry!U791),"",Mitigation_Industry!U791)</f>
        <v>297.31831085957919</v>
      </c>
      <c r="V1344">
        <f>IF(ISBLANK(Mitigation_Industry!V791),"",Mitigation_Industry!V791)</f>
        <v>372.48037984488076</v>
      </c>
      <c r="W1344">
        <f>IF(ISBLANK(Mitigation_Industry!W791),"",Mitigation_Industry!W791)</f>
        <v>453.6811026510648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635.76432809883136</v>
      </c>
      <c r="Z1344">
        <f>IF(ISBLANK(Mitigation_Industry!Z791),"",Mitigation_Industry!Z791)</f>
        <v>737.48662059464425</v>
      </c>
      <c r="AA1344">
        <f>IF(ISBLANK(Mitigation_Industry!AA791),"",Mitigation_Industry!AA791)</f>
        <v>846.92963509088941</v>
      </c>
      <c r="AB1344">
        <f>IF(ISBLANK(Mitigation_Industry!AB791),"",Mitigation_Industry!AB791)</f>
        <v>964.575860765333</v>
      </c>
      <c r="AC1344">
        <f>IF(ISBLANK(Mitigation_Industry!AC791),"",Mitigation_Industry!AC791)</f>
        <v>1090.9352985255916</v>
      </c>
      <c r="AD1344">
        <f>IF(ISBLANK(Mitigation_Industry!AD791),"",Mitigation_Industry!AD791)</f>
        <v>1226.5469479423114</v>
      </c>
      <c r="AE1344">
        <f>IF(ISBLANK(Mitigation_Industry!AE791),"",Mitigation_Industry!AE791)</f>
        <v>1371.9803717697569</v>
      </c>
    </row>
    <row r="1345" spans="1:31" x14ac:dyDescent="0.45">
      <c r="A1345" t="s">
        <v>1701</v>
      </c>
      <c r="B1345" t="s">
        <v>1499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1371.9803717697569</v>
      </c>
      <c r="I1345" t="s">
        <v>1587</v>
      </c>
      <c r="J1345" t="s">
        <v>1874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163.67106556325092</v>
      </c>
      <c r="T1345">
        <f t="shared" si="333"/>
        <v>227.83012326404531</v>
      </c>
      <c r="U1345">
        <f t="shared" si="333"/>
        <v>297.31831085957919</v>
      </c>
      <c r="V1345">
        <f t="shared" si="333"/>
        <v>372.48037984488076</v>
      </c>
      <c r="W1345">
        <f t="shared" si="333"/>
        <v>453.6811026510648</v>
      </c>
      <c r="X1345">
        <f t="shared" si="333"/>
        <v>541.3063670488134</v>
      </c>
      <c r="Y1345">
        <f t="shared" si="333"/>
        <v>635.76432809883136</v>
      </c>
      <c r="Z1345">
        <f t="shared" si="333"/>
        <v>737.48662059464425</v>
      </c>
      <c r="AA1345">
        <f t="shared" si="333"/>
        <v>846.92963509088941</v>
      </c>
      <c r="AB1345">
        <f t="shared" si="333"/>
        <v>964.575860765333</v>
      </c>
      <c r="AC1345">
        <f t="shared" si="333"/>
        <v>1090.9352985255916</v>
      </c>
      <c r="AD1345">
        <f t="shared" si="333"/>
        <v>1226.5469479423114</v>
      </c>
      <c r="AE1345">
        <f t="shared" si="333"/>
        <v>1371.9803717697569</v>
      </c>
    </row>
    <row r="1347" spans="1:31" x14ac:dyDescent="0.45">
      <c r="A1347" t="s">
        <v>1702</v>
      </c>
      <c r="B1347" t="s">
        <v>1499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1702</v>
      </c>
      <c r="B1348" t="s">
        <v>1499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56.875812694324097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86.787394098721151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121.61919236706481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184.51953338409052</v>
      </c>
      <c r="AC1348">
        <f>IF(ISBLANK(Mitigation_Industry!AC792),"",Mitigation_Industry!AC792)</f>
        <v>208.69159225740637</v>
      </c>
      <c r="AD1348">
        <f>IF(ISBLANK(Mitigation_Industry!AD792),"",Mitigation_Industry!AD792)</f>
        <v>234.63356249494242</v>
      </c>
      <c r="AE1348">
        <f>IF(ISBLANK(Mitigation_Industry!AE792),"",Mitigation_Industry!AE792)</f>
        <v>262.45439919077126</v>
      </c>
    </row>
    <row r="1349" spans="1:31" x14ac:dyDescent="0.45">
      <c r="A1349" t="s">
        <v>1702</v>
      </c>
      <c r="B1349" t="s">
        <v>1499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1587</v>
      </c>
      <c r="J1349" t="s">
        <v>1874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56.875812694324097</v>
      </c>
      <c r="V1349">
        <f t="shared" si="334"/>
        <v>71.254018143449215</v>
      </c>
      <c r="W1349">
        <f t="shared" si="334"/>
        <v>86.787394098721151</v>
      </c>
      <c r="X1349">
        <f t="shared" si="334"/>
        <v>103.54975935893131</v>
      </c>
      <c r="Y1349">
        <f t="shared" si="334"/>
        <v>121.61919236706481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184.51953338409052</v>
      </c>
      <c r="AC1349">
        <f t="shared" si="334"/>
        <v>208.69159225740637</v>
      </c>
      <c r="AD1349">
        <f t="shared" si="334"/>
        <v>234.63356249494242</v>
      </c>
      <c r="AE1349">
        <f t="shared" si="334"/>
        <v>262.45439919077126</v>
      </c>
    </row>
    <row r="1351" spans="1:31" x14ac:dyDescent="0.45">
      <c r="A1351" t="s">
        <v>1703</v>
      </c>
      <c r="B1351" t="s">
        <v>1499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1703</v>
      </c>
      <c r="B1352" t="s">
        <v>1499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1703</v>
      </c>
      <c r="B1353" t="s">
        <v>1499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1587</v>
      </c>
      <c r="J1353" t="s">
        <v>1874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1704</v>
      </c>
      <c r="B1355" t="s">
        <v>1499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1704</v>
      </c>
      <c r="B1356" t="s">
        <v>1499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1130.8289409073702</v>
      </c>
      <c r="V1356">
        <f>IF(ISBLANK(Mitigation_Industry!V794),"",Mitigation_Industry!V794)</f>
        <v>1401.7755551487758</v>
      </c>
      <c r="W1356">
        <f>IF(ISBLANK(Mitigation_Industry!W794),"",Mitigation_Industry!W794)</f>
        <v>1689.3731732134663</v>
      </c>
      <c r="X1356">
        <f>IF(ISBLANK(Mitigation_Industry!X794),"",Mitigation_Industry!X794)</f>
        <v>1994.4257004908686</v>
      </c>
      <c r="Y1356">
        <f>IF(ISBLANK(Mitigation_Industry!Y794),"",Mitigation_Industry!Y794)</f>
        <v>2317.7719671829514</v>
      </c>
      <c r="Z1356">
        <f>IF(ISBLANK(Mitigation_Industry!Z794),"",Mitigation_Industry!Z794)</f>
        <v>2660.2871578888758</v>
      </c>
      <c r="AA1356">
        <f>IF(ISBLANK(Mitigation_Industry!AA794),"",Mitigation_Industry!AA794)</f>
        <v>3022.8842975091293</v>
      </c>
      <c r="AB1356">
        <f>IF(ISBLANK(Mitigation_Industry!AB794),"",Mitigation_Industry!AB794)</f>
        <v>3406.5157956293783</v>
      </c>
      <c r="AC1356">
        <f>IF(ISBLANK(Mitigation_Industry!AC794),"",Mitigation_Industry!AC794)</f>
        <v>3812.1750516255761</v>
      </c>
      <c r="AD1356">
        <f>IF(ISBLANK(Mitigation_Industry!AD794),"",Mitigation_Industry!AD794)</f>
        <v>4240.8981228160828</v>
      </c>
      <c r="AE1356">
        <f>IF(ISBLANK(Mitigation_Industry!AE794),"",Mitigation_Industry!AE794)</f>
        <v>4693.7654580739427</v>
      </c>
    </row>
    <row r="1357" spans="1:31" x14ac:dyDescent="0.45">
      <c r="A1357" t="s">
        <v>1704</v>
      </c>
      <c r="B1357" t="s">
        <v>1499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4693.7654580739427</v>
      </c>
      <c r="I1357" t="s">
        <v>1587</v>
      </c>
      <c r="J1357" t="s">
        <v>1874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1130.8289409073702</v>
      </c>
      <c r="V1357">
        <f t="shared" si="336"/>
        <v>1401.7755551487758</v>
      </c>
      <c r="W1357">
        <f t="shared" si="336"/>
        <v>1689.3731732134663</v>
      </c>
      <c r="X1357">
        <f t="shared" si="336"/>
        <v>1994.4257004908686</v>
      </c>
      <c r="Y1357">
        <f t="shared" si="336"/>
        <v>2317.7719671829514</v>
      </c>
      <c r="Z1357">
        <f t="shared" si="336"/>
        <v>2660.2871578888758</v>
      </c>
      <c r="AA1357">
        <f t="shared" si="336"/>
        <v>3022.8842975091293</v>
      </c>
      <c r="AB1357">
        <f t="shared" si="336"/>
        <v>3406.5157956293783</v>
      </c>
      <c r="AC1357">
        <f t="shared" si="336"/>
        <v>3812.1750516255761</v>
      </c>
      <c r="AD1357">
        <f t="shared" si="336"/>
        <v>4240.8981228160828</v>
      </c>
      <c r="AE1357">
        <f t="shared" si="336"/>
        <v>4693.7654580739427</v>
      </c>
    </row>
    <row r="1359" spans="1:31" x14ac:dyDescent="0.45">
      <c r="A1359" t="s">
        <v>1705</v>
      </c>
      <c r="B1359" t="s">
        <v>1499</v>
      </c>
      <c r="C1359" t="s">
        <v>1441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1705</v>
      </c>
      <c r="B1360" t="s">
        <v>1499</v>
      </c>
      <c r="C1360" t="s">
        <v>1441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44.093819705408549</v>
      </c>
      <c r="R1360">
        <f>IF(ISBLANK(Mitigation_Industry!R795),"",Mitigation_Industry!R795)</f>
        <v>90.127767477855087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294.97380566251422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672.23144221209964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1705</v>
      </c>
      <c r="B1361" t="s">
        <v>1499</v>
      </c>
      <c r="C1361" t="s">
        <v>1441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1587</v>
      </c>
      <c r="J1361" t="s">
        <v>1874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44.093819705408549</v>
      </c>
      <c r="R1361">
        <f t="shared" si="337"/>
        <v>90.127767477855087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294.97380566251422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672.23144221209964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1706</v>
      </c>
      <c r="B1363" t="s">
        <v>1499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1706</v>
      </c>
      <c r="B1364" t="s">
        <v>1499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1706</v>
      </c>
      <c r="B1365" t="s">
        <v>1499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1587</v>
      </c>
      <c r="J1365" t="s">
        <v>1874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1707</v>
      </c>
      <c r="B1367" t="s">
        <v>1499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1707</v>
      </c>
      <c r="B1368" t="s">
        <v>1499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1707</v>
      </c>
      <c r="B1369" t="s">
        <v>1499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1587</v>
      </c>
      <c r="J1369" t="s">
        <v>1874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1708</v>
      </c>
      <c r="B1371" t="s">
        <v>1499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1708</v>
      </c>
      <c r="B1372" t="s">
        <v>1499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0.68693120437499977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2.2937148112484524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4.2549365463163475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12.907155030256469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16.977983723469606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1708</v>
      </c>
      <c r="B1373" t="s">
        <v>1499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1587</v>
      </c>
      <c r="J1373" t="s">
        <v>1874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0.68693120437499977</v>
      </c>
      <c r="R1373">
        <f t="shared" si="340"/>
        <v>1.44942484123125</v>
      </c>
      <c r="S1373">
        <f t="shared" si="340"/>
        <v>2.2937148112484524</v>
      </c>
      <c r="T1373">
        <f t="shared" si="340"/>
        <v>3.2264921678228231</v>
      </c>
      <c r="U1373">
        <f t="shared" si="340"/>
        <v>4.2549365463163475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12.907155030256469</v>
      </c>
      <c r="AB1373">
        <f t="shared" si="340"/>
        <v>14.854962062095174</v>
      </c>
      <c r="AC1373">
        <f t="shared" si="340"/>
        <v>16.977983723469606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1709</v>
      </c>
      <c r="B1375" t="s">
        <v>1499</v>
      </c>
      <c r="C1375" t="s">
        <v>1500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1709</v>
      </c>
      <c r="B1376" t="s">
        <v>1499</v>
      </c>
      <c r="C1376" t="s">
        <v>1500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308.12278080273347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987.22968333254357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1757.5637282091595</v>
      </c>
      <c r="V1376">
        <f>IF(ISBLANK(Mitigation_Industry!V799),"",Mitigation_Industry!V799)</f>
        <v>2179.9223186447475</v>
      </c>
      <c r="W1376">
        <f>IF(ISBLANK(Mitigation_Industry!W799),"",Mitigation_Industry!W799)</f>
        <v>2628.7800702990671</v>
      </c>
      <c r="X1376">
        <f>IF(ISBLANK(Mitigation_Industry!X799),"",Mitigation_Industry!X799)</f>
        <v>3105.4919314104172</v>
      </c>
      <c r="Y1376">
        <f>IF(ISBLANK(Mitigation_Industry!Y799),"",Mitigation_Industry!Y799)</f>
        <v>3611.4773368702108</v>
      </c>
      <c r="Z1376">
        <f>IF(ISBLANK(Mitigation_Industry!Z799),"",Mitigation_Industry!Z799)</f>
        <v>4148.2231910169703</v>
      </c>
      <c r="AA1376">
        <f>IF(ISBLANK(Mitigation_Industry!AA799),"",Mitigation_Industry!AA799)</f>
        <v>4717.2869870538898</v>
      </c>
      <c r="AB1376">
        <f>IF(ISBLANK(Mitigation_Industry!AB799),"",Mitigation_Industry!AB799)</f>
        <v>5320.3000693444365</v>
      </c>
      <c r="AC1376">
        <f>IF(ISBLANK(Mitigation_Industry!AC799),"",Mitigation_Industry!AC799)</f>
        <v>5958.9710451280462</v>
      </c>
      <c r="AD1376">
        <f>IF(ISBLANK(Mitigation_Industry!AD799),"",Mitigation_Industry!AD799)</f>
        <v>6635.0893524987559</v>
      </c>
      <c r="AE1376">
        <f>IF(ISBLANK(Mitigation_Industry!AE799),"",Mitigation_Industry!AE799)</f>
        <v>7350.5289918043582</v>
      </c>
    </row>
    <row r="1377" spans="1:35" x14ac:dyDescent="0.45">
      <c r="A1377" t="s">
        <v>1709</v>
      </c>
      <c r="B1377" t="s">
        <v>1499</v>
      </c>
      <c r="C1377" t="s">
        <v>1500</v>
      </c>
      <c r="D1377">
        <v>2</v>
      </c>
      <c r="E1377" t="s">
        <v>1161</v>
      </c>
      <c r="F1377">
        <f>MAX(MAX(L1377:AE1377),-MIN(L1377:AE1377))</f>
        <v>7350.5289918043582</v>
      </c>
      <c r="I1377" t="s">
        <v>1587</v>
      </c>
      <c r="J1377" t="s">
        <v>1874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308.12278080273347</v>
      </c>
      <c r="R1377">
        <f t="shared" si="341"/>
        <v>636.8417154974029</v>
      </c>
      <c r="S1377">
        <f t="shared" si="341"/>
        <v>987.22968333254357</v>
      </c>
      <c r="T1377">
        <f t="shared" si="341"/>
        <v>1360.4109852569791</v>
      </c>
      <c r="U1377">
        <f t="shared" si="341"/>
        <v>1757.5637282091595</v>
      </c>
      <c r="V1377">
        <f t="shared" si="341"/>
        <v>2179.9223186447475</v>
      </c>
      <c r="W1377">
        <f t="shared" si="341"/>
        <v>2628.7800702990671</v>
      </c>
      <c r="X1377">
        <f t="shared" si="341"/>
        <v>3105.4919314104172</v>
      </c>
      <c r="Y1377">
        <f t="shared" si="341"/>
        <v>3611.4773368702108</v>
      </c>
      <c r="Z1377">
        <f t="shared" si="341"/>
        <v>4148.2231910169703</v>
      </c>
      <c r="AA1377">
        <f t="shared" si="341"/>
        <v>4717.2869870538898</v>
      </c>
      <c r="AB1377">
        <f t="shared" si="341"/>
        <v>5320.3000693444365</v>
      </c>
      <c r="AC1377">
        <f t="shared" si="341"/>
        <v>5958.9710451280462</v>
      </c>
      <c r="AD1377">
        <f t="shared" si="341"/>
        <v>6635.0893524987559</v>
      </c>
      <c r="AE1377">
        <f t="shared" si="341"/>
        <v>7350.5289918043582</v>
      </c>
    </row>
    <row r="1380" spans="1:35" x14ac:dyDescent="0.45">
      <c r="A1380" s="52" t="s">
        <v>1864</v>
      </c>
    </row>
    <row r="1381" spans="1:35" x14ac:dyDescent="0.45">
      <c r="A1381" t="s">
        <v>1866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1505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1419</v>
      </c>
      <c r="D1383">
        <v>2</v>
      </c>
      <c r="E1383" t="s">
        <v>1715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1419</v>
      </c>
      <c r="D1384">
        <v>2</v>
      </c>
      <c r="E1384" t="s">
        <v>1836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1419</v>
      </c>
      <c r="D1385">
        <v>2</v>
      </c>
      <c r="E1385" t="s">
        <v>1161</v>
      </c>
      <c r="F1385">
        <f>MAX(MAX(L1385:AE1385),-MIN(L1385:AE1385))</f>
        <v>0</v>
      </c>
      <c r="I1385" t="s">
        <v>1865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1420</v>
      </c>
      <c r="D1387">
        <v>2</v>
      </c>
      <c r="E1387" t="s">
        <v>1715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1420</v>
      </c>
      <c r="D1388">
        <v>2</v>
      </c>
      <c r="E1388" t="s">
        <v>1836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1420</v>
      </c>
      <c r="D1389">
        <v>2</v>
      </c>
      <c r="E1389" t="s">
        <v>1161</v>
      </c>
      <c r="F1389">
        <f>MAX(MAX(L1389:AE1389),-MIN(L1389:AE1389))</f>
        <v>0</v>
      </c>
      <c r="I1389" t="s">
        <v>1865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1836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1865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1836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1865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1836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1865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1836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1865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1836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1865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1836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1865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1836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1865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1836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1865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1836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1865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1875</v>
      </c>
    </row>
    <row r="1429" spans="1:35" x14ac:dyDescent="0.45">
      <c r="A1429" t="s">
        <v>1881</v>
      </c>
      <c r="D1429" s="98">
        <f>MAX(F1431:F1439)</f>
        <v>0</v>
      </c>
    </row>
    <row r="1430" spans="1:35" x14ac:dyDescent="0.45">
      <c r="A1430" s="50" t="s">
        <v>1504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1505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1876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1877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1878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1879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1876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1877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1878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1879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1880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1905</v>
      </c>
    </row>
    <row r="1443" spans="1:35" x14ac:dyDescent="0.45">
      <c r="A1443" t="s">
        <v>1910</v>
      </c>
      <c r="D1443" s="98">
        <f>MAX(F1445:F1451)</f>
        <v>0</v>
      </c>
    </row>
    <row r="1444" spans="1:35" x14ac:dyDescent="0.45">
      <c r="A1444" s="50" t="s">
        <v>1504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1505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1906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1907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1908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1906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1907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1908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1909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1919</v>
      </c>
    </row>
    <row r="1455" spans="1:35" x14ac:dyDescent="0.45">
      <c r="A1455" t="s">
        <v>1923</v>
      </c>
      <c r="D1455" s="92">
        <f>MAX(F1457:F1460)</f>
        <v>0</v>
      </c>
    </row>
    <row r="1456" spans="1:35" x14ac:dyDescent="0.45">
      <c r="A1456" s="50" t="s">
        <v>1504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1505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1920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1920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1921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1922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1935</v>
      </c>
    </row>
    <row r="1464" spans="1:35" x14ac:dyDescent="0.45">
      <c r="A1464" t="s">
        <v>1940</v>
      </c>
      <c r="D1464" s="92">
        <f>MAX(F1466:F1472)</f>
        <v>6.6613381477509392E-16</v>
      </c>
    </row>
    <row r="1465" spans="1:35" x14ac:dyDescent="0.45">
      <c r="A1465" s="50" t="s">
        <v>1504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1505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1936</v>
      </c>
      <c r="D1466">
        <v>1</v>
      </c>
      <c r="E1466" t="s">
        <v>1161</v>
      </c>
      <c r="F1466">
        <f>MAX(MAX(L1466:AE1466),-MIN(L1466:AE1466))</f>
        <v>3.3306690738754696E-16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0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-3.3306690738754696E-16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-2.2204460492503131E-16</v>
      </c>
      <c r="Z1466">
        <f>Mitigation_Industry!Z286-IF((SUM(Mitigation_Industry!Z330:Z337)+SUM(Mitigation_Industry!Z341:Z348))=0,0,SUM(Mitigation_Industry!Z258:Z261)/(SUM(Mitigation_Industry!Z330:Z337)+SUM(Mitigation_Industry!Z341:Z348))-1)</f>
        <v>0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0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-2.2204460492503131E-16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1937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1938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1936</v>
      </c>
      <c r="D1469">
        <v>2</v>
      </c>
      <c r="E1469" t="s">
        <v>1161</v>
      </c>
      <c r="F1469">
        <f>MAX(MAX(L1469:AE1469),-MIN(L1469:AE1469))</f>
        <v>3.3306690738754696E-16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0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-3.3306690738754696E-16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-2.2204460492503131E-16</v>
      </c>
      <c r="Z1469">
        <f>Mitigation_Industry!Z685-IF((SUM(Mitigation_Industry!Z729:Z736)+SUM(Mitigation_Industry!Z740:Z747))=0,0,SUM(Mitigation_Industry!Z657:Z660)/(SUM(Mitigation_Industry!Z729:Z736)+SUM(Mitigation_Industry!Z740:Z747))-1)</f>
        <v>0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0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-2.2204460492503131E-16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1937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1938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1939</v>
      </c>
      <c r="D1472">
        <v>1</v>
      </c>
      <c r="F1472">
        <f>MAX(SUMPRODUCT(ABS(Mitigation_Industry!$L$284:$AE$284)),SUMPRODUCT(ABS(Mitigation_Industry!$L$286:$AE$286)),SUMPRODUCT(ABS(Mitigation_Industry!$L$296:$AE$296)))</f>
        <v>6.6613381477509392E-16</v>
      </c>
      <c r="I1472">
        <v>0</v>
      </c>
    </row>
    <row r="1475" spans="1:35" x14ac:dyDescent="0.45">
      <c r="A1475" s="52" t="s">
        <v>1983</v>
      </c>
    </row>
    <row r="1476" spans="1:35" x14ac:dyDescent="0.45">
      <c r="A1476" t="s">
        <v>1991</v>
      </c>
      <c r="D1476" s="92">
        <f>MAX(F1478:F1485)</f>
        <v>3.3653635433950058E-16</v>
      </c>
    </row>
    <row r="1477" spans="1:35" x14ac:dyDescent="0.45">
      <c r="A1477" s="50" t="s">
        <v>1504</v>
      </c>
      <c r="B1477" s="50"/>
      <c r="C1477" s="50"/>
      <c r="D1477" s="50" t="s">
        <v>47</v>
      </c>
      <c r="E1477" s="50" t="s">
        <v>1156</v>
      </c>
      <c r="F1477" s="50" t="s">
        <v>1984</v>
      </c>
      <c r="G1477" s="50"/>
      <c r="H1477" s="50"/>
      <c r="I1477" s="50" t="s">
        <v>1505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1985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3.3653635433950058E-16</v>
      </c>
      <c r="I1478">
        <v>0</v>
      </c>
    </row>
    <row r="1479" spans="1:35" x14ac:dyDescent="0.45">
      <c r="A1479" t="s">
        <v>1986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1987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1988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1989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1990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1989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1990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2011</v>
      </c>
    </row>
    <row r="1489" spans="1:35" x14ac:dyDescent="0.45">
      <c r="A1489" t="s">
        <v>2020</v>
      </c>
      <c r="D1489" s="92">
        <f>MAX(F1491:F1502)</f>
        <v>1.4210854715202004E-14</v>
      </c>
    </row>
    <row r="1490" spans="1:35" x14ac:dyDescent="0.45">
      <c r="A1490" s="50" t="s">
        <v>1504</v>
      </c>
      <c r="B1490" s="50"/>
      <c r="C1490" s="50"/>
      <c r="D1490" s="50" t="s">
        <v>47</v>
      </c>
      <c r="E1490" s="50" t="s">
        <v>1156</v>
      </c>
      <c r="F1490" s="50" t="s">
        <v>1984</v>
      </c>
      <c r="G1490" s="50"/>
      <c r="H1490" s="50"/>
      <c r="I1490" s="50" t="s">
        <v>1505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2012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2013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2014</v>
      </c>
      <c r="F1493">
        <f>SUMPRODUCT(--('Manual inputs'!$E$66:$E$73&gt;0))</f>
        <v>0</v>
      </c>
      <c r="I1493">
        <v>0</v>
      </c>
    </row>
    <row r="1494" spans="1:35" x14ac:dyDescent="0.45">
      <c r="A1494" t="s">
        <v>2015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2016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2017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2018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0</v>
      </c>
      <c r="I1497">
        <v>0</v>
      </c>
    </row>
    <row r="1498" spans="1:35" x14ac:dyDescent="0.45">
      <c r="A1498" t="s">
        <v>2019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1.4210854715202004E-14</v>
      </c>
      <c r="I1498">
        <v>0</v>
      </c>
    </row>
    <row r="1499" spans="1:35" x14ac:dyDescent="0.45">
      <c r="A1499" t="s">
        <v>2015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2016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2018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0</v>
      </c>
      <c r="I1501">
        <v>0</v>
      </c>
    </row>
    <row r="1502" spans="1:35" x14ac:dyDescent="0.45">
      <c r="A1502" t="s">
        <v>2019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1.4210854715202004E-14</v>
      </c>
      <c r="I1502">
        <v>0</v>
      </c>
    </row>
    <row r="1505" spans="1:35" x14ac:dyDescent="0.45">
      <c r="A1505" s="52" t="s">
        <v>2042</v>
      </c>
    </row>
    <row r="1506" spans="1:35" x14ac:dyDescent="0.45">
      <c r="A1506" t="s">
        <v>2050</v>
      </c>
      <c r="D1506" s="92">
        <f>MAX(F1508:F1516)</f>
        <v>2.7888802378583932E-13</v>
      </c>
    </row>
    <row r="1507" spans="1:35" x14ac:dyDescent="0.45">
      <c r="A1507" s="50" t="s">
        <v>1504</v>
      </c>
      <c r="B1507" s="50"/>
      <c r="C1507" s="50"/>
      <c r="D1507" s="50" t="s">
        <v>47</v>
      </c>
      <c r="E1507" s="50" t="s">
        <v>1156</v>
      </c>
      <c r="F1507" s="50" t="s">
        <v>1984</v>
      </c>
      <c r="G1507" s="50"/>
      <c r="H1507" s="50"/>
      <c r="I1507" s="50" t="s">
        <v>1505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2043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2044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2045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2046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2047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2048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2049</v>
      </c>
      <c r="D1514">
        <v>1</v>
      </c>
      <c r="F1514">
        <f>SUMPRODUCT(ABS(Mitigation_Industry!$L$339:$AE$339-Mitigation_Industry!$L$350:$AE$350))</f>
        <v>2.7888802378583932E-13</v>
      </c>
      <c r="I1514">
        <v>0</v>
      </c>
    </row>
    <row r="1515" spans="1:35" x14ac:dyDescent="0.45">
      <c r="A1515" t="s">
        <v>2047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2048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2170</v>
      </c>
    </row>
    <row r="1520" spans="1:35" x14ac:dyDescent="0.45">
      <c r="A1520" t="s">
        <v>2194</v>
      </c>
      <c r="D1520" s="92">
        <f>MAX(F1522:F1546)</f>
        <v>1.4210854715202004E-14</v>
      </c>
    </row>
    <row r="1521" spans="1:35" x14ac:dyDescent="0.45">
      <c r="A1521" s="50" t="s">
        <v>1504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2171</v>
      </c>
      <c r="H1521" s="50"/>
      <c r="I1521" s="50" t="s">
        <v>1505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2172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2173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2174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2175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2176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2177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2178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2179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2180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2181</v>
      </c>
      <c r="B1531" t="s">
        <v>110</v>
      </c>
      <c r="C1531" t="s">
        <v>43</v>
      </c>
      <c r="D1531">
        <v>1</v>
      </c>
      <c r="E1531" t="s">
        <v>1159</v>
      </c>
      <c r="J1531" t="s">
        <v>2182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2183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2183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32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2184</v>
      </c>
      <c r="B1534" t="s">
        <v>110</v>
      </c>
      <c r="C1534" t="s">
        <v>113</v>
      </c>
      <c r="D1534">
        <v>1</v>
      </c>
      <c r="E1534" t="s">
        <v>1159</v>
      </c>
      <c r="J1534" t="s">
        <v>2185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2186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2186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32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2187</v>
      </c>
      <c r="B1537" t="s">
        <v>110</v>
      </c>
      <c r="C1537" t="s">
        <v>115</v>
      </c>
      <c r="D1537">
        <v>1</v>
      </c>
      <c r="E1537" t="s">
        <v>1159</v>
      </c>
      <c r="J1537" t="s">
        <v>2188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2189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2189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32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2190</v>
      </c>
      <c r="B1540" t="s">
        <v>110</v>
      </c>
      <c r="C1540" t="s">
        <v>117</v>
      </c>
      <c r="D1540">
        <v>1</v>
      </c>
      <c r="E1540" t="s">
        <v>1159</v>
      </c>
      <c r="J1540" t="s">
        <v>2191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2192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2192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32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2196</v>
      </c>
      <c r="D1543">
        <v>2</v>
      </c>
      <c r="E1543" t="s">
        <v>2193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2197</v>
      </c>
      <c r="D1544">
        <v>2</v>
      </c>
      <c r="E1544" t="s">
        <v>2193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2198</v>
      </c>
      <c r="D1545">
        <v>2</v>
      </c>
      <c r="E1545" t="s">
        <v>2193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2199</v>
      </c>
      <c r="D1546">
        <v>2</v>
      </c>
      <c r="E1546" t="s">
        <v>2193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2195</v>
      </c>
    </row>
    <row r="1551" spans="1:31" x14ac:dyDescent="0.45">
      <c r="A1551" s="52" t="s">
        <v>2456</v>
      </c>
    </row>
    <row r="1552" spans="1:31" x14ac:dyDescent="0.45">
      <c r="A1552" t="s">
        <v>2562</v>
      </c>
      <c r="D1552" s="92">
        <f>MAX(F1554:F1589)</f>
        <v>2.8421709430404007E-14</v>
      </c>
      <c r="F1552" t="s">
        <v>2563</v>
      </c>
    </row>
    <row r="1553" spans="1:35" x14ac:dyDescent="0.45">
      <c r="A1553" s="50" t="s">
        <v>1504</v>
      </c>
      <c r="B1553" s="50"/>
      <c r="C1553" s="50"/>
      <c r="D1553" s="50" t="s">
        <v>47</v>
      </c>
      <c r="E1553" s="50" t="s">
        <v>1156</v>
      </c>
      <c r="F1553" s="50" t="s">
        <v>1984</v>
      </c>
      <c r="G1553" s="50"/>
      <c r="H1553" s="50"/>
      <c r="I1553" s="50" t="s">
        <v>1505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2457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2458</v>
      </c>
      <c r="D1555">
        <v>1</v>
      </c>
      <c r="E1555" t="s">
        <v>2193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2459</v>
      </c>
      <c r="D1556">
        <v>1</v>
      </c>
      <c r="E1556" t="s">
        <v>2193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2460</v>
      </c>
      <c r="D1557">
        <v>1</v>
      </c>
      <c r="E1557" t="s">
        <v>2193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2461</v>
      </c>
      <c r="D1558">
        <v>1</v>
      </c>
      <c r="E1558" t="s">
        <v>2193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2462</v>
      </c>
      <c r="D1559">
        <v>1</v>
      </c>
      <c r="E1559" t="s">
        <v>2193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2463</v>
      </c>
      <c r="D1560">
        <v>1</v>
      </c>
      <c r="E1560" t="s">
        <v>2193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2464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2465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2466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2457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2458</v>
      </c>
      <c r="D1565">
        <v>2</v>
      </c>
      <c r="E1565" t="s">
        <v>2193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2459</v>
      </c>
      <c r="D1566">
        <v>2</v>
      </c>
      <c r="E1566" t="s">
        <v>2193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2460</v>
      </c>
      <c r="D1567">
        <v>2</v>
      </c>
      <c r="E1567" t="s">
        <v>2193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2461</v>
      </c>
      <c r="D1568">
        <v>2</v>
      </c>
      <c r="E1568" t="s">
        <v>2193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2462</v>
      </c>
      <c r="D1569">
        <v>2</v>
      </c>
      <c r="E1569" t="s">
        <v>2193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2463</v>
      </c>
      <c r="D1570">
        <v>2</v>
      </c>
      <c r="E1570" t="s">
        <v>2193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2464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2465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2466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2915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2916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2917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2918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2467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2468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2469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2470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2919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2920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2921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2922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2471</v>
      </c>
      <c r="D1586">
        <v>2</v>
      </c>
      <c r="E1586" t="s">
        <v>2193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2472</v>
      </c>
      <c r="D1587">
        <v>2</v>
      </c>
      <c r="E1587" t="s">
        <v>2193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2473</v>
      </c>
      <c r="D1588">
        <v>2</v>
      </c>
      <c r="E1588" t="s">
        <v>2193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2474</v>
      </c>
      <c r="D1589">
        <v>2</v>
      </c>
      <c r="E1589" t="s">
        <v>2193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2475</v>
      </c>
      <c r="D1590">
        <v>2</v>
      </c>
      <c r="E1590" t="s">
        <v>2476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2477</v>
      </c>
      <c r="D1591">
        <v>2</v>
      </c>
      <c r="E1591" t="s">
        <v>2476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2478</v>
      </c>
      <c r="D1592">
        <v>2</v>
      </c>
      <c r="E1592" t="s">
        <v>2476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2479</v>
      </c>
      <c r="D1593">
        <v>2</v>
      </c>
      <c r="E1593" t="s">
        <v>2476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2480</v>
      </c>
      <c r="D1594">
        <v>2</v>
      </c>
      <c r="E1594" t="s">
        <v>2476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2481</v>
      </c>
      <c r="D1595">
        <v>2</v>
      </c>
      <c r="E1595" t="s">
        <v>2476</v>
      </c>
      <c r="F1595">
        <f t="shared" si="362"/>
        <v>7350.5289918043582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308.12278080273347</v>
      </c>
      <c r="R1595">
        <f>Rebate_Industry!R278</f>
        <v>636.8417154974029</v>
      </c>
      <c r="S1595">
        <f>Rebate_Industry!S278</f>
        <v>987.22968333254357</v>
      </c>
      <c r="T1595">
        <f>Rebate_Industry!T278</f>
        <v>1360.4109852569791</v>
      </c>
      <c r="U1595">
        <f>Rebate_Industry!U278</f>
        <v>1757.5637282091595</v>
      </c>
      <c r="V1595">
        <f>Rebate_Industry!V278</f>
        <v>2179.9223186447475</v>
      </c>
      <c r="W1595">
        <f>Rebate_Industry!W278</f>
        <v>2628.7800702990671</v>
      </c>
      <c r="X1595">
        <f>Rebate_Industry!X278</f>
        <v>3105.4919314104172</v>
      </c>
      <c r="Y1595">
        <f>Rebate_Industry!Y278</f>
        <v>3611.4773368702108</v>
      </c>
      <c r="Z1595">
        <f>Rebate_Industry!Z278</f>
        <v>4148.2231910169703</v>
      </c>
      <c r="AA1595">
        <f>Rebate_Industry!AA278</f>
        <v>4717.2869870538898</v>
      </c>
      <c r="AB1595">
        <f>Rebate_Industry!AB278</f>
        <v>5320.3000693444365</v>
      </c>
      <c r="AC1595">
        <f>Rebate_Industry!AC278</f>
        <v>5958.9710451280462</v>
      </c>
      <c r="AD1595">
        <f>Rebate_Industry!AD278</f>
        <v>6635.0893524987559</v>
      </c>
      <c r="AE1595">
        <f>Rebate_Industry!AE278</f>
        <v>7350.5289918043582</v>
      </c>
    </row>
    <row r="1596" spans="1:31" x14ac:dyDescent="0.45">
      <c r="A1596" t="s">
        <v>2482</v>
      </c>
      <c r="D1596">
        <v>2</v>
      </c>
      <c r="E1596" t="s">
        <v>2476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2483</v>
      </c>
      <c r="D1597">
        <v>2</v>
      </c>
      <c r="E1597" t="s">
        <v>2476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2484</v>
      </c>
      <c r="D1598">
        <v>2</v>
      </c>
      <c r="E1598" t="s">
        <v>2476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2485</v>
      </c>
      <c r="D1599">
        <v>2</v>
      </c>
      <c r="E1599" t="s">
        <v>2476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3132</v>
      </c>
    </row>
    <row r="1603" spans="1:31" x14ac:dyDescent="0.45">
      <c r="A1603" s="52" t="s">
        <v>3130</v>
      </c>
    </row>
    <row r="1604" spans="1:31" x14ac:dyDescent="0.45">
      <c r="A1604" t="s">
        <v>2486</v>
      </c>
      <c r="B1604" t="s">
        <v>110</v>
      </c>
      <c r="C1604" t="s">
        <v>43</v>
      </c>
      <c r="D1604">
        <v>1</v>
      </c>
      <c r="E1604" t="s">
        <v>2487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2488</v>
      </c>
      <c r="B1605" t="s">
        <v>110</v>
      </c>
      <c r="C1605" t="s">
        <v>113</v>
      </c>
      <c r="D1605">
        <v>1</v>
      </c>
      <c r="E1605" t="s">
        <v>2487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2489</v>
      </c>
      <c r="B1606" t="s">
        <v>110</v>
      </c>
      <c r="C1606" t="s">
        <v>115</v>
      </c>
      <c r="D1606">
        <v>1</v>
      </c>
      <c r="E1606" t="s">
        <v>2487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2490</v>
      </c>
      <c r="B1607" t="s">
        <v>110</v>
      </c>
      <c r="C1607" t="s">
        <v>117</v>
      </c>
      <c r="D1607">
        <v>1</v>
      </c>
      <c r="E1607" t="s">
        <v>2487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2491</v>
      </c>
      <c r="B1608" t="s">
        <v>110</v>
      </c>
      <c r="C1608" t="s">
        <v>43</v>
      </c>
      <c r="D1608">
        <v>2</v>
      </c>
      <c r="E1608" t="s">
        <v>2492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2493</v>
      </c>
      <c r="B1609" t="s">
        <v>110</v>
      </c>
      <c r="C1609" t="s">
        <v>113</v>
      </c>
      <c r="D1609">
        <v>2</v>
      </c>
      <c r="E1609" t="s">
        <v>2492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2494</v>
      </c>
      <c r="B1610" t="s">
        <v>110</v>
      </c>
      <c r="C1610" t="s">
        <v>115</v>
      </c>
      <c r="D1610">
        <v>2</v>
      </c>
      <c r="E1610" t="s">
        <v>2492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2495</v>
      </c>
      <c r="B1611" t="s">
        <v>110</v>
      </c>
      <c r="C1611" t="s">
        <v>117</v>
      </c>
      <c r="D1611">
        <v>2</v>
      </c>
      <c r="E1611" t="s">
        <v>2492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2496</v>
      </c>
      <c r="B1612" t="s">
        <v>2497</v>
      </c>
      <c r="C1612" t="s">
        <v>43</v>
      </c>
      <c r="D1612">
        <v>2</v>
      </c>
      <c r="E1612" t="s">
        <v>2498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2499</v>
      </c>
      <c r="B1613" t="s">
        <v>2497</v>
      </c>
      <c r="C1613" t="s">
        <v>113</v>
      </c>
      <c r="D1613">
        <v>2</v>
      </c>
      <c r="E1613" t="s">
        <v>2498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2500</v>
      </c>
      <c r="B1614" t="s">
        <v>2497</v>
      </c>
      <c r="C1614" t="s">
        <v>115</v>
      </c>
      <c r="D1614">
        <v>2</v>
      </c>
      <c r="E1614" t="s">
        <v>2498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2501</v>
      </c>
      <c r="B1615" t="s">
        <v>2497</v>
      </c>
      <c r="C1615" t="s">
        <v>117</v>
      </c>
      <c r="D1615">
        <v>2</v>
      </c>
      <c r="E1615" t="s">
        <v>2498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2502</v>
      </c>
      <c r="B1616" t="s">
        <v>110</v>
      </c>
      <c r="C1616" t="s">
        <v>43</v>
      </c>
      <c r="D1616">
        <v>2</v>
      </c>
      <c r="E1616" t="s">
        <v>2503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2504</v>
      </c>
      <c r="B1617" t="s">
        <v>110</v>
      </c>
      <c r="C1617" t="s">
        <v>113</v>
      </c>
      <c r="D1617">
        <v>2</v>
      </c>
      <c r="E1617" t="s">
        <v>2503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2505</v>
      </c>
      <c r="B1618" t="s">
        <v>110</v>
      </c>
      <c r="C1618" t="s">
        <v>115</v>
      </c>
      <c r="D1618">
        <v>2</v>
      </c>
      <c r="E1618" t="s">
        <v>2503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2506</v>
      </c>
      <c r="B1619" t="s">
        <v>110</v>
      </c>
      <c r="C1619" t="s">
        <v>117</v>
      </c>
      <c r="D1619">
        <v>2</v>
      </c>
      <c r="E1619" t="s">
        <v>2503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2507</v>
      </c>
      <c r="B1620" t="s">
        <v>2497</v>
      </c>
      <c r="C1620" t="s">
        <v>43</v>
      </c>
      <c r="D1620">
        <v>2</v>
      </c>
      <c r="E1620" t="s">
        <v>2508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2509</v>
      </c>
      <c r="B1621" t="s">
        <v>2497</v>
      </c>
      <c r="C1621" t="s">
        <v>113</v>
      </c>
      <c r="D1621">
        <v>2</v>
      </c>
      <c r="E1621" t="s">
        <v>2508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2510</v>
      </c>
      <c r="B1622" t="s">
        <v>2497</v>
      </c>
      <c r="C1622" t="s">
        <v>115</v>
      </c>
      <c r="D1622">
        <v>2</v>
      </c>
      <c r="E1622" t="s">
        <v>2508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2511</v>
      </c>
      <c r="B1623" t="s">
        <v>2497</v>
      </c>
      <c r="C1623" t="s">
        <v>117</v>
      </c>
      <c r="D1623">
        <v>2</v>
      </c>
      <c r="E1623" t="s">
        <v>2508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2512</v>
      </c>
      <c r="B1624" t="s">
        <v>110</v>
      </c>
      <c r="C1624" t="s">
        <v>43</v>
      </c>
      <c r="D1624">
        <v>2</v>
      </c>
      <c r="E1624" t="s">
        <v>2513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2514</v>
      </c>
      <c r="B1625" t="s">
        <v>110</v>
      </c>
      <c r="C1625" t="s">
        <v>113</v>
      </c>
      <c r="D1625">
        <v>2</v>
      </c>
      <c r="E1625" t="s">
        <v>2513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2515</v>
      </c>
      <c r="B1626" t="s">
        <v>110</v>
      </c>
      <c r="C1626" t="s">
        <v>115</v>
      </c>
      <c r="D1626">
        <v>2</v>
      </c>
      <c r="E1626" t="s">
        <v>2513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2516</v>
      </c>
      <c r="B1627" t="s">
        <v>110</v>
      </c>
      <c r="C1627" t="s">
        <v>117</v>
      </c>
      <c r="D1627">
        <v>2</v>
      </c>
      <c r="E1627" t="s">
        <v>2513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2517</v>
      </c>
      <c r="B1628" t="s">
        <v>2497</v>
      </c>
      <c r="C1628" t="s">
        <v>43</v>
      </c>
      <c r="D1628">
        <v>2</v>
      </c>
      <c r="E1628" t="s">
        <v>2518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2519</v>
      </c>
      <c r="B1629" t="s">
        <v>2497</v>
      </c>
      <c r="C1629" t="s">
        <v>113</v>
      </c>
      <c r="D1629">
        <v>2</v>
      </c>
      <c r="E1629" t="s">
        <v>2518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2520</v>
      </c>
      <c r="B1630" t="s">
        <v>2497</v>
      </c>
      <c r="C1630" t="s">
        <v>115</v>
      </c>
      <c r="D1630">
        <v>2</v>
      </c>
      <c r="E1630" t="s">
        <v>2518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2521</v>
      </c>
      <c r="B1631" t="s">
        <v>2497</v>
      </c>
      <c r="C1631" t="s">
        <v>117</v>
      </c>
      <c r="D1631">
        <v>2</v>
      </c>
      <c r="E1631" t="s">
        <v>2518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2522</v>
      </c>
      <c r="B1632" t="s">
        <v>110</v>
      </c>
      <c r="C1632" t="s">
        <v>43</v>
      </c>
      <c r="D1632">
        <v>2</v>
      </c>
      <c r="E1632" t="s">
        <v>2523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2524</v>
      </c>
      <c r="B1633" t="s">
        <v>110</v>
      </c>
      <c r="C1633" t="s">
        <v>113</v>
      </c>
      <c r="D1633">
        <v>2</v>
      </c>
      <c r="E1633" t="s">
        <v>2523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2525</v>
      </c>
      <c r="B1634" t="s">
        <v>110</v>
      </c>
      <c r="C1634" t="s">
        <v>115</v>
      </c>
      <c r="D1634">
        <v>2</v>
      </c>
      <c r="E1634" t="s">
        <v>2523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2526</v>
      </c>
      <c r="B1635" t="s">
        <v>110</v>
      </c>
      <c r="C1635" t="s">
        <v>117</v>
      </c>
      <c r="D1635">
        <v>2</v>
      </c>
      <c r="E1635" t="s">
        <v>2523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2527</v>
      </c>
      <c r="B1636" t="s">
        <v>2497</v>
      </c>
      <c r="C1636" t="s">
        <v>43</v>
      </c>
      <c r="D1636">
        <v>2</v>
      </c>
      <c r="E1636" t="s">
        <v>2528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2529</v>
      </c>
      <c r="B1637" t="s">
        <v>2497</v>
      </c>
      <c r="C1637" t="s">
        <v>113</v>
      </c>
      <c r="D1637">
        <v>2</v>
      </c>
      <c r="E1637" t="s">
        <v>2528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2530</v>
      </c>
      <c r="B1638" t="s">
        <v>2497</v>
      </c>
      <c r="C1638" t="s">
        <v>115</v>
      </c>
      <c r="D1638">
        <v>2</v>
      </c>
      <c r="E1638" t="s">
        <v>2528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2531</v>
      </c>
      <c r="B1639" t="s">
        <v>2497</v>
      </c>
      <c r="C1639" t="s">
        <v>117</v>
      </c>
      <c r="D1639">
        <v>2</v>
      </c>
      <c r="E1639" t="s">
        <v>2528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2532</v>
      </c>
      <c r="B1640" t="s">
        <v>110</v>
      </c>
      <c r="C1640" t="s">
        <v>43</v>
      </c>
      <c r="D1640">
        <v>2</v>
      </c>
      <c r="E1640" t="s">
        <v>2533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2534</v>
      </c>
      <c r="B1641" t="s">
        <v>110</v>
      </c>
      <c r="C1641" t="s">
        <v>113</v>
      </c>
      <c r="D1641">
        <v>2</v>
      </c>
      <c r="E1641" t="s">
        <v>2533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2535</v>
      </c>
      <c r="B1642" t="s">
        <v>110</v>
      </c>
      <c r="C1642" t="s">
        <v>115</v>
      </c>
      <c r="D1642">
        <v>2</v>
      </c>
      <c r="E1642" t="s">
        <v>2533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2536</v>
      </c>
      <c r="B1643" t="s">
        <v>110</v>
      </c>
      <c r="C1643" t="s">
        <v>117</v>
      </c>
      <c r="D1643">
        <v>2</v>
      </c>
      <c r="E1643" t="s">
        <v>2533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2537</v>
      </c>
      <c r="B1644" t="s">
        <v>2497</v>
      </c>
      <c r="C1644" t="s">
        <v>43</v>
      </c>
      <c r="D1644">
        <v>2</v>
      </c>
      <c r="E1644" t="s">
        <v>2538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2539</v>
      </c>
      <c r="B1645" t="s">
        <v>2497</v>
      </c>
      <c r="C1645" t="s">
        <v>113</v>
      </c>
      <c r="D1645">
        <v>2</v>
      </c>
      <c r="E1645" t="s">
        <v>2538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2540</v>
      </c>
      <c r="B1646" t="s">
        <v>2497</v>
      </c>
      <c r="C1646" t="s">
        <v>115</v>
      </c>
      <c r="D1646">
        <v>2</v>
      </c>
      <c r="E1646" t="s">
        <v>2538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2541</v>
      </c>
      <c r="B1647" t="s">
        <v>2497</v>
      </c>
      <c r="C1647" t="s">
        <v>117</v>
      </c>
      <c r="D1647">
        <v>2</v>
      </c>
      <c r="E1647" t="s">
        <v>2538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2542</v>
      </c>
      <c r="B1648" t="s">
        <v>110</v>
      </c>
      <c r="C1648" t="s">
        <v>43</v>
      </c>
      <c r="D1648">
        <v>2</v>
      </c>
      <c r="E1648" t="s">
        <v>2543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2544</v>
      </c>
      <c r="B1649" t="s">
        <v>110</v>
      </c>
      <c r="C1649" t="s">
        <v>113</v>
      </c>
      <c r="D1649">
        <v>2</v>
      </c>
      <c r="E1649" t="s">
        <v>2543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2545</v>
      </c>
      <c r="B1650" t="s">
        <v>110</v>
      </c>
      <c r="C1650" t="s">
        <v>115</v>
      </c>
      <c r="D1650">
        <v>2</v>
      </c>
      <c r="E1650" t="s">
        <v>2543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2546</v>
      </c>
      <c r="B1651" t="s">
        <v>110</v>
      </c>
      <c r="C1651" t="s">
        <v>117</v>
      </c>
      <c r="D1651">
        <v>2</v>
      </c>
      <c r="E1651" t="s">
        <v>2543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2547</v>
      </c>
      <c r="B1652" t="s">
        <v>2497</v>
      </c>
      <c r="C1652" t="s">
        <v>43</v>
      </c>
      <c r="D1652">
        <v>2</v>
      </c>
      <c r="E1652" t="s">
        <v>2548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2549</v>
      </c>
      <c r="B1653" t="s">
        <v>2497</v>
      </c>
      <c r="C1653" t="s">
        <v>113</v>
      </c>
      <c r="D1653">
        <v>2</v>
      </c>
      <c r="E1653" t="s">
        <v>2548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2550</v>
      </c>
      <c r="B1654" t="s">
        <v>2497</v>
      </c>
      <c r="C1654" t="s">
        <v>115</v>
      </c>
      <c r="D1654">
        <v>2</v>
      </c>
      <c r="E1654" t="s">
        <v>2548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2551</v>
      </c>
      <c r="B1655" t="s">
        <v>2497</v>
      </c>
      <c r="C1655" t="s">
        <v>117</v>
      </c>
      <c r="D1655">
        <v>2</v>
      </c>
      <c r="E1655" t="s">
        <v>2548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2552</v>
      </c>
      <c r="B1656" t="s">
        <v>110</v>
      </c>
      <c r="C1656" t="s">
        <v>43</v>
      </c>
      <c r="D1656">
        <v>2</v>
      </c>
      <c r="E1656" t="s">
        <v>2553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2554</v>
      </c>
      <c r="B1657" t="s">
        <v>110</v>
      </c>
      <c r="C1657" t="s">
        <v>113</v>
      </c>
      <c r="D1657">
        <v>2</v>
      </c>
      <c r="E1657" t="s">
        <v>2553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2555</v>
      </c>
      <c r="B1658" t="s">
        <v>110</v>
      </c>
      <c r="C1658" t="s">
        <v>115</v>
      </c>
      <c r="D1658">
        <v>2</v>
      </c>
      <c r="E1658" t="s">
        <v>2553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2556</v>
      </c>
      <c r="B1659" t="s">
        <v>110</v>
      </c>
      <c r="C1659" t="s">
        <v>117</v>
      </c>
      <c r="D1659">
        <v>2</v>
      </c>
      <c r="E1659" t="s">
        <v>2553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2557</v>
      </c>
      <c r="B1660" t="s">
        <v>2497</v>
      </c>
      <c r="C1660" t="s">
        <v>43</v>
      </c>
      <c r="D1660">
        <v>2</v>
      </c>
      <c r="E1660" t="s">
        <v>2558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2559</v>
      </c>
      <c r="B1661" t="s">
        <v>2497</v>
      </c>
      <c r="C1661" t="s">
        <v>113</v>
      </c>
      <c r="D1661">
        <v>2</v>
      </c>
      <c r="E1661" t="s">
        <v>2558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2560</v>
      </c>
      <c r="B1662" t="s">
        <v>2497</v>
      </c>
      <c r="C1662" t="s">
        <v>115</v>
      </c>
      <c r="D1662">
        <v>2</v>
      </c>
      <c r="E1662" t="s">
        <v>2558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2561</v>
      </c>
      <c r="B1663" t="s">
        <v>2497</v>
      </c>
      <c r="C1663" t="s">
        <v>117</v>
      </c>
      <c r="D1663">
        <v>2</v>
      </c>
      <c r="E1663" t="s">
        <v>2558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2923</v>
      </c>
    </row>
    <row r="1667" spans="1:35" x14ac:dyDescent="0.45">
      <c r="A1667" t="s">
        <v>3128</v>
      </c>
      <c r="D1667" s="92">
        <f>MAX(F1669:F1704)</f>
        <v>0</v>
      </c>
      <c r="F1667" t="s">
        <v>3129</v>
      </c>
    </row>
    <row r="1668" spans="1:35" x14ac:dyDescent="0.45">
      <c r="A1668" s="50" t="s">
        <v>1504</v>
      </c>
      <c r="B1668" s="50"/>
      <c r="C1668" s="50"/>
      <c r="D1668" s="50" t="s">
        <v>47</v>
      </c>
      <c r="E1668" s="50" t="s">
        <v>1156</v>
      </c>
      <c r="F1668" s="50" t="s">
        <v>1984</v>
      </c>
      <c r="G1668" s="50"/>
      <c r="H1668" s="50"/>
      <c r="I1668" s="50" t="s">
        <v>1505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2924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2925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2926</v>
      </c>
      <c r="D1671">
        <v>1</v>
      </c>
      <c r="E1671" t="s">
        <v>1161</v>
      </c>
      <c r="F1671" s="97">
        <f t="shared" si="363"/>
        <v>0</v>
      </c>
      <c r="I1671">
        <v>0</v>
      </c>
      <c r="L1671" s="97">
        <f>Mitigation_Industry!L360+Mitigation_Industry!L371-Fund_Industry!L123+Fund_Industry!L191</f>
        <v>0</v>
      </c>
      <c r="M1671" s="97">
        <f>Mitigation_Industry!M360+Mitigation_Industry!M371-Fund_Industry!M123+Fund_Industry!M191</f>
        <v>0</v>
      </c>
      <c r="N1671" s="97">
        <f>Mitigation_Industry!N360+Mitigation_Industry!N371-Fund_Industry!N123+Fund_Industry!N191</f>
        <v>0</v>
      </c>
      <c r="O1671" s="97">
        <f>Mitigation_Industry!O360+Mitigation_Industry!O371-Fund_Industry!O123+Fund_Industry!O191</f>
        <v>0</v>
      </c>
      <c r="P1671" s="97">
        <f>Mitigation_Industry!P360+Mitigation_Industry!P371-Fund_Industry!P123+Fund_Industry!P191</f>
        <v>0</v>
      </c>
      <c r="Q1671" s="97">
        <f>Mitigation_Industry!Q360+Mitigation_Industry!Q371-Fund_Industry!Q123+Fund_Industry!Q191</f>
        <v>0</v>
      </c>
      <c r="R1671" s="97">
        <f>Mitigation_Industry!R360+Mitigation_Industry!R371-Fund_Industry!R123+Fund_Industry!R191</f>
        <v>0</v>
      </c>
      <c r="S1671" s="97">
        <f>Mitigation_Industry!S360+Mitigation_Industry!S371-Fund_Industry!S123+Fund_Industry!S191</f>
        <v>0</v>
      </c>
      <c r="T1671" s="97">
        <f>Mitigation_Industry!T360+Mitigation_Industry!T371-Fund_Industry!T123+Fund_Industry!T191</f>
        <v>0</v>
      </c>
      <c r="U1671" s="97">
        <f>Mitigation_Industry!U360+Mitigation_Industry!U371-Fund_Industry!U123+Fund_Industry!U191</f>
        <v>0</v>
      </c>
      <c r="V1671" s="97">
        <f>Mitigation_Industry!V360+Mitigation_Industry!V371-Fund_Industry!V123+Fund_Industry!V191</f>
        <v>0</v>
      </c>
      <c r="W1671" s="97">
        <f>Mitigation_Industry!W360+Mitigation_Industry!W371-Fund_Industry!W123+Fund_Industry!W191</f>
        <v>0</v>
      </c>
      <c r="X1671" s="97">
        <f>Mitigation_Industry!X360+Mitigation_Industry!X371-Fund_Industry!X123+Fund_Industry!X191</f>
        <v>0</v>
      </c>
      <c r="Y1671" s="97">
        <f>Mitigation_Industry!Y360+Mitigation_Industry!Y371-Fund_Industry!Y123+Fund_Industry!Y191</f>
        <v>0</v>
      </c>
      <c r="Z1671" s="97">
        <f>Mitigation_Industry!Z360+Mitigation_Industry!Z371-Fund_Industry!Z123+Fund_Industry!Z191</f>
        <v>0</v>
      </c>
      <c r="AA1671" s="97">
        <f>Mitigation_Industry!AA360+Mitigation_Industry!AA371-Fund_Industry!AA123+Fund_Industry!AA191</f>
        <v>0</v>
      </c>
      <c r="AB1671" s="97">
        <f>Mitigation_Industry!AB360+Mitigation_Industry!AB371-Fund_Industry!AB123+Fund_Industry!AB191</f>
        <v>0</v>
      </c>
      <c r="AC1671" s="97">
        <f>Mitigation_Industry!AC360+Mitigation_Industry!AC371-Fund_Industry!AC123+Fund_Industry!AC191</f>
        <v>0</v>
      </c>
      <c r="AD1671" s="97">
        <f>Mitigation_Industry!AD360+Mitigation_Industry!AD371-Fund_Industry!AD123+Fund_Industry!AD191</f>
        <v>0</v>
      </c>
      <c r="AE1671" s="97">
        <f>Mitigation_Industry!AE360+Mitigation_Industry!AE371-Fund_Industry!AE123+Fund_Industry!AE191</f>
        <v>0</v>
      </c>
    </row>
    <row r="1672" spans="1:35" x14ac:dyDescent="0.45">
      <c r="A1672" t="s">
        <v>2927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2928</v>
      </c>
      <c r="D1673">
        <v>1</v>
      </c>
      <c r="E1673" t="s">
        <v>1161</v>
      </c>
      <c r="F1673" s="134">
        <f t="shared" si="363"/>
        <v>0</v>
      </c>
      <c r="I1673">
        <v>0</v>
      </c>
      <c r="L1673" s="134">
        <f>Mitigation_Industry!L250-Fund_Industry!L122</f>
        <v>0</v>
      </c>
      <c r="M1673" s="134">
        <f>Mitigation_Industry!M250-Fund_Industry!M122</f>
        <v>0</v>
      </c>
      <c r="N1673" s="134">
        <f>Mitigation_Industry!N250-Fund_Industry!N122</f>
        <v>0</v>
      </c>
      <c r="O1673" s="134">
        <f>Mitigation_Industry!O250-Fund_Industry!O122</f>
        <v>0</v>
      </c>
      <c r="P1673" s="134">
        <f>Mitigation_Industry!P250-Fund_Industry!P122</f>
        <v>0</v>
      </c>
      <c r="Q1673" s="134">
        <f>Mitigation_Industry!Q250-Fund_Industry!Q122</f>
        <v>0</v>
      </c>
      <c r="R1673" s="134">
        <f>Mitigation_Industry!R250-Fund_Industry!R122</f>
        <v>0</v>
      </c>
      <c r="S1673" s="134">
        <f>Mitigation_Industry!S250-Fund_Industry!S122</f>
        <v>0</v>
      </c>
      <c r="T1673" s="134">
        <f>Mitigation_Industry!T250-Fund_Industry!T122</f>
        <v>0</v>
      </c>
      <c r="U1673" s="134">
        <f>Mitigation_Industry!U250-Fund_Industry!U122</f>
        <v>0</v>
      </c>
      <c r="V1673" s="134">
        <f>Mitigation_Industry!V250-Fund_Industry!V122</f>
        <v>0</v>
      </c>
      <c r="W1673" s="134">
        <f>Mitigation_Industry!W250-Fund_Industry!W122</f>
        <v>0</v>
      </c>
      <c r="X1673" s="134">
        <f>Mitigation_Industry!X250-Fund_Industry!X122</f>
        <v>0</v>
      </c>
      <c r="Y1673" s="134">
        <f>Mitigation_Industry!Y250-Fund_Industry!Y122</f>
        <v>0</v>
      </c>
      <c r="Z1673" s="134">
        <f>Mitigation_Industry!Z250-Fund_Industry!Z122</f>
        <v>0</v>
      </c>
      <c r="AA1673" s="134">
        <f>Mitigation_Industry!AA250-Fund_Industry!AA122</f>
        <v>0</v>
      </c>
      <c r="AB1673" s="134">
        <f>Mitigation_Industry!AB250-Fund_Industry!AB122</f>
        <v>0</v>
      </c>
      <c r="AC1673" s="134">
        <f>Mitigation_Industry!AC250-Fund_Industry!AC122</f>
        <v>0</v>
      </c>
      <c r="AD1673" s="134">
        <f>Mitigation_Industry!AD250-Fund_Industry!AD122</f>
        <v>0</v>
      </c>
      <c r="AE1673" s="134">
        <f>Mitigation_Industry!AE250-Fund_Industry!AE122</f>
        <v>0</v>
      </c>
    </row>
    <row r="1674" spans="1:35" x14ac:dyDescent="0.45">
      <c r="A1674" t="s">
        <v>2925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2926</v>
      </c>
      <c r="D1675">
        <v>2</v>
      </c>
      <c r="E1675" t="s">
        <v>1161</v>
      </c>
      <c r="F1675" s="97">
        <f t="shared" si="363"/>
        <v>0</v>
      </c>
      <c r="I1675">
        <v>0</v>
      </c>
      <c r="L1675" s="97">
        <f>Mitigation_Industry!L759+Mitigation_Industry!L770-Fund_Industry!L330+Fund_Industry!L398</f>
        <v>0</v>
      </c>
      <c r="M1675" s="97">
        <f>Mitigation_Industry!M759+Mitigation_Industry!M770-Fund_Industry!M330+Fund_Industry!M398</f>
        <v>0</v>
      </c>
      <c r="N1675" s="97">
        <f>Mitigation_Industry!N759+Mitigation_Industry!N770-Fund_Industry!N330+Fund_Industry!N398</f>
        <v>0</v>
      </c>
      <c r="O1675" s="97">
        <f>Mitigation_Industry!O759+Mitigation_Industry!O770-Fund_Industry!O330+Fund_Industry!O398</f>
        <v>0</v>
      </c>
      <c r="P1675" s="97">
        <f>Mitigation_Industry!P759+Mitigation_Industry!P770-Fund_Industry!P330+Fund_Industry!P398</f>
        <v>0</v>
      </c>
      <c r="Q1675" s="97">
        <f>Mitigation_Industry!Q759+Mitigation_Industry!Q770-Fund_Industry!Q330+Fund_Industry!Q398</f>
        <v>0</v>
      </c>
      <c r="R1675" s="97">
        <f>Mitigation_Industry!R759+Mitigation_Industry!R770-Fund_Industry!R330+Fund_Industry!R398</f>
        <v>0</v>
      </c>
      <c r="S1675" s="97">
        <f>Mitigation_Industry!S759+Mitigation_Industry!S770-Fund_Industry!S330+Fund_Industry!S398</f>
        <v>0</v>
      </c>
      <c r="T1675" s="97">
        <f>Mitigation_Industry!T759+Mitigation_Industry!T770-Fund_Industry!T330+Fund_Industry!T398</f>
        <v>0</v>
      </c>
      <c r="U1675" s="97">
        <f>Mitigation_Industry!U759+Mitigation_Industry!U770-Fund_Industry!U330+Fund_Industry!U398</f>
        <v>0</v>
      </c>
      <c r="V1675" s="97">
        <f>Mitigation_Industry!V759+Mitigation_Industry!V770-Fund_Industry!V330+Fund_Industry!V398</f>
        <v>0</v>
      </c>
      <c r="W1675" s="97">
        <f>Mitigation_Industry!W759+Mitigation_Industry!W770-Fund_Industry!W330+Fund_Industry!W398</f>
        <v>0</v>
      </c>
      <c r="X1675" s="97">
        <f>Mitigation_Industry!X759+Mitigation_Industry!X770-Fund_Industry!X330+Fund_Industry!X398</f>
        <v>0</v>
      </c>
      <c r="Y1675" s="97">
        <f>Mitigation_Industry!Y759+Mitigation_Industry!Y770-Fund_Industry!Y330+Fund_Industry!Y398</f>
        <v>0</v>
      </c>
      <c r="Z1675" s="97">
        <f>Mitigation_Industry!Z759+Mitigation_Industry!Z770-Fund_Industry!Z330+Fund_Industry!Z398</f>
        <v>0</v>
      </c>
      <c r="AA1675" s="97">
        <f>Mitigation_Industry!AA759+Mitigation_Industry!AA770-Fund_Industry!AA330+Fund_Industry!AA398</f>
        <v>0</v>
      </c>
      <c r="AB1675" s="97">
        <f>Mitigation_Industry!AB759+Mitigation_Industry!AB770-Fund_Industry!AB330+Fund_Industry!AB398</f>
        <v>0</v>
      </c>
      <c r="AC1675" s="97">
        <f>Mitigation_Industry!AC759+Mitigation_Industry!AC770-Fund_Industry!AC330+Fund_Industry!AC398</f>
        <v>0</v>
      </c>
      <c r="AD1675" s="97">
        <f>Mitigation_Industry!AD759+Mitigation_Industry!AD770-Fund_Industry!AD330+Fund_Industry!AD398</f>
        <v>0</v>
      </c>
      <c r="AE1675" s="97">
        <f>Mitigation_Industry!AE759+Mitigation_Industry!AE770-Fund_Industry!AE330+Fund_Industry!AE398</f>
        <v>0</v>
      </c>
    </row>
    <row r="1676" spans="1:35" x14ac:dyDescent="0.45">
      <c r="A1676" t="s">
        <v>2927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2928</v>
      </c>
      <c r="D1677">
        <v>2</v>
      </c>
      <c r="E1677" t="s">
        <v>1161</v>
      </c>
      <c r="F1677" s="134">
        <f t="shared" si="363"/>
        <v>0</v>
      </c>
      <c r="I1677">
        <v>0</v>
      </c>
      <c r="L1677" s="134">
        <f>Mitigation_Industry!L649-Fund_Industry!L329</f>
        <v>0</v>
      </c>
      <c r="M1677" s="134">
        <f>Mitigation_Industry!M649-Fund_Industry!M329</f>
        <v>0</v>
      </c>
      <c r="N1677" s="134">
        <f>Mitigation_Industry!N649-Fund_Industry!N329</f>
        <v>0</v>
      </c>
      <c r="O1677" s="134">
        <f>Mitigation_Industry!O649-Fund_Industry!O329</f>
        <v>0</v>
      </c>
      <c r="P1677" s="134">
        <f>Mitigation_Industry!P649-Fund_Industry!P329</f>
        <v>0</v>
      </c>
      <c r="Q1677" s="134">
        <f>Mitigation_Industry!Q649-Fund_Industry!Q329</f>
        <v>0</v>
      </c>
      <c r="R1677" s="134">
        <f>Mitigation_Industry!R649-Fund_Industry!R329</f>
        <v>0</v>
      </c>
      <c r="S1677" s="134">
        <f>Mitigation_Industry!S649-Fund_Industry!S329</f>
        <v>0</v>
      </c>
      <c r="T1677" s="134">
        <f>Mitigation_Industry!T649-Fund_Industry!T329</f>
        <v>0</v>
      </c>
      <c r="U1677" s="134">
        <f>Mitigation_Industry!U649-Fund_Industry!U329</f>
        <v>0</v>
      </c>
      <c r="V1677" s="134">
        <f>Mitigation_Industry!V649-Fund_Industry!V329</f>
        <v>0</v>
      </c>
      <c r="W1677" s="134">
        <f>Mitigation_Industry!W649-Fund_Industry!W329</f>
        <v>0</v>
      </c>
      <c r="X1677" s="134">
        <f>Mitigation_Industry!X649-Fund_Industry!X329</f>
        <v>0</v>
      </c>
      <c r="Y1677" s="134">
        <f>Mitigation_Industry!Y649-Fund_Industry!Y329</f>
        <v>0</v>
      </c>
      <c r="Z1677" s="134">
        <f>Mitigation_Industry!Z649-Fund_Industry!Z329</f>
        <v>0</v>
      </c>
      <c r="AA1677" s="134">
        <f>Mitigation_Industry!AA649-Fund_Industry!AA329</f>
        <v>0</v>
      </c>
      <c r="AB1677" s="134">
        <f>Mitigation_Industry!AB649-Fund_Industry!AB329</f>
        <v>0</v>
      </c>
      <c r="AC1677" s="134">
        <f>Mitigation_Industry!AC649-Fund_Industry!AC329</f>
        <v>0</v>
      </c>
      <c r="AD1677" s="134">
        <f>Mitigation_Industry!AD649-Fund_Industry!AD329</f>
        <v>0</v>
      </c>
      <c r="AE1677" s="134">
        <f>Mitigation_Industry!AE649-Fund_Industry!AE329</f>
        <v>0</v>
      </c>
    </row>
    <row r="1678" spans="1:35" x14ac:dyDescent="0.45">
      <c r="A1678" t="s">
        <v>2929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2930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2931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2932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2933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2934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2935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2936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2937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2938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2939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2940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2941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2942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2943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2944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2945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2946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2947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2948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2949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2950</v>
      </c>
      <c r="D1699">
        <v>2</v>
      </c>
      <c r="E1699" t="s">
        <v>2193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2951</v>
      </c>
      <c r="D1700">
        <v>2</v>
      </c>
      <c r="E1700" t="s">
        <v>2193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2952</v>
      </c>
      <c r="D1701">
        <v>2</v>
      </c>
      <c r="E1701" t="s">
        <v>2193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2953</v>
      </c>
      <c r="D1702">
        <v>2</v>
      </c>
      <c r="E1702" t="s">
        <v>2193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2954</v>
      </c>
      <c r="D1703">
        <v>2</v>
      </c>
      <c r="E1703" t="s">
        <v>2193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2955</v>
      </c>
      <c r="D1704">
        <v>2</v>
      </c>
      <c r="E1704" t="s">
        <v>2193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2956</v>
      </c>
      <c r="D1705">
        <v>2</v>
      </c>
      <c r="E1705" t="s">
        <v>2476</v>
      </c>
      <c r="F1705" s="134">
        <f t="shared" ref="F1705:F1721" si="365">MAX(MAX(L1705:AE1705),-MIN(L1705:AE1705))</f>
        <v>0</v>
      </c>
      <c r="L1705" s="134">
        <f>Fund_Industry!L329</f>
        <v>0</v>
      </c>
      <c r="M1705" s="134">
        <f>Fund_Industry!M329</f>
        <v>0</v>
      </c>
      <c r="N1705" s="134">
        <f>Fund_Industry!N329</f>
        <v>0</v>
      </c>
      <c r="O1705" s="134">
        <f>Fund_Industry!O329</f>
        <v>0</v>
      </c>
      <c r="P1705" s="134">
        <f>Fund_Industry!P329</f>
        <v>0</v>
      </c>
      <c r="Q1705" s="134">
        <f>Fund_Industry!Q329</f>
        <v>0</v>
      </c>
      <c r="R1705" s="134">
        <f>Fund_Industry!R329</f>
        <v>0</v>
      </c>
      <c r="S1705" s="134">
        <f>Fund_Industry!S329</f>
        <v>0</v>
      </c>
      <c r="T1705" s="134">
        <f>Fund_Industry!T329</f>
        <v>0</v>
      </c>
      <c r="U1705" s="134">
        <f>Fund_Industry!U329</f>
        <v>0</v>
      </c>
      <c r="V1705" s="134">
        <f>Fund_Industry!V329</f>
        <v>0</v>
      </c>
      <c r="W1705" s="134">
        <f>Fund_Industry!W329</f>
        <v>0</v>
      </c>
      <c r="X1705" s="134">
        <f>Fund_Industry!X329</f>
        <v>0</v>
      </c>
      <c r="Y1705" s="134">
        <f>Fund_Industry!Y329</f>
        <v>0</v>
      </c>
      <c r="Z1705" s="134">
        <f>Fund_Industry!Z329</f>
        <v>0</v>
      </c>
      <c r="AA1705" s="134">
        <f>Fund_Industry!AA329</f>
        <v>0</v>
      </c>
      <c r="AB1705" s="134">
        <f>Fund_Industry!AB329</f>
        <v>0</v>
      </c>
      <c r="AC1705" s="134">
        <f>Fund_Industry!AC329</f>
        <v>0</v>
      </c>
      <c r="AD1705" s="134">
        <f>Fund_Industry!AD329</f>
        <v>0</v>
      </c>
      <c r="AE1705" s="134">
        <f>Fund_Industry!AE329</f>
        <v>0</v>
      </c>
    </row>
    <row r="1706" spans="1:31" x14ac:dyDescent="0.45">
      <c r="A1706" t="s">
        <v>2957</v>
      </c>
      <c r="D1706">
        <v>2</v>
      </c>
      <c r="E1706" t="s">
        <v>2476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2958</v>
      </c>
      <c r="D1707">
        <v>2</v>
      </c>
      <c r="E1707" t="s">
        <v>2476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2959</v>
      </c>
      <c r="D1708">
        <v>2</v>
      </c>
      <c r="E1708" t="s">
        <v>2476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2960</v>
      </c>
      <c r="D1709">
        <v>2</v>
      </c>
      <c r="E1709" t="s">
        <v>2476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2961</v>
      </c>
      <c r="D1710">
        <v>2</v>
      </c>
      <c r="E1710" t="s">
        <v>2476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2962</v>
      </c>
      <c r="D1711">
        <v>2</v>
      </c>
      <c r="E1711" t="s">
        <v>2476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2963</v>
      </c>
      <c r="D1712">
        <v>2</v>
      </c>
      <c r="E1712" t="s">
        <v>2476</v>
      </c>
      <c r="F1712" s="135">
        <f t="shared" si="365"/>
        <v>0</v>
      </c>
      <c r="L1712" s="135">
        <f>Fund_Industry!L404</f>
        <v>0</v>
      </c>
      <c r="M1712" s="135">
        <f>Fund_Industry!M404</f>
        <v>0</v>
      </c>
      <c r="N1712" s="135">
        <f>Fund_Industry!N404</f>
        <v>0</v>
      </c>
      <c r="O1712" s="135">
        <f>Fund_Industry!O404</f>
        <v>0</v>
      </c>
      <c r="P1712" s="135">
        <f>Fund_Industry!P404</f>
        <v>0</v>
      </c>
      <c r="Q1712" s="135">
        <f>Fund_Industry!Q404</f>
        <v>0</v>
      </c>
      <c r="R1712" s="135">
        <f>Fund_Industry!R404</f>
        <v>0</v>
      </c>
      <c r="S1712" s="135">
        <f>Fund_Industry!S404</f>
        <v>0</v>
      </c>
      <c r="T1712" s="135">
        <f>Fund_Industry!T404</f>
        <v>0</v>
      </c>
      <c r="U1712" s="135">
        <f>Fund_Industry!U404</f>
        <v>0</v>
      </c>
      <c r="V1712" s="135">
        <f>Fund_Industry!V404</f>
        <v>0</v>
      </c>
      <c r="W1712" s="135">
        <f>Fund_Industry!W404</f>
        <v>0</v>
      </c>
      <c r="X1712" s="135">
        <f>Fund_Industry!X404</f>
        <v>0</v>
      </c>
      <c r="Y1712" s="135">
        <f>Fund_Industry!Y404</f>
        <v>0</v>
      </c>
      <c r="Z1712" s="135">
        <f>Fund_Industry!Z404</f>
        <v>0</v>
      </c>
      <c r="AA1712" s="135">
        <f>Fund_Industry!AA404</f>
        <v>0</v>
      </c>
      <c r="AB1712" s="135">
        <f>Fund_Industry!AB404</f>
        <v>0</v>
      </c>
      <c r="AC1712" s="135">
        <f>Fund_Industry!AC404</f>
        <v>0</v>
      </c>
      <c r="AD1712" s="135">
        <f>Fund_Industry!AD404</f>
        <v>0</v>
      </c>
      <c r="AE1712" s="135">
        <f>Fund_Industry!AE404</f>
        <v>0</v>
      </c>
    </row>
    <row r="1713" spans="1:31" x14ac:dyDescent="0.45">
      <c r="A1713" t="s">
        <v>2964</v>
      </c>
      <c r="D1713">
        <v>2</v>
      </c>
      <c r="E1713" t="s">
        <v>2476</v>
      </c>
      <c r="F1713" s="134">
        <f t="shared" si="365"/>
        <v>0</v>
      </c>
      <c r="L1713" s="134">
        <f>Fund_Industry!L407</f>
        <v>0</v>
      </c>
      <c r="M1713" s="134">
        <f>Fund_Industry!M407</f>
        <v>0</v>
      </c>
      <c r="N1713" s="134">
        <f>Fund_Industry!N407</f>
        <v>0</v>
      </c>
      <c r="O1713" s="134">
        <f>Fund_Industry!O407</f>
        <v>0</v>
      </c>
      <c r="P1713" s="134">
        <f>Fund_Industry!P407</f>
        <v>0</v>
      </c>
      <c r="Q1713" s="134">
        <f>Fund_Industry!Q407</f>
        <v>0</v>
      </c>
      <c r="R1713" s="134">
        <f>Fund_Industry!R407</f>
        <v>0</v>
      </c>
      <c r="S1713" s="134">
        <f>Fund_Industry!S407</f>
        <v>0</v>
      </c>
      <c r="T1713" s="134">
        <f>Fund_Industry!T407</f>
        <v>0</v>
      </c>
      <c r="U1713" s="134">
        <f>Fund_Industry!U407</f>
        <v>0</v>
      </c>
      <c r="V1713" s="134">
        <f>Fund_Industry!V407</f>
        <v>0</v>
      </c>
      <c r="W1713" s="134">
        <f>Fund_Industry!W407</f>
        <v>0</v>
      </c>
      <c r="X1713" s="134">
        <f>Fund_Industry!X407</f>
        <v>0</v>
      </c>
      <c r="Y1713" s="134">
        <f>Fund_Industry!Y407</f>
        <v>0</v>
      </c>
      <c r="Z1713" s="134">
        <f>Fund_Industry!Z407</f>
        <v>0</v>
      </c>
      <c r="AA1713" s="134">
        <f>Fund_Industry!AA407</f>
        <v>0</v>
      </c>
      <c r="AB1713" s="134">
        <f>Fund_Industry!AB407</f>
        <v>0</v>
      </c>
      <c r="AC1713" s="134">
        <f>Fund_Industry!AC407</f>
        <v>0</v>
      </c>
      <c r="AD1713" s="134">
        <f>Fund_Industry!AD407</f>
        <v>0</v>
      </c>
      <c r="AE1713" s="134">
        <f>Fund_Industry!AE407</f>
        <v>0</v>
      </c>
    </row>
    <row r="1714" spans="1:31" x14ac:dyDescent="0.45">
      <c r="A1714" t="s">
        <v>2965</v>
      </c>
      <c r="D1714">
        <v>2</v>
      </c>
      <c r="E1714" t="s">
        <v>2476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2966</v>
      </c>
      <c r="D1715">
        <v>2</v>
      </c>
      <c r="E1715" t="s">
        <v>2476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2967</v>
      </c>
      <c r="D1716">
        <v>2</v>
      </c>
      <c r="E1716" t="s">
        <v>2476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2968</v>
      </c>
      <c r="D1717">
        <v>2</v>
      </c>
      <c r="E1717" t="s">
        <v>2476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2969</v>
      </c>
      <c r="D1718">
        <v>2</v>
      </c>
      <c r="E1718" t="s">
        <v>2476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2970</v>
      </c>
      <c r="D1719">
        <v>2</v>
      </c>
      <c r="E1719" t="s">
        <v>2476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2971</v>
      </c>
      <c r="D1720">
        <v>2</v>
      </c>
      <c r="E1720" t="s">
        <v>2476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2972</v>
      </c>
      <c r="D1721">
        <v>2</v>
      </c>
      <c r="E1721" t="s">
        <v>2476</v>
      </c>
      <c r="F1721">
        <f t="shared" si="365"/>
        <v>7350.5289918043582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308.12278080273347</v>
      </c>
      <c r="R1721">
        <f>Rebate_Industry!R278</f>
        <v>636.8417154974029</v>
      </c>
      <c r="S1721">
        <f>Rebate_Industry!S278</f>
        <v>987.22968333254357</v>
      </c>
      <c r="T1721">
        <f>Rebate_Industry!T278</f>
        <v>1360.4109852569791</v>
      </c>
      <c r="U1721">
        <f>Rebate_Industry!U278</f>
        <v>1757.5637282091595</v>
      </c>
      <c r="V1721">
        <f>Rebate_Industry!V278</f>
        <v>2179.9223186447475</v>
      </c>
      <c r="W1721">
        <f>Rebate_Industry!W278</f>
        <v>2628.7800702990671</v>
      </c>
      <c r="X1721">
        <f>Rebate_Industry!X278</f>
        <v>3105.4919314104172</v>
      </c>
      <c r="Y1721">
        <f>Rebate_Industry!Y278</f>
        <v>3611.4773368702108</v>
      </c>
      <c r="Z1721">
        <f>Rebate_Industry!Z278</f>
        <v>4148.2231910169703</v>
      </c>
      <c r="AA1721">
        <f>Rebate_Industry!AA278</f>
        <v>4717.2869870538898</v>
      </c>
      <c r="AB1721">
        <f>Rebate_Industry!AB278</f>
        <v>5320.3000693444365</v>
      </c>
      <c r="AC1721">
        <f>Rebate_Industry!AC278</f>
        <v>5958.9710451280462</v>
      </c>
      <c r="AD1721">
        <f>Rebate_Industry!AD278</f>
        <v>6635.0893524987559</v>
      </c>
      <c r="AE1721">
        <f>Rebate_Industry!AE278</f>
        <v>7350.5289918043582</v>
      </c>
    </row>
    <row r="1723" spans="1:31" x14ac:dyDescent="0.45">
      <c r="A1723" t="s">
        <v>2973</v>
      </c>
    </row>
    <row r="1725" spans="1:31" x14ac:dyDescent="0.45">
      <c r="A1725" s="52" t="s">
        <v>3131</v>
      </c>
    </row>
    <row r="1726" spans="1:31" x14ac:dyDescent="0.45">
      <c r="A1726" t="s">
        <v>2974</v>
      </c>
      <c r="B1726" t="s">
        <v>110</v>
      </c>
      <c r="C1726" t="s">
        <v>43</v>
      </c>
      <c r="D1726">
        <v>1</v>
      </c>
      <c r="E1726" t="s">
        <v>2975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2976</v>
      </c>
      <c r="B1727" t="s">
        <v>110</v>
      </c>
      <c r="C1727" t="s">
        <v>113</v>
      </c>
      <c r="D1727">
        <v>1</v>
      </c>
      <c r="E1727" t="s">
        <v>2975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2977</v>
      </c>
      <c r="B1728" t="s">
        <v>110</v>
      </c>
      <c r="C1728" t="s">
        <v>115</v>
      </c>
      <c r="D1728">
        <v>1</v>
      </c>
      <c r="E1728" t="s">
        <v>2975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2978</v>
      </c>
      <c r="B1729" t="s">
        <v>110</v>
      </c>
      <c r="C1729" t="s">
        <v>117</v>
      </c>
      <c r="D1729">
        <v>1</v>
      </c>
      <c r="E1729" t="s">
        <v>2975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2979</v>
      </c>
      <c r="B1730" t="s">
        <v>110</v>
      </c>
      <c r="C1730" t="s">
        <v>43</v>
      </c>
      <c r="D1730">
        <v>2</v>
      </c>
      <c r="E1730" t="s">
        <v>2980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2981</v>
      </c>
      <c r="B1731" t="s">
        <v>110</v>
      </c>
      <c r="C1731" t="s">
        <v>113</v>
      </c>
      <c r="D1731">
        <v>2</v>
      </c>
      <c r="E1731" t="s">
        <v>2980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2982</v>
      </c>
      <c r="B1732" t="s">
        <v>110</v>
      </c>
      <c r="C1732" t="s">
        <v>115</v>
      </c>
      <c r="D1732">
        <v>2</v>
      </c>
      <c r="E1732" t="s">
        <v>2980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2983</v>
      </c>
      <c r="B1733" t="s">
        <v>110</v>
      </c>
      <c r="C1733" t="s">
        <v>117</v>
      </c>
      <c r="D1733">
        <v>2</v>
      </c>
      <c r="E1733" t="s">
        <v>2980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2984</v>
      </c>
      <c r="B1734" t="s">
        <v>2497</v>
      </c>
      <c r="C1734" t="s">
        <v>43</v>
      </c>
      <c r="D1734">
        <v>2</v>
      </c>
      <c r="E1734" t="s">
        <v>2985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2986</v>
      </c>
      <c r="B1735" t="s">
        <v>2497</v>
      </c>
      <c r="C1735" t="s">
        <v>113</v>
      </c>
      <c r="D1735">
        <v>2</v>
      </c>
      <c r="E1735" t="s">
        <v>2985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2987</v>
      </c>
      <c r="B1736" t="s">
        <v>2497</v>
      </c>
      <c r="C1736" t="s">
        <v>115</v>
      </c>
      <c r="D1736">
        <v>2</v>
      </c>
      <c r="E1736" t="s">
        <v>2985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2988</v>
      </c>
      <c r="B1737" t="s">
        <v>2497</v>
      </c>
      <c r="C1737" t="s">
        <v>117</v>
      </c>
      <c r="D1737">
        <v>2</v>
      </c>
      <c r="E1737" t="s">
        <v>2985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2989</v>
      </c>
      <c r="B1738" t="s">
        <v>110</v>
      </c>
      <c r="C1738" t="s">
        <v>2701</v>
      </c>
      <c r="D1738">
        <v>2</v>
      </c>
      <c r="E1738" t="s">
        <v>2990</v>
      </c>
      <c r="L1738" s="43">
        <v>47.016585657660869</v>
      </c>
      <c r="M1738" s="43">
        <v>48.583140104124077</v>
      </c>
      <c r="N1738" s="43">
        <v>50.203203500000001</v>
      </c>
      <c r="O1738" s="43">
        <v>51.878652142999996</v>
      </c>
      <c r="P1738" s="43">
        <v>53.611430083849996</v>
      </c>
      <c r="Q1738" s="43">
        <v>55.403551656613665</v>
      </c>
      <c r="R1738" s="43">
        <v>57.257104107200519</v>
      </c>
      <c r="S1738" s="43">
        <v>59.174250324032485</v>
      </c>
      <c r="T1738" s="43">
        <v>61.157231675010621</v>
      </c>
      <c r="U1738" s="43">
        <v>63.208370955098907</v>
      </c>
      <c r="V1738" s="43">
        <v>65.330075449025699</v>
      </c>
      <c r="W1738" s="43">
        <v>67.52484011379407</v>
      </c>
      <c r="X1738" s="43">
        <v>69.795250885892727</v>
      </c>
      <c r="Y1738" s="43">
        <v>72.143988118307931</v>
      </c>
      <c r="Z1738" s="43">
        <v>74.573830152653841</v>
      </c>
      <c r="AA1738" s="43">
        <v>77.087657031968192</v>
      </c>
      <c r="AB1738" s="43">
        <v>79.688454359956438</v>
      </c>
      <c r="AC1738" s="43">
        <v>82.379317312717077</v>
      </c>
      <c r="AD1738" s="43">
        <v>85.163454809240335</v>
      </c>
      <c r="AE1738" s="43">
        <v>88.044193847243562</v>
      </c>
    </row>
    <row r="1739" spans="1:31" x14ac:dyDescent="0.45">
      <c r="A1739" t="s">
        <v>2991</v>
      </c>
      <c r="B1739" t="s">
        <v>110</v>
      </c>
      <c r="C1739" t="s">
        <v>2701</v>
      </c>
      <c r="D1739">
        <v>2</v>
      </c>
      <c r="E1739" t="s">
        <v>2992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308.12278080273347</v>
      </c>
      <c r="R1739" s="43">
        <v>636.8417154974029</v>
      </c>
      <c r="S1739" s="43">
        <v>987.22968333254357</v>
      </c>
      <c r="T1739" s="43">
        <v>1360.4109852569791</v>
      </c>
      <c r="U1739" s="43">
        <v>1757.5637282091595</v>
      </c>
      <c r="V1739" s="43">
        <v>2179.9223186447475</v>
      </c>
      <c r="W1739" s="43">
        <v>2628.7800702990671</v>
      </c>
      <c r="X1739" s="43">
        <v>3105.4919314104172</v>
      </c>
      <c r="Y1739" s="43">
        <v>3611.4773368702108</v>
      </c>
      <c r="Z1739" s="43">
        <v>4148.2231910169703</v>
      </c>
      <c r="AA1739" s="43">
        <v>4717.2869870538898</v>
      </c>
      <c r="AB1739" s="43">
        <v>5320.3000693444365</v>
      </c>
      <c r="AC1739" s="43">
        <v>5958.9710451280462</v>
      </c>
      <c r="AD1739" s="43">
        <v>6635.0893524987559</v>
      </c>
      <c r="AE1739" s="43">
        <v>7350.5289918043582</v>
      </c>
    </row>
    <row r="1740" spans="1:31" x14ac:dyDescent="0.45">
      <c r="A1740" t="s">
        <v>2993</v>
      </c>
      <c r="B1740" t="s">
        <v>110</v>
      </c>
      <c r="C1740" t="s">
        <v>2701</v>
      </c>
      <c r="D1740">
        <v>2</v>
      </c>
      <c r="E1740" t="s">
        <v>2994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2995</v>
      </c>
      <c r="B1741" t="s">
        <v>110</v>
      </c>
      <c r="C1741" t="s">
        <v>2701</v>
      </c>
      <c r="D1741">
        <v>2</v>
      </c>
      <c r="E1741" t="s">
        <v>2996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308.12278080273347</v>
      </c>
      <c r="R1741" s="43">
        <v>636.8417154974029</v>
      </c>
      <c r="S1741" s="43">
        <v>987.22968333254357</v>
      </c>
      <c r="T1741" s="43">
        <v>1360.4109852569791</v>
      </c>
      <c r="U1741" s="43">
        <v>1757.5637282091595</v>
      </c>
      <c r="V1741" s="43">
        <v>2179.9223186447475</v>
      </c>
      <c r="W1741" s="43">
        <v>2628.7800702990671</v>
      </c>
      <c r="X1741" s="43">
        <v>3105.4919314104172</v>
      </c>
      <c r="Y1741" s="43">
        <v>3611.4773368702108</v>
      </c>
      <c r="Z1741" s="43">
        <v>4148.2231910169703</v>
      </c>
      <c r="AA1741" s="43">
        <v>4717.2869870538898</v>
      </c>
      <c r="AB1741" s="43">
        <v>5320.3000693444365</v>
      </c>
      <c r="AC1741" s="43">
        <v>5958.9710451280462</v>
      </c>
      <c r="AD1741" s="43">
        <v>6635.0893524987559</v>
      </c>
      <c r="AE1741" s="43">
        <v>7350.5289918043582</v>
      </c>
    </row>
    <row r="1742" spans="1:31" x14ac:dyDescent="0.45">
      <c r="A1742" t="s">
        <v>2997</v>
      </c>
      <c r="B1742" t="s">
        <v>110</v>
      </c>
      <c r="C1742" t="s">
        <v>2701</v>
      </c>
      <c r="D1742">
        <v>2</v>
      </c>
      <c r="E1742" t="s">
        <v>2998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2999</v>
      </c>
      <c r="B1743" t="s">
        <v>3000</v>
      </c>
      <c r="C1743" t="s">
        <v>2701</v>
      </c>
      <c r="D1743">
        <v>2</v>
      </c>
      <c r="E1743" t="s">
        <v>3001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3002</v>
      </c>
      <c r="B1744" t="s">
        <v>110</v>
      </c>
      <c r="C1744" t="s">
        <v>43</v>
      </c>
      <c r="D1744">
        <v>2</v>
      </c>
      <c r="E1744" t="s">
        <v>3003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3004</v>
      </c>
      <c r="B1745" t="s">
        <v>110</v>
      </c>
      <c r="C1745" t="s">
        <v>113</v>
      </c>
      <c r="D1745">
        <v>2</v>
      </c>
      <c r="E1745" t="s">
        <v>3003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3005</v>
      </c>
      <c r="B1746" t="s">
        <v>110</v>
      </c>
      <c r="C1746" t="s">
        <v>115</v>
      </c>
      <c r="D1746">
        <v>2</v>
      </c>
      <c r="E1746" t="s">
        <v>3003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3006</v>
      </c>
      <c r="B1747" t="s">
        <v>110</v>
      </c>
      <c r="C1747" t="s">
        <v>117</v>
      </c>
      <c r="D1747">
        <v>2</v>
      </c>
      <c r="E1747" t="s">
        <v>3003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3007</v>
      </c>
      <c r="B1748" t="s">
        <v>2497</v>
      </c>
      <c r="C1748" t="s">
        <v>43</v>
      </c>
      <c r="D1748">
        <v>2</v>
      </c>
      <c r="E1748" t="s">
        <v>3008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3009</v>
      </c>
      <c r="B1749" t="s">
        <v>2497</v>
      </c>
      <c r="C1749" t="s">
        <v>113</v>
      </c>
      <c r="D1749">
        <v>2</v>
      </c>
      <c r="E1749" t="s">
        <v>3008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3010</v>
      </c>
      <c r="B1750" t="s">
        <v>2497</v>
      </c>
      <c r="C1750" t="s">
        <v>115</v>
      </c>
      <c r="D1750">
        <v>2</v>
      </c>
      <c r="E1750" t="s">
        <v>3008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3011</v>
      </c>
      <c r="B1751" t="s">
        <v>2497</v>
      </c>
      <c r="C1751" t="s">
        <v>117</v>
      </c>
      <c r="D1751">
        <v>2</v>
      </c>
      <c r="E1751" t="s">
        <v>3008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3012</v>
      </c>
      <c r="B1752" t="s">
        <v>110</v>
      </c>
      <c r="C1752" t="s">
        <v>2701</v>
      </c>
      <c r="D1752">
        <v>2</v>
      </c>
      <c r="E1752" t="s">
        <v>3013</v>
      </c>
      <c r="L1752" s="43">
        <v>47.016585657660869</v>
      </c>
      <c r="M1752" s="43">
        <v>48.583140104124077</v>
      </c>
      <c r="N1752" s="43">
        <v>50.203203500000001</v>
      </c>
      <c r="O1752" s="43">
        <v>51.878652142999996</v>
      </c>
      <c r="P1752" s="43">
        <v>53.611430083849996</v>
      </c>
      <c r="Q1752" s="43">
        <v>55.403551656613665</v>
      </c>
      <c r="R1752" s="43">
        <v>53.348717147885765</v>
      </c>
      <c r="S1752" s="43">
        <v>55.138892988151433</v>
      </c>
      <c r="T1752" s="43">
        <v>56.990728700068161</v>
      </c>
      <c r="U1752" s="43">
        <v>58.906408136274962</v>
      </c>
      <c r="V1752" s="43">
        <v>60.888194952834525</v>
      </c>
      <c r="W1752" s="43">
        <v>62.938435630957144</v>
      </c>
      <c r="X1752" s="43">
        <v>65.059562617780514</v>
      </c>
      <c r="Y1752" s="43">
        <v>67.254097591101328</v>
      </c>
      <c r="Z1752" s="43">
        <v>69.524654853164037</v>
      </c>
      <c r="AA1752" s="43">
        <v>71.873944858833568</v>
      </c>
      <c r="AB1752" s="43">
        <v>74.304777883706194</v>
      </c>
      <c r="AC1752" s="43">
        <v>76.820067837954923</v>
      </c>
      <c r="AD1752" s="43">
        <v>79.422836231954307</v>
      </c>
      <c r="AE1752" s="43">
        <v>82.116216299993681</v>
      </c>
    </row>
    <row r="1753" spans="1:31" x14ac:dyDescent="0.45">
      <c r="A1753" t="s">
        <v>3014</v>
      </c>
      <c r="B1753" t="s">
        <v>110</v>
      </c>
      <c r="C1753" t="s">
        <v>2701</v>
      </c>
      <c r="D1753">
        <v>2</v>
      </c>
      <c r="E1753" t="s">
        <v>3015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1066.9743429577152</v>
      </c>
      <c r="S1753" s="43">
        <v>1102.7778597630288</v>
      </c>
      <c r="T1753" s="43">
        <v>1139.8145740013633</v>
      </c>
      <c r="U1753" s="43">
        <v>1178.1281627254994</v>
      </c>
      <c r="V1753" s="43">
        <v>1217.7638990566904</v>
      </c>
      <c r="W1753" s="43">
        <v>1258.7687126191429</v>
      </c>
      <c r="X1753" s="43">
        <v>1301.1912523556105</v>
      </c>
      <c r="Y1753" s="43">
        <v>1345.0819518220262</v>
      </c>
      <c r="Z1753" s="43">
        <v>1390.4930970632809</v>
      </c>
      <c r="AA1753" s="43">
        <v>1437.4788971766716</v>
      </c>
      <c r="AB1753" s="43">
        <v>1486.0955576741239</v>
      </c>
      <c r="AC1753" s="43">
        <v>1536.4013567590985</v>
      </c>
      <c r="AD1753" s="43">
        <v>1588.4567246390859</v>
      </c>
      <c r="AE1753" s="43">
        <v>1642.3243259998735</v>
      </c>
    </row>
    <row r="1754" spans="1:31" x14ac:dyDescent="0.45">
      <c r="A1754" t="s">
        <v>3016</v>
      </c>
      <c r="B1754" t="s">
        <v>110</v>
      </c>
      <c r="C1754" t="s">
        <v>2701</v>
      </c>
      <c r="D1754">
        <v>2</v>
      </c>
      <c r="E1754" t="s">
        <v>3017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3018</v>
      </c>
      <c r="B1755" t="s">
        <v>110</v>
      </c>
      <c r="C1755" t="s">
        <v>2701</v>
      </c>
      <c r="D1755">
        <v>2</v>
      </c>
      <c r="E1755" t="s">
        <v>3019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1066.9743429577152</v>
      </c>
      <c r="S1755" s="43">
        <v>1102.7778597630288</v>
      </c>
      <c r="T1755" s="43">
        <v>1139.8145740013633</v>
      </c>
      <c r="U1755" s="43">
        <v>1178.1281627254994</v>
      </c>
      <c r="V1755" s="43">
        <v>1217.7638990566904</v>
      </c>
      <c r="W1755" s="43">
        <v>1258.7687126191429</v>
      </c>
      <c r="X1755" s="43">
        <v>1301.1912523556105</v>
      </c>
      <c r="Y1755" s="43">
        <v>1345.0819518220262</v>
      </c>
      <c r="Z1755" s="43">
        <v>1390.4930970632809</v>
      </c>
      <c r="AA1755" s="43">
        <v>1437.4788971766716</v>
      </c>
      <c r="AB1755" s="43">
        <v>1486.0955576741239</v>
      </c>
      <c r="AC1755" s="43">
        <v>1536.4013567590985</v>
      </c>
      <c r="AD1755" s="43">
        <v>1588.4567246390859</v>
      </c>
      <c r="AE1755" s="43">
        <v>1642.3243259998735</v>
      </c>
    </row>
    <row r="1756" spans="1:31" x14ac:dyDescent="0.45">
      <c r="A1756" t="s">
        <v>3020</v>
      </c>
      <c r="B1756" t="s">
        <v>110</v>
      </c>
      <c r="C1756" t="s">
        <v>2701</v>
      </c>
      <c r="D1756">
        <v>2</v>
      </c>
      <c r="E1756" t="s">
        <v>3021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3022</v>
      </c>
      <c r="B1757" t="s">
        <v>3000</v>
      </c>
      <c r="C1757" t="s">
        <v>2701</v>
      </c>
      <c r="D1757">
        <v>2</v>
      </c>
      <c r="E1757" t="s">
        <v>3001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3023</v>
      </c>
      <c r="B1758" t="s">
        <v>110</v>
      </c>
      <c r="C1758" t="s">
        <v>43</v>
      </c>
      <c r="D1758">
        <v>2</v>
      </c>
      <c r="E1758" t="s">
        <v>3024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3025</v>
      </c>
      <c r="B1759" t="s">
        <v>110</v>
      </c>
      <c r="C1759" t="s">
        <v>113</v>
      </c>
      <c r="D1759">
        <v>2</v>
      </c>
      <c r="E1759" t="s">
        <v>3024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3026</v>
      </c>
      <c r="B1760" t="s">
        <v>110</v>
      </c>
      <c r="C1760" t="s">
        <v>115</v>
      </c>
      <c r="D1760">
        <v>2</v>
      </c>
      <c r="E1760" t="s">
        <v>3024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3027</v>
      </c>
      <c r="B1761" t="s">
        <v>110</v>
      </c>
      <c r="C1761" t="s">
        <v>117</v>
      </c>
      <c r="D1761">
        <v>2</v>
      </c>
      <c r="E1761" t="s">
        <v>3024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3028</v>
      </c>
      <c r="B1762" t="s">
        <v>2497</v>
      </c>
      <c r="C1762" t="s">
        <v>43</v>
      </c>
      <c r="D1762">
        <v>2</v>
      </c>
      <c r="E1762" t="s">
        <v>3029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3030</v>
      </c>
      <c r="B1763" t="s">
        <v>2497</v>
      </c>
      <c r="C1763" t="s">
        <v>113</v>
      </c>
      <c r="D1763">
        <v>2</v>
      </c>
      <c r="E1763" t="s">
        <v>3029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3031</v>
      </c>
      <c r="B1764" t="s">
        <v>2497</v>
      </c>
      <c r="C1764" t="s">
        <v>115</v>
      </c>
      <c r="D1764">
        <v>2</v>
      </c>
      <c r="E1764" t="s">
        <v>3029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3032</v>
      </c>
      <c r="B1765" t="s">
        <v>2497</v>
      </c>
      <c r="C1765" t="s">
        <v>117</v>
      </c>
      <c r="D1765">
        <v>2</v>
      </c>
      <c r="E1765" t="s">
        <v>3029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3033</v>
      </c>
      <c r="B1766" t="s">
        <v>110</v>
      </c>
      <c r="C1766" t="s">
        <v>2701</v>
      </c>
      <c r="D1766">
        <v>2</v>
      </c>
      <c r="E1766" t="s">
        <v>3034</v>
      </c>
      <c r="L1766" s="43">
        <v>47.016585657660869</v>
      </c>
      <c r="M1766" s="43">
        <v>48.583140104124077</v>
      </c>
      <c r="N1766" s="43">
        <v>50.203203500000001</v>
      </c>
      <c r="O1766" s="43">
        <v>51.878652142999996</v>
      </c>
      <c r="P1766" s="43">
        <v>53.611430083849996</v>
      </c>
      <c r="Q1766" s="43">
        <v>55.403551656613665</v>
      </c>
      <c r="R1766" s="43">
        <v>55.902000092229045</v>
      </c>
      <c r="S1766" s="43">
        <v>57.775528490692011</v>
      </c>
      <c r="T1766" s="43">
        <v>59.713466255383317</v>
      </c>
      <c r="U1766" s="43">
        <v>61.718088959627238</v>
      </c>
      <c r="V1766" s="43">
        <v>63.791755083442624</v>
      </c>
      <c r="W1766" s="43">
        <v>65.936909142329441</v>
      </c>
      <c r="X1766" s="43">
        <v>68.156084938908123</v>
      </c>
      <c r="Y1766" s="43">
        <v>70.451908942447716</v>
      </c>
      <c r="Z1766" s="43">
        <v>72.827103801533809</v>
      </c>
      <c r="AA1766" s="43">
        <v>75.284491995353619</v>
      </c>
      <c r="AB1766" s="43">
        <v>77.826999629309626</v>
      </c>
      <c r="AC1766" s="43">
        <v>80.457660380920828</v>
      </c>
      <c r="AD1766" s="43">
        <v>83.179619602226438</v>
      </c>
      <c r="AE1766" s="43">
        <v>85.996138585175885</v>
      </c>
    </row>
    <row r="1767" spans="1:31" x14ac:dyDescent="0.45">
      <c r="A1767" t="s">
        <v>3035</v>
      </c>
      <c r="B1767" t="s">
        <v>110</v>
      </c>
      <c r="C1767" t="s">
        <v>2701</v>
      </c>
      <c r="D1767">
        <v>2</v>
      </c>
      <c r="E1767" t="s">
        <v>3036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497.58087718290057</v>
      </c>
      <c r="S1767" s="43">
        <v>514.25984738374291</v>
      </c>
      <c r="T1767" s="43">
        <v>531.51967180977238</v>
      </c>
      <c r="U1767" s="43">
        <v>549.3812869666441</v>
      </c>
      <c r="V1767" s="43">
        <v>567.86640800867804</v>
      </c>
      <c r="W1767" s="43">
        <v>586.99755854163152</v>
      </c>
      <c r="X1767" s="43">
        <v>606.79810159665305</v>
      </c>
      <c r="Y1767" s="43">
        <v>627.29227182256091</v>
      </c>
      <c r="Z1767" s="43">
        <v>648.5052089455337</v>
      </c>
      <c r="AA1767" s="43">
        <v>670.46299254731889</v>
      </c>
      <c r="AB1767" s="43">
        <v>693.19267821516723</v>
      </c>
      <c r="AC1767" s="43">
        <v>716.72233511890181</v>
      </c>
      <c r="AD1767" s="43">
        <v>741.08108507281395</v>
      </c>
      <c r="AE1767" s="43">
        <v>766.29914314245684</v>
      </c>
    </row>
    <row r="1768" spans="1:31" x14ac:dyDescent="0.45">
      <c r="A1768" t="s">
        <v>3037</v>
      </c>
      <c r="B1768" t="s">
        <v>110</v>
      </c>
      <c r="C1768" t="s">
        <v>2701</v>
      </c>
      <c r="D1768">
        <v>2</v>
      </c>
      <c r="E1768" t="s">
        <v>3038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3039</v>
      </c>
      <c r="B1769" t="s">
        <v>110</v>
      </c>
      <c r="C1769" t="s">
        <v>2701</v>
      </c>
      <c r="D1769">
        <v>2</v>
      </c>
      <c r="E1769" t="s">
        <v>3040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497.58087718290057</v>
      </c>
      <c r="S1769" s="43">
        <v>514.25984738374291</v>
      </c>
      <c r="T1769" s="43">
        <v>531.51967180977238</v>
      </c>
      <c r="U1769" s="43">
        <v>549.3812869666441</v>
      </c>
      <c r="V1769" s="43">
        <v>567.86640800867804</v>
      </c>
      <c r="W1769" s="43">
        <v>586.99755854163152</v>
      </c>
      <c r="X1769" s="43">
        <v>606.79810159665305</v>
      </c>
      <c r="Y1769" s="43">
        <v>627.29227182256091</v>
      </c>
      <c r="Z1769" s="43">
        <v>648.5052089455337</v>
      </c>
      <c r="AA1769" s="43">
        <v>670.46299254731889</v>
      </c>
      <c r="AB1769" s="43">
        <v>693.19267821516723</v>
      </c>
      <c r="AC1769" s="43">
        <v>716.72233511890181</v>
      </c>
      <c r="AD1769" s="43">
        <v>741.08108507281395</v>
      </c>
      <c r="AE1769" s="43">
        <v>766.29914314245684</v>
      </c>
    </row>
    <row r="1770" spans="1:31" x14ac:dyDescent="0.45">
      <c r="A1770" t="s">
        <v>3041</v>
      </c>
      <c r="B1770" t="s">
        <v>110</v>
      </c>
      <c r="C1770" t="s">
        <v>2701</v>
      </c>
      <c r="D1770">
        <v>2</v>
      </c>
      <c r="E1770" t="s">
        <v>3042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3043</v>
      </c>
      <c r="B1771" t="s">
        <v>3000</v>
      </c>
      <c r="C1771" t="s">
        <v>2701</v>
      </c>
      <c r="D1771">
        <v>2</v>
      </c>
      <c r="E1771" t="s">
        <v>3001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3044</v>
      </c>
      <c r="B1772" t="s">
        <v>110</v>
      </c>
      <c r="C1772" t="s">
        <v>43</v>
      </c>
      <c r="D1772">
        <v>2</v>
      </c>
      <c r="E1772" t="s">
        <v>3045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3046</v>
      </c>
      <c r="B1773" t="s">
        <v>110</v>
      </c>
      <c r="C1773" t="s">
        <v>113</v>
      </c>
      <c r="D1773">
        <v>2</v>
      </c>
      <c r="E1773" t="s">
        <v>3045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3047</v>
      </c>
      <c r="B1774" t="s">
        <v>110</v>
      </c>
      <c r="C1774" t="s">
        <v>115</v>
      </c>
      <c r="D1774">
        <v>2</v>
      </c>
      <c r="E1774" t="s">
        <v>3045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3048</v>
      </c>
      <c r="B1775" t="s">
        <v>110</v>
      </c>
      <c r="C1775" t="s">
        <v>117</v>
      </c>
      <c r="D1775">
        <v>2</v>
      </c>
      <c r="E1775" t="s">
        <v>3045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3049</v>
      </c>
      <c r="B1776" t="s">
        <v>2497</v>
      </c>
      <c r="C1776" t="s">
        <v>43</v>
      </c>
      <c r="D1776">
        <v>2</v>
      </c>
      <c r="E1776" t="s">
        <v>3050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3051</v>
      </c>
      <c r="B1777" t="s">
        <v>2497</v>
      </c>
      <c r="C1777" t="s">
        <v>113</v>
      </c>
      <c r="D1777">
        <v>2</v>
      </c>
      <c r="E1777" t="s">
        <v>3050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3052</v>
      </c>
      <c r="B1778" t="s">
        <v>2497</v>
      </c>
      <c r="C1778" t="s">
        <v>115</v>
      </c>
      <c r="D1778">
        <v>2</v>
      </c>
      <c r="E1778" t="s">
        <v>3050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3053</v>
      </c>
      <c r="B1779" t="s">
        <v>2497</v>
      </c>
      <c r="C1779" t="s">
        <v>117</v>
      </c>
      <c r="D1779">
        <v>2</v>
      </c>
      <c r="E1779" t="s">
        <v>3050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3054</v>
      </c>
      <c r="B1780" t="s">
        <v>110</v>
      </c>
      <c r="C1780" t="s">
        <v>2701</v>
      </c>
      <c r="D1780">
        <v>2</v>
      </c>
      <c r="E1780" t="s">
        <v>3055</v>
      </c>
      <c r="L1780" s="43">
        <v>47.016585657660869</v>
      </c>
      <c r="M1780" s="43">
        <v>48.583140104124077</v>
      </c>
      <c r="N1780" s="43">
        <v>50.203203500000001</v>
      </c>
      <c r="O1780" s="43">
        <v>51.878652142999996</v>
      </c>
      <c r="P1780" s="43">
        <v>53.611430083849996</v>
      </c>
      <c r="Q1780" s="43">
        <v>55.403551656613665</v>
      </c>
      <c r="R1780" s="43">
        <v>55.902000092229045</v>
      </c>
      <c r="S1780" s="43">
        <v>57.775528490692011</v>
      </c>
      <c r="T1780" s="43">
        <v>59.713466255383317</v>
      </c>
      <c r="U1780" s="43">
        <v>61.718088959627238</v>
      </c>
      <c r="V1780" s="43">
        <v>63.791755083442624</v>
      </c>
      <c r="W1780" s="43">
        <v>65.936909142329441</v>
      </c>
      <c r="X1780" s="43">
        <v>68.156084938908123</v>
      </c>
      <c r="Y1780" s="43">
        <v>70.451908942447716</v>
      </c>
      <c r="Z1780" s="43">
        <v>72.827103801533809</v>
      </c>
      <c r="AA1780" s="43">
        <v>75.284491995353619</v>
      </c>
      <c r="AB1780" s="43">
        <v>77.826999629309626</v>
      </c>
      <c r="AC1780" s="43">
        <v>80.457660380920828</v>
      </c>
      <c r="AD1780" s="43">
        <v>83.179619602226438</v>
      </c>
      <c r="AE1780" s="43">
        <v>85.996138585175885</v>
      </c>
    </row>
    <row r="1781" spans="1:31" x14ac:dyDescent="0.45">
      <c r="A1781" t="s">
        <v>3056</v>
      </c>
      <c r="B1781" t="s">
        <v>110</v>
      </c>
      <c r="C1781" t="s">
        <v>2701</v>
      </c>
      <c r="D1781">
        <v>2</v>
      </c>
      <c r="E1781" t="s">
        <v>3057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497.58087718290057</v>
      </c>
      <c r="S1781" s="43">
        <v>514.25984738374291</v>
      </c>
      <c r="T1781" s="43">
        <v>531.51967180977238</v>
      </c>
      <c r="U1781" s="43">
        <v>549.3812869666441</v>
      </c>
      <c r="V1781" s="43">
        <v>567.86640800867804</v>
      </c>
      <c r="W1781" s="43">
        <v>586.99755854163152</v>
      </c>
      <c r="X1781" s="43">
        <v>606.79810159665305</v>
      </c>
      <c r="Y1781" s="43">
        <v>627.29227182256091</v>
      </c>
      <c r="Z1781" s="43">
        <v>648.5052089455337</v>
      </c>
      <c r="AA1781" s="43">
        <v>670.46299254731889</v>
      </c>
      <c r="AB1781" s="43">
        <v>693.19267821516723</v>
      </c>
      <c r="AC1781" s="43">
        <v>716.72233511890181</v>
      </c>
      <c r="AD1781" s="43">
        <v>741.08108507281395</v>
      </c>
      <c r="AE1781" s="43">
        <v>766.29914314245684</v>
      </c>
    </row>
    <row r="1782" spans="1:31" x14ac:dyDescent="0.45">
      <c r="A1782" t="s">
        <v>3058</v>
      </c>
      <c r="B1782" t="s">
        <v>110</v>
      </c>
      <c r="C1782" t="s">
        <v>2701</v>
      </c>
      <c r="D1782">
        <v>2</v>
      </c>
      <c r="E1782" t="s">
        <v>3059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3060</v>
      </c>
      <c r="B1783" t="s">
        <v>110</v>
      </c>
      <c r="C1783" t="s">
        <v>2701</v>
      </c>
      <c r="D1783">
        <v>2</v>
      </c>
      <c r="E1783" t="s">
        <v>3061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497.58087718290057</v>
      </c>
      <c r="S1783" s="43">
        <v>514.25984738374291</v>
      </c>
      <c r="T1783" s="43">
        <v>531.51967180977238</v>
      </c>
      <c r="U1783" s="43">
        <v>549.3812869666441</v>
      </c>
      <c r="V1783" s="43">
        <v>567.86640800867804</v>
      </c>
      <c r="W1783" s="43">
        <v>586.99755854163152</v>
      </c>
      <c r="X1783" s="43">
        <v>606.79810159665305</v>
      </c>
      <c r="Y1783" s="43">
        <v>627.29227182256091</v>
      </c>
      <c r="Z1783" s="43">
        <v>648.5052089455337</v>
      </c>
      <c r="AA1783" s="43">
        <v>670.46299254731889</v>
      </c>
      <c r="AB1783" s="43">
        <v>693.19267821516723</v>
      </c>
      <c r="AC1783" s="43">
        <v>716.72233511890181</v>
      </c>
      <c r="AD1783" s="43">
        <v>741.08108507281395</v>
      </c>
      <c r="AE1783" s="43">
        <v>766.29914314245684</v>
      </c>
    </row>
    <row r="1784" spans="1:31" x14ac:dyDescent="0.45">
      <c r="A1784" t="s">
        <v>3062</v>
      </c>
      <c r="B1784" t="s">
        <v>110</v>
      </c>
      <c r="C1784" t="s">
        <v>2701</v>
      </c>
      <c r="D1784">
        <v>2</v>
      </c>
      <c r="E1784" t="s">
        <v>3063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3064</v>
      </c>
      <c r="B1785" t="s">
        <v>3000</v>
      </c>
      <c r="C1785" t="s">
        <v>2701</v>
      </c>
      <c r="D1785">
        <v>2</v>
      </c>
      <c r="E1785" t="s">
        <v>3001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3065</v>
      </c>
      <c r="B1786" t="s">
        <v>110</v>
      </c>
      <c r="C1786" t="s">
        <v>43</v>
      </c>
      <c r="D1786">
        <v>2</v>
      </c>
      <c r="E1786" t="s">
        <v>3066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3067</v>
      </c>
      <c r="B1787" t="s">
        <v>110</v>
      </c>
      <c r="C1787" t="s">
        <v>113</v>
      </c>
      <c r="D1787">
        <v>2</v>
      </c>
      <c r="E1787" t="s">
        <v>3066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3068</v>
      </c>
      <c r="B1788" t="s">
        <v>110</v>
      </c>
      <c r="C1788" t="s">
        <v>115</v>
      </c>
      <c r="D1788">
        <v>2</v>
      </c>
      <c r="E1788" t="s">
        <v>3066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3069</v>
      </c>
      <c r="B1789" t="s">
        <v>110</v>
      </c>
      <c r="C1789" t="s">
        <v>117</v>
      </c>
      <c r="D1789">
        <v>2</v>
      </c>
      <c r="E1789" t="s">
        <v>3066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3070</v>
      </c>
      <c r="B1790" t="s">
        <v>2497</v>
      </c>
      <c r="C1790" t="s">
        <v>43</v>
      </c>
      <c r="D1790">
        <v>2</v>
      </c>
      <c r="E1790" t="s">
        <v>3071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3072</v>
      </c>
      <c r="B1791" t="s">
        <v>2497</v>
      </c>
      <c r="C1791" t="s">
        <v>113</v>
      </c>
      <c r="D1791">
        <v>2</v>
      </c>
      <c r="E1791" t="s">
        <v>3071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3073</v>
      </c>
      <c r="B1792" t="s">
        <v>2497</v>
      </c>
      <c r="C1792" t="s">
        <v>115</v>
      </c>
      <c r="D1792">
        <v>2</v>
      </c>
      <c r="E1792" t="s">
        <v>3071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3074</v>
      </c>
      <c r="B1793" t="s">
        <v>2497</v>
      </c>
      <c r="C1793" t="s">
        <v>117</v>
      </c>
      <c r="D1793">
        <v>2</v>
      </c>
      <c r="E1793" t="s">
        <v>3071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3075</v>
      </c>
      <c r="B1794" t="s">
        <v>110</v>
      </c>
      <c r="C1794" t="s">
        <v>2701</v>
      </c>
      <c r="D1794">
        <v>2</v>
      </c>
      <c r="E1794" t="s">
        <v>3076</v>
      </c>
      <c r="L1794" s="43">
        <v>47.016585657660869</v>
      </c>
      <c r="M1794" s="43">
        <v>48.583140104124077</v>
      </c>
      <c r="N1794" s="43">
        <v>50.203203500000001</v>
      </c>
      <c r="O1794" s="43">
        <v>51.878652142999996</v>
      </c>
      <c r="P1794" s="43">
        <v>53.611430083849996</v>
      </c>
      <c r="Q1794" s="43">
        <v>55.403551656613665</v>
      </c>
      <c r="R1794" s="43">
        <v>56.206349767875892</v>
      </c>
      <c r="S1794" s="43">
        <v>56.561007861790458</v>
      </c>
      <c r="T1794" s="43">
        <v>56.990728700068161</v>
      </c>
      <c r="U1794" s="43">
        <v>57.490742665303578</v>
      </c>
      <c r="V1794" s="43">
        <v>58.057190792660776</v>
      </c>
      <c r="W1794" s="43">
        <v>58.686956750279087</v>
      </c>
      <c r="X1794" s="43">
        <v>59.377537044560285</v>
      </c>
      <c r="Y1794" s="43">
        <v>60.126939659255669</v>
      </c>
      <c r="Z1794" s="43">
        <v>60.933604126316538</v>
      </c>
      <c r="AA1794" s="43">
        <v>61.796337948297612</v>
      </c>
      <c r="AB1794" s="43">
        <v>62.714265637415473</v>
      </c>
      <c r="AC1794" s="43">
        <v>63.686787591851761</v>
      </c>
      <c r="AD1794" s="43">
        <v>64.713546717636063</v>
      </c>
      <c r="AE1794" s="43">
        <v>65.794401205627707</v>
      </c>
    </row>
    <row r="1795" spans="1:31" x14ac:dyDescent="0.45">
      <c r="A1795" t="s">
        <v>3077</v>
      </c>
      <c r="B1795" t="s">
        <v>110</v>
      </c>
      <c r="C1795" t="s">
        <v>2701</v>
      </c>
      <c r="D1795">
        <v>2</v>
      </c>
      <c r="E1795" t="s">
        <v>3078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281.03174883937953</v>
      </c>
      <c r="S1795" s="43">
        <v>707.01259827238061</v>
      </c>
      <c r="T1795" s="43">
        <v>1139.8145740013633</v>
      </c>
      <c r="U1795" s="43">
        <v>1580.9954232958482</v>
      </c>
      <c r="V1795" s="43">
        <v>2032.0016777431269</v>
      </c>
      <c r="W1795" s="43">
        <v>2494.1956618868612</v>
      </c>
      <c r="X1795" s="43">
        <v>2968.8768522280134</v>
      </c>
      <c r="Y1795" s="43">
        <v>3457.2990304072014</v>
      </c>
      <c r="Z1795" s="43">
        <v>3960.6842682105748</v>
      </c>
      <c r="AA1795" s="43">
        <v>4480.2345012515771</v>
      </c>
      <c r="AB1795" s="43">
        <v>5017.141250993237</v>
      </c>
      <c r="AC1795" s="43">
        <v>5572.5939142870284</v>
      </c>
      <c r="AD1795" s="43">
        <v>6147.7869381754272</v>
      </c>
      <c r="AE1795" s="43">
        <v>6743.9261235768408</v>
      </c>
    </row>
    <row r="1796" spans="1:31" x14ac:dyDescent="0.45">
      <c r="A1796" t="s">
        <v>3079</v>
      </c>
      <c r="B1796" t="s">
        <v>110</v>
      </c>
      <c r="C1796" t="s">
        <v>2701</v>
      </c>
      <c r="D1796">
        <v>2</v>
      </c>
      <c r="E1796" t="s">
        <v>3080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3081</v>
      </c>
      <c r="B1797" t="s">
        <v>110</v>
      </c>
      <c r="C1797" t="s">
        <v>2701</v>
      </c>
      <c r="D1797">
        <v>2</v>
      </c>
      <c r="E1797" t="s">
        <v>3082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281.03174883937953</v>
      </c>
      <c r="S1797" s="43">
        <v>707.01259827238061</v>
      </c>
      <c r="T1797" s="43">
        <v>1139.8145740013633</v>
      </c>
      <c r="U1797" s="43">
        <v>1580.9954232958482</v>
      </c>
      <c r="V1797" s="43">
        <v>2032.0016777431269</v>
      </c>
      <c r="W1797" s="43">
        <v>2494.1956618868612</v>
      </c>
      <c r="X1797" s="43">
        <v>2968.8768522280134</v>
      </c>
      <c r="Y1797" s="43">
        <v>3457.2990304072014</v>
      </c>
      <c r="Z1797" s="43">
        <v>3960.6842682105748</v>
      </c>
      <c r="AA1797" s="43">
        <v>4480.2345012515771</v>
      </c>
      <c r="AB1797" s="43">
        <v>5017.141250993237</v>
      </c>
      <c r="AC1797" s="43">
        <v>5572.5939142870284</v>
      </c>
      <c r="AD1797" s="43">
        <v>6147.7869381754272</v>
      </c>
      <c r="AE1797" s="43">
        <v>6743.9261235768408</v>
      </c>
    </row>
    <row r="1798" spans="1:31" x14ac:dyDescent="0.45">
      <c r="A1798" t="s">
        <v>3083</v>
      </c>
      <c r="B1798" t="s">
        <v>110</v>
      </c>
      <c r="C1798" t="s">
        <v>2701</v>
      </c>
      <c r="D1798">
        <v>2</v>
      </c>
      <c r="E1798" t="s">
        <v>3084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3085</v>
      </c>
      <c r="B1799" t="s">
        <v>3000</v>
      </c>
      <c r="C1799" t="s">
        <v>2701</v>
      </c>
      <c r="D1799">
        <v>2</v>
      </c>
      <c r="E1799" t="s">
        <v>3001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3086</v>
      </c>
      <c r="B1800" t="s">
        <v>110</v>
      </c>
      <c r="C1800" t="s">
        <v>43</v>
      </c>
      <c r="D1800">
        <v>2</v>
      </c>
      <c r="E1800" t="s">
        <v>3087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2086.476935496969</v>
      </c>
      <c r="S1800" s="43">
        <v>2106.312560306003</v>
      </c>
      <c r="T1800" s="43">
        <v>2121.5723042941463</v>
      </c>
      <c r="U1800" s="43">
        <v>2137.9016739850676</v>
      </c>
      <c r="V1800" s="43">
        <v>2155.2425578819793</v>
      </c>
      <c r="W1800" s="43">
        <v>2175.1652391227267</v>
      </c>
      <c r="X1800" s="43">
        <v>2198.046988361868</v>
      </c>
      <c r="Y1800" s="43">
        <v>2224.4464311640736</v>
      </c>
      <c r="Z1800" s="43">
        <v>2255.3085437303762</v>
      </c>
      <c r="AA1800" s="43">
        <v>2291.081205511282</v>
      </c>
      <c r="AB1800" s="43">
        <v>2332.0347392099543</v>
      </c>
      <c r="AC1800" s="43">
        <v>2377.9554123266676</v>
      </c>
      <c r="AD1800" s="43">
        <v>2428.6499034880812</v>
      </c>
      <c r="AE1800" s="43">
        <v>2484.0154740623748</v>
      </c>
    </row>
    <row r="1801" spans="1:31" x14ac:dyDescent="0.45">
      <c r="A1801" t="s">
        <v>3088</v>
      </c>
      <c r="B1801" t="s">
        <v>110</v>
      </c>
      <c r="C1801" t="s">
        <v>113</v>
      </c>
      <c r="D1801">
        <v>2</v>
      </c>
      <c r="E1801" t="s">
        <v>3087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3440.6189929018365</v>
      </c>
      <c r="S1801" s="43">
        <v>3477.6109587928431</v>
      </c>
      <c r="T1801" s="43">
        <v>3508.7210912748901</v>
      </c>
      <c r="U1801" s="43">
        <v>3541.1364216441061</v>
      </c>
      <c r="V1801" s="43">
        <v>3570.3940316472435</v>
      </c>
      <c r="W1801" s="43">
        <v>3603.4604378639924</v>
      </c>
      <c r="X1801" s="43">
        <v>3640.8298245307169</v>
      </c>
      <c r="Y1801" s="43">
        <v>3683.2617863819687</v>
      </c>
      <c r="Z1801" s="43">
        <v>3732.0661418097966</v>
      </c>
      <c r="AA1801" s="43">
        <v>3787.8681538921014</v>
      </c>
      <c r="AB1801" s="43">
        <v>3851.0479452767004</v>
      </c>
      <c r="AC1801" s="43">
        <v>3921.3081581898887</v>
      </c>
      <c r="AD1801" s="43">
        <v>3998.3777508734252</v>
      </c>
      <c r="AE1801" s="43">
        <v>4082.110947492793</v>
      </c>
    </row>
    <row r="1802" spans="1:31" x14ac:dyDescent="0.45">
      <c r="A1802" t="s">
        <v>3089</v>
      </c>
      <c r="B1802" t="s">
        <v>110</v>
      </c>
      <c r="C1802" t="s">
        <v>115</v>
      </c>
      <c r="D1802">
        <v>2</v>
      </c>
      <c r="E1802" t="s">
        <v>3087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3090</v>
      </c>
      <c r="B1803" t="s">
        <v>110</v>
      </c>
      <c r="C1803" t="s">
        <v>117</v>
      </c>
      <c r="D1803">
        <v>2</v>
      </c>
      <c r="E1803" t="s">
        <v>3087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3091</v>
      </c>
      <c r="B1804" t="s">
        <v>2497</v>
      </c>
      <c r="C1804" t="s">
        <v>43</v>
      </c>
      <c r="D1804">
        <v>2</v>
      </c>
      <c r="E1804" t="s">
        <v>3092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3093</v>
      </c>
      <c r="B1805" t="s">
        <v>2497</v>
      </c>
      <c r="C1805" t="s">
        <v>113</v>
      </c>
      <c r="D1805">
        <v>2</v>
      </c>
      <c r="E1805" t="s">
        <v>3092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3094</v>
      </c>
      <c r="B1806" t="s">
        <v>2497</v>
      </c>
      <c r="C1806" t="s">
        <v>115</v>
      </c>
      <c r="D1806">
        <v>2</v>
      </c>
      <c r="E1806" t="s">
        <v>3092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3095</v>
      </c>
      <c r="B1807" t="s">
        <v>2497</v>
      </c>
      <c r="C1807" t="s">
        <v>117</v>
      </c>
      <c r="D1807">
        <v>2</v>
      </c>
      <c r="E1807" t="s">
        <v>3092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3096</v>
      </c>
      <c r="B1808" t="s">
        <v>110</v>
      </c>
      <c r="C1808" t="s">
        <v>2701</v>
      </c>
      <c r="D1808">
        <v>2</v>
      </c>
      <c r="E1808" t="s">
        <v>3097</v>
      </c>
      <c r="L1808" s="43">
        <v>47.016585657660869</v>
      </c>
      <c r="M1808" s="43">
        <v>48.583140104124077</v>
      </c>
      <c r="N1808" s="43">
        <v>50.203203500000001</v>
      </c>
      <c r="O1808" s="43">
        <v>51.878652142999996</v>
      </c>
      <c r="P1808" s="43">
        <v>53.611430083849996</v>
      </c>
      <c r="Q1808" s="43">
        <v>55.403551656613665</v>
      </c>
      <c r="R1808" s="43">
        <v>57.095049615461427</v>
      </c>
      <c r="S1808" s="43">
        <v>58.760601043372631</v>
      </c>
      <c r="T1808" s="43">
        <v>60.481178848453396</v>
      </c>
      <c r="U1808" s="43">
        <v>62.258422369008834</v>
      </c>
      <c r="V1808" s="43">
        <v>64.094036511299507</v>
      </c>
      <c r="W1808" s="43">
        <v>65.989793600870044</v>
      </c>
      <c r="X1808" s="43">
        <v>67.947535333346195</v>
      </c>
      <c r="Y1808" s="43">
        <v>69.969174826986062</v>
      </c>
      <c r="Z1808" s="43">
        <v>72.05669877945661</v>
      </c>
      <c r="AA1808" s="43">
        <v>74.212169731498335</v>
      </c>
      <c r="AB1808" s="43">
        <v>76.437728440330432</v>
      </c>
      <c r="AC1808" s="43">
        <v>78.735596365847499</v>
      </c>
      <c r="AD1808" s="43">
        <v>81.108078272856758</v>
      </c>
      <c r="AE1808" s="43">
        <v>83.557564952810111</v>
      </c>
    </row>
    <row r="1809" spans="1:31" x14ac:dyDescent="0.45">
      <c r="A1809" t="s">
        <v>3098</v>
      </c>
      <c r="B1809" t="s">
        <v>110</v>
      </c>
      <c r="C1809" t="s">
        <v>2701</v>
      </c>
      <c r="D1809">
        <v>2</v>
      </c>
      <c r="E1809" t="s">
        <v>3099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285.47524807730719</v>
      </c>
      <c r="S1809" s="43">
        <v>734.50751304215794</v>
      </c>
      <c r="T1809" s="43">
        <v>1209.6235769690682</v>
      </c>
      <c r="U1809" s="43">
        <v>1712.1066151477432</v>
      </c>
      <c r="V1809" s="43">
        <v>2243.2912778954828</v>
      </c>
      <c r="W1809" s="43">
        <v>2804.566228036977</v>
      </c>
      <c r="X1809" s="43">
        <v>3397.3767666673093</v>
      </c>
      <c r="Y1809" s="43">
        <v>4023.227552551698</v>
      </c>
      <c r="Z1809" s="43">
        <v>4683.6854206646794</v>
      </c>
      <c r="AA1809" s="43">
        <v>5380.3823055336288</v>
      </c>
      <c r="AB1809" s="43">
        <v>6115.0182752264363</v>
      </c>
      <c r="AC1809" s="43">
        <v>6889.3646820116564</v>
      </c>
      <c r="AD1809" s="43">
        <v>7705.2674359213925</v>
      </c>
      <c r="AE1809" s="43">
        <v>8564.6504076630372</v>
      </c>
    </row>
    <row r="1810" spans="1:31" x14ac:dyDescent="0.45">
      <c r="A1810" t="s">
        <v>3100</v>
      </c>
      <c r="B1810" t="s">
        <v>110</v>
      </c>
      <c r="C1810" t="s">
        <v>2701</v>
      </c>
      <c r="D1810">
        <v>2</v>
      </c>
      <c r="E1810" t="s">
        <v>3101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3102</v>
      </c>
      <c r="B1811" t="s">
        <v>110</v>
      </c>
      <c r="C1811" t="s">
        <v>2701</v>
      </c>
      <c r="D1811">
        <v>2</v>
      </c>
      <c r="E1811" t="s">
        <v>3103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59.465888799520599</v>
      </c>
      <c r="S1811" s="43">
        <v>150.70741666645893</v>
      </c>
      <c r="T1811" s="43">
        <v>244.48091668792563</v>
      </c>
      <c r="U1811" s="43">
        <v>340.87361586632301</v>
      </c>
      <c r="V1811" s="43">
        <v>439.96889706318802</v>
      </c>
      <c r="W1811" s="43">
        <v>541.84637284047949</v>
      </c>
      <c r="X1811" s="43">
        <v>646.58193895518571</v>
      </c>
      <c r="Y1811" s="43">
        <v>754.24780803354406</v>
      </c>
      <c r="Z1811" s="43">
        <v>864.91252388153589</v>
      </c>
      <c r="AA1811" s="43">
        <v>978.6409568213403</v>
      </c>
      <c r="AB1811" s="43">
        <v>1095.4942803787026</v>
      </c>
      <c r="AC1811" s="43">
        <v>1215.5299295835421</v>
      </c>
      <c r="AD1811" s="43">
        <v>1338.8015410854641</v>
      </c>
      <c r="AE1811" s="43">
        <v>1465.3588752265241</v>
      </c>
    </row>
    <row r="1812" spans="1:31" x14ac:dyDescent="0.45">
      <c r="A1812" t="s">
        <v>3104</v>
      </c>
      <c r="B1812" t="s">
        <v>110</v>
      </c>
      <c r="C1812" t="s">
        <v>2701</v>
      </c>
      <c r="D1812">
        <v>2</v>
      </c>
      <c r="E1812" t="s">
        <v>3105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14.981630339183639</v>
      </c>
      <c r="S1812" s="43">
        <v>15.103706095389551</v>
      </c>
      <c r="T1812" s="43">
        <v>15.201329135676135</v>
      </c>
      <c r="U1812" s="43">
        <v>15.305253451939947</v>
      </c>
      <c r="V1812" s="43">
        <v>15.395186757751189</v>
      </c>
      <c r="W1812" s="43">
        <v>15.502059408155608</v>
      </c>
      <c r="X1812" s="43">
        <v>15.627797424709474</v>
      </c>
      <c r="Y1812" s="43">
        <v>15.775441478898919</v>
      </c>
      <c r="Z1812" s="43">
        <v>15.950335846142258</v>
      </c>
      <c r="AA1812" s="43">
        <v>16.154903543426382</v>
      </c>
      <c r="AB1812" s="43">
        <v>16.390527292618216</v>
      </c>
      <c r="AC1812" s="43">
        <v>16.655749085340652</v>
      </c>
      <c r="AD1812" s="43">
        <v>16.949244220606857</v>
      </c>
      <c r="AE1812" s="43">
        <v>17.270231360460063</v>
      </c>
    </row>
    <row r="1813" spans="1:31" x14ac:dyDescent="0.45">
      <c r="A1813" t="s">
        <v>3106</v>
      </c>
      <c r="B1813" t="s">
        <v>3000</v>
      </c>
      <c r="C1813" t="s">
        <v>2701</v>
      </c>
      <c r="D1813">
        <v>2</v>
      </c>
      <c r="E1813" t="s">
        <v>3001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3107</v>
      </c>
      <c r="B1814" t="s">
        <v>110</v>
      </c>
      <c r="C1814" t="s">
        <v>43</v>
      </c>
      <c r="D1814">
        <v>2</v>
      </c>
      <c r="E1814" t="s">
        <v>3108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3109</v>
      </c>
      <c r="B1815" t="s">
        <v>110</v>
      </c>
      <c r="C1815" t="s">
        <v>113</v>
      </c>
      <c r="D1815">
        <v>2</v>
      </c>
      <c r="E1815" t="s">
        <v>3108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3110</v>
      </c>
      <c r="B1816" t="s">
        <v>110</v>
      </c>
      <c r="C1816" t="s">
        <v>115</v>
      </c>
      <c r="D1816">
        <v>2</v>
      </c>
      <c r="E1816" t="s">
        <v>3108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3111</v>
      </c>
      <c r="B1817" t="s">
        <v>110</v>
      </c>
      <c r="C1817" t="s">
        <v>117</v>
      </c>
      <c r="D1817">
        <v>2</v>
      </c>
      <c r="E1817" t="s">
        <v>3108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3112</v>
      </c>
      <c r="B1818" t="s">
        <v>2497</v>
      </c>
      <c r="C1818" t="s">
        <v>43</v>
      </c>
      <c r="D1818">
        <v>2</v>
      </c>
      <c r="E1818" t="s">
        <v>3113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3114</v>
      </c>
      <c r="B1819" t="s">
        <v>2497</v>
      </c>
      <c r="C1819" t="s">
        <v>113</v>
      </c>
      <c r="D1819">
        <v>2</v>
      </c>
      <c r="E1819" t="s">
        <v>3113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3115</v>
      </c>
      <c r="B1820" t="s">
        <v>2497</v>
      </c>
      <c r="C1820" t="s">
        <v>115</v>
      </c>
      <c r="D1820">
        <v>2</v>
      </c>
      <c r="E1820" t="s">
        <v>3113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3116</v>
      </c>
      <c r="B1821" t="s">
        <v>2497</v>
      </c>
      <c r="C1821" t="s">
        <v>117</v>
      </c>
      <c r="D1821">
        <v>2</v>
      </c>
      <c r="E1821" t="s">
        <v>3113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3117</v>
      </c>
      <c r="B1822" t="s">
        <v>110</v>
      </c>
      <c r="C1822" t="s">
        <v>2701</v>
      </c>
      <c r="D1822">
        <v>2</v>
      </c>
      <c r="E1822" t="s">
        <v>3118</v>
      </c>
      <c r="L1822" s="43">
        <v>47.016585657660869</v>
      </c>
      <c r="M1822" s="43">
        <v>48.583140104124077</v>
      </c>
      <c r="N1822" s="43">
        <v>50.203203500000001</v>
      </c>
      <c r="O1822" s="43">
        <v>51.878652142999996</v>
      </c>
      <c r="P1822" s="43">
        <v>53.611430083849996</v>
      </c>
      <c r="Q1822" s="43">
        <v>55.403551656613665</v>
      </c>
      <c r="R1822" s="43">
        <v>56.206349767875892</v>
      </c>
      <c r="S1822" s="43">
        <v>56.561007861790458</v>
      </c>
      <c r="T1822" s="43">
        <v>56.990728700068161</v>
      </c>
      <c r="U1822" s="43">
        <v>57.490742665303578</v>
      </c>
      <c r="V1822" s="43">
        <v>58.057190792660776</v>
      </c>
      <c r="W1822" s="43">
        <v>58.686956750279087</v>
      </c>
      <c r="X1822" s="43">
        <v>59.377537044560285</v>
      </c>
      <c r="Y1822" s="43">
        <v>60.126939659255669</v>
      </c>
      <c r="Z1822" s="43">
        <v>60.933604126316538</v>
      </c>
      <c r="AA1822" s="43">
        <v>61.796337948297612</v>
      </c>
      <c r="AB1822" s="43">
        <v>62.714265637415473</v>
      </c>
      <c r="AC1822" s="43">
        <v>63.686787591851761</v>
      </c>
      <c r="AD1822" s="43">
        <v>64.713546717636063</v>
      </c>
      <c r="AE1822" s="43">
        <v>65.794401205627707</v>
      </c>
    </row>
    <row r="1823" spans="1:31" x14ac:dyDescent="0.45">
      <c r="A1823" t="s">
        <v>3119</v>
      </c>
      <c r="B1823" t="s">
        <v>110</v>
      </c>
      <c r="C1823" t="s">
        <v>2701</v>
      </c>
      <c r="D1823">
        <v>2</v>
      </c>
      <c r="E1823" t="s">
        <v>3120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281.03174883937953</v>
      </c>
      <c r="S1823" s="43">
        <v>707.01259827238061</v>
      </c>
      <c r="T1823" s="43">
        <v>1139.8145740013633</v>
      </c>
      <c r="U1823" s="43">
        <v>1580.9954232958482</v>
      </c>
      <c r="V1823" s="43">
        <v>2032.0016777431269</v>
      </c>
      <c r="W1823" s="43">
        <v>2494.1956618868612</v>
      </c>
      <c r="X1823" s="43">
        <v>2968.8768522280134</v>
      </c>
      <c r="Y1823" s="43">
        <v>3457.2990304072014</v>
      </c>
      <c r="Z1823" s="43">
        <v>3960.6842682105748</v>
      </c>
      <c r="AA1823" s="43">
        <v>4480.2345012515771</v>
      </c>
      <c r="AB1823" s="43">
        <v>5017.141250993237</v>
      </c>
      <c r="AC1823" s="43">
        <v>5572.5939142870284</v>
      </c>
      <c r="AD1823" s="43">
        <v>6147.7869381754272</v>
      </c>
      <c r="AE1823" s="43">
        <v>6743.9261235768408</v>
      </c>
    </row>
    <row r="1824" spans="1:31" x14ac:dyDescent="0.45">
      <c r="A1824" t="s">
        <v>3121</v>
      </c>
      <c r="B1824" t="s">
        <v>110</v>
      </c>
      <c r="C1824" t="s">
        <v>2701</v>
      </c>
      <c r="D1824">
        <v>2</v>
      </c>
      <c r="E1824" t="s">
        <v>3122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3123</v>
      </c>
      <c r="B1825" t="s">
        <v>110</v>
      </c>
      <c r="C1825" t="s">
        <v>2701</v>
      </c>
      <c r="D1825">
        <v>2</v>
      </c>
      <c r="E1825" t="s">
        <v>3124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281.03174883937953</v>
      </c>
      <c r="S1825" s="43">
        <v>707.01259827238061</v>
      </c>
      <c r="T1825" s="43">
        <v>1139.8145740013633</v>
      </c>
      <c r="U1825" s="43">
        <v>1580.9954232958482</v>
      </c>
      <c r="V1825" s="43">
        <v>2032.0016777431269</v>
      </c>
      <c r="W1825" s="43">
        <v>2494.1956618868612</v>
      </c>
      <c r="X1825" s="43">
        <v>2968.8768522280134</v>
      </c>
      <c r="Y1825" s="43">
        <v>3457.2990304072014</v>
      </c>
      <c r="Z1825" s="43">
        <v>3960.6842682105748</v>
      </c>
      <c r="AA1825" s="43">
        <v>4480.2345012515771</v>
      </c>
      <c r="AB1825" s="43">
        <v>5017.141250993237</v>
      </c>
      <c r="AC1825" s="43">
        <v>5572.5939142870284</v>
      </c>
      <c r="AD1825" s="43">
        <v>6147.7869381754272</v>
      </c>
      <c r="AE1825" s="43">
        <v>6743.9261235768408</v>
      </c>
    </row>
    <row r="1826" spans="1:35" x14ac:dyDescent="0.45">
      <c r="A1826" t="s">
        <v>3125</v>
      </c>
      <c r="B1826" t="s">
        <v>110</v>
      </c>
      <c r="C1826" t="s">
        <v>2701</v>
      </c>
      <c r="D1826">
        <v>2</v>
      </c>
      <c r="E1826" t="s">
        <v>3126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3127</v>
      </c>
      <c r="B1827" t="s">
        <v>3000</v>
      </c>
      <c r="C1827" t="s">
        <v>2701</v>
      </c>
      <c r="D1827">
        <v>2</v>
      </c>
      <c r="E1827" t="s">
        <v>3001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3261</v>
      </c>
    </row>
    <row r="1831" spans="1:35" x14ac:dyDescent="0.45">
      <c r="A1831" t="s">
        <v>3270</v>
      </c>
      <c r="D1831" s="92">
        <f>MAX(F1834:F1844)</f>
        <v>0</v>
      </c>
    </row>
    <row r="1833" spans="1:35" x14ac:dyDescent="0.45">
      <c r="A1833" s="50" t="s">
        <v>1504</v>
      </c>
      <c r="B1833" s="50"/>
      <c r="C1833" s="50"/>
      <c r="D1833" s="50" t="s">
        <v>47</v>
      </c>
      <c r="E1833" s="50" t="s">
        <v>1156</v>
      </c>
      <c r="F1833" s="50" t="s">
        <v>1984</v>
      </c>
      <c r="G1833" s="50"/>
      <c r="H1833" s="50"/>
      <c r="I1833" s="50" t="s">
        <v>1505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3262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3263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3264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3265</v>
      </c>
      <c r="D1837">
        <v>1</v>
      </c>
      <c r="E1837" t="s">
        <v>2193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3266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3264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3265</v>
      </c>
      <c r="D1840">
        <v>2</v>
      </c>
      <c r="E1840" t="s">
        <v>2193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3266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3267</v>
      </c>
      <c r="D1842">
        <v>1</v>
      </c>
      <c r="E1842" t="s">
        <v>2193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3268</v>
      </c>
      <c r="D1843">
        <v>1</v>
      </c>
      <c r="E1843" t="s">
        <v>2193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3269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3271</v>
      </c>
    </row>
    <row r="1847" spans="1:31" x14ac:dyDescent="0.45">
      <c r="A1847" t="s">
        <v>3272</v>
      </c>
      <c r="D1847">
        <v>1</v>
      </c>
      <c r="E1847" t="s">
        <v>2193</v>
      </c>
      <c r="F1847">
        <f t="shared" ref="F1847:F1854" si="366">SUM(L1847:AE1847)</f>
        <v>11</v>
      </c>
      <c r="L1847">
        <f>--(IPPU_Industry!L53&lt;-0.000000001)</f>
        <v>0</v>
      </c>
      <c r="M1847">
        <f>--(IPPU_Industry!M53&lt;-0.000000001)</f>
        <v>1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1</v>
      </c>
      <c r="W1847">
        <f>--(IPPU_Industry!W53&lt;-0.000000001)</f>
        <v>1</v>
      </c>
      <c r="X1847">
        <f>--(IPPU_Industry!X53&lt;-0.000000001)</f>
        <v>1</v>
      </c>
      <c r="Y1847">
        <f>--(IPPU_Industry!Y53&lt;-0.000000001)</f>
        <v>1</v>
      </c>
      <c r="Z1847">
        <f>--(IPPU_Industry!Z53&lt;-0.000000001)</f>
        <v>1</v>
      </c>
      <c r="AA1847">
        <f>--(IPPU_Industry!AA53&lt;-0.000000001)</f>
        <v>1</v>
      </c>
      <c r="AB1847">
        <f>--(IPPU_Industry!AB53&lt;-0.000000001)</f>
        <v>1</v>
      </c>
      <c r="AC1847">
        <f>--(IPPU_Industry!AC53&lt;-0.000000001)</f>
        <v>1</v>
      </c>
      <c r="AD1847">
        <f>--(IPPU_Industry!AD53&lt;-0.000000001)</f>
        <v>1</v>
      </c>
      <c r="AE1847">
        <f>--(IPPU_Industry!AE53&lt;-0.000000001)</f>
        <v>1</v>
      </c>
    </row>
    <row r="1848" spans="1:31" x14ac:dyDescent="0.45">
      <c r="A1848" t="s">
        <v>3273</v>
      </c>
      <c r="D1848">
        <v>1</v>
      </c>
      <c r="E1848" t="s">
        <v>2193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3274</v>
      </c>
      <c r="D1849">
        <v>1</v>
      </c>
      <c r="E1849" t="s">
        <v>2193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3275</v>
      </c>
      <c r="D1850">
        <v>1</v>
      </c>
      <c r="E1850" t="s">
        <v>2193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3272</v>
      </c>
      <c r="D1851">
        <v>2</v>
      </c>
      <c r="E1851" t="s">
        <v>2193</v>
      </c>
      <c r="F1851">
        <f t="shared" si="366"/>
        <v>16</v>
      </c>
      <c r="L1851">
        <f>--(IPPU_Industry!L77&lt;-0.000000001)</f>
        <v>0</v>
      </c>
      <c r="M1851">
        <f>--(IPPU_Industry!M77&lt;-0.000000001)</f>
        <v>1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1</v>
      </c>
      <c r="R1851">
        <f>--(IPPU_Industry!R77&lt;-0.000000001)</f>
        <v>1</v>
      </c>
      <c r="S1851">
        <f>--(IPPU_Industry!S77&lt;-0.000000001)</f>
        <v>1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3273</v>
      </c>
      <c r="D1852">
        <v>2</v>
      </c>
      <c r="E1852" t="s">
        <v>2193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3274</v>
      </c>
      <c r="D1853">
        <v>2</v>
      </c>
      <c r="E1853" t="s">
        <v>2193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3275</v>
      </c>
      <c r="D1854">
        <v>2</v>
      </c>
      <c r="E1854" t="s">
        <v>2193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3276</v>
      </c>
      <c r="D1855">
        <v>2</v>
      </c>
      <c r="E1855" t="s">
        <v>3277</v>
      </c>
      <c r="F1855">
        <f>MAX(MAX(L1855:AE1855),-MIN(L1855:AE1855))</f>
        <v>13.613511081620189</v>
      </c>
      <c r="L1855" s="149">
        <f>IPPU_Industry!L44</f>
        <v>0</v>
      </c>
      <c r="M1855" s="149">
        <f>IPPU_Industry!M44</f>
        <v>0</v>
      </c>
      <c r="N1855" s="149">
        <f>IPPU_Industry!N44</f>
        <v>0</v>
      </c>
      <c r="O1855" s="149">
        <f>IPPU_Industry!O44</f>
        <v>0</v>
      </c>
      <c r="P1855" s="149">
        <f>IPPU_Industry!P44</f>
        <v>0</v>
      </c>
      <c r="Q1855" s="149">
        <f>IPPU_Industry!Q44</f>
        <v>1.4090398681312308</v>
      </c>
      <c r="R1855" s="149">
        <f>IPPU_Industry!R44</f>
        <v>2.6673965235448378</v>
      </c>
      <c r="S1855" s="149">
        <f>IPPU_Industry!S44</f>
        <v>3.8181630055287599</v>
      </c>
      <c r="T1855" s="149">
        <f>IPPU_Industry!T44</f>
        <v>4.8795095359972152</v>
      </c>
      <c r="U1855" s="149">
        <f>IPPU_Industry!U44</f>
        <v>5.8802184098541375</v>
      </c>
      <c r="V1855" s="149">
        <f>IPPU_Industry!V44</f>
        <v>6.80772680646227</v>
      </c>
      <c r="W1855" s="149">
        <f>IPPU_Industry!W44</f>
        <v>7.6897753620378069</v>
      </c>
      <c r="X1855" s="149">
        <f>IPPU_Industry!X44</f>
        <v>8.5333569344649902</v>
      </c>
      <c r="Y1855" s="149">
        <f>IPPU_Industry!Y44</f>
        <v>9.3427525163357785</v>
      </c>
      <c r="Z1855" s="149">
        <f>IPPU_Industry!Z44</f>
        <v>10.11919326251622</v>
      </c>
      <c r="AA1855" s="149">
        <f>IPPU_Industry!AA44</f>
        <v>10.865381102071524</v>
      </c>
      <c r="AB1855" s="149">
        <f>IPPU_Industry!AB44</f>
        <v>11.584058705353868</v>
      </c>
      <c r="AC1855" s="149">
        <f>IPPU_Industry!AC44</f>
        <v>12.279450988710366</v>
      </c>
      <c r="AD1855" s="149">
        <f>IPPU_Industry!AD44</f>
        <v>12.955061337753065</v>
      </c>
      <c r="AE1855" s="149">
        <f>IPPU_Industry!AE44</f>
        <v>13.613511081620189</v>
      </c>
    </row>
    <row r="1857" spans="1:35" x14ac:dyDescent="0.45">
      <c r="A1857" t="s">
        <v>3278</v>
      </c>
    </row>
    <row r="1860" spans="1:35" x14ac:dyDescent="0.45">
      <c r="A1860" s="52" t="s">
        <v>3623</v>
      </c>
    </row>
    <row r="1861" spans="1:35" x14ac:dyDescent="0.45">
      <c r="A1861" t="s">
        <v>3630</v>
      </c>
      <c r="D1861" s="92">
        <f>MAX(F1864:F1869)</f>
        <v>0</v>
      </c>
    </row>
    <row r="1863" spans="1:35" x14ac:dyDescent="0.45">
      <c r="A1863" s="50" t="s">
        <v>1504</v>
      </c>
      <c r="B1863" s="50"/>
      <c r="C1863" s="50"/>
      <c r="D1863" s="50" t="s">
        <v>47</v>
      </c>
      <c r="E1863" s="50" t="s">
        <v>1156</v>
      </c>
      <c r="F1863" s="50" t="s">
        <v>1984</v>
      </c>
      <c r="G1863" s="50"/>
      <c r="H1863" s="50"/>
      <c r="I1863" s="50" t="s">
        <v>1505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45">
      <c r="A1864" t="s">
        <v>3624</v>
      </c>
      <c r="D1864" t="s">
        <v>77</v>
      </c>
      <c r="E1864" t="s">
        <v>1161</v>
      </c>
      <c r="F1864">
        <f>MAX(MAX(L1864:AE1864),-MIN(L1864:AE1864))</f>
        <v>0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0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0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0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0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0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0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0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0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0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0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0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0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0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0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0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0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0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0</v>
      </c>
    </row>
    <row r="1865" spans="1:35" x14ac:dyDescent="0.45">
      <c r="A1865" t="s">
        <v>3625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45">
      <c r="A1866" t="s">
        <v>3626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IF(Table2_Industry!$D$16="Industry only",Table2_Industry!L82-(Table2_Industry!L61-Table2_Industry!L52),0)</f>
        <v>0</v>
      </c>
      <c r="M1866">
        <f>IF(Table2_Industry!$D$16="Industry only",Table2_Industry!M82-(Table2_Industry!M61-Table2_Industry!M52),0)</f>
        <v>0</v>
      </c>
      <c r="N1866">
        <f>IF(Table2_Industry!$D$16="Industry only",Table2_Industry!N82-(Table2_Industry!N61-Table2_Industry!N52),0)</f>
        <v>0</v>
      </c>
      <c r="O1866">
        <f>IF(Table2_Industry!$D$16="Industry only",Table2_Industry!O82-(Table2_Industry!O61-Table2_Industry!O52),0)</f>
        <v>0</v>
      </c>
      <c r="P1866">
        <f>IF(Table2_Industry!$D$16="Industry only",Table2_Industry!P82-(Table2_Industry!P61-Table2_Industry!P52),0)</f>
        <v>0</v>
      </c>
      <c r="Q1866">
        <f>IF(Table2_Industry!$D$16="Industry only",Table2_Industry!Q82-(Table2_Industry!Q61-Table2_Industry!Q52),0)</f>
        <v>0</v>
      </c>
      <c r="R1866">
        <f>IF(Table2_Industry!$D$16="Industry only",Table2_Industry!R82-(Table2_Industry!R61-Table2_Industry!R52),0)</f>
        <v>0</v>
      </c>
      <c r="S1866">
        <f>IF(Table2_Industry!$D$16="Industry only",Table2_Industry!S82-(Table2_Industry!S61-Table2_Industry!S52),0)</f>
        <v>0</v>
      </c>
      <c r="T1866">
        <f>IF(Table2_Industry!$D$16="Industry only",Table2_Industry!T82-(Table2_Industry!T61-Table2_Industry!T52),0)</f>
        <v>0</v>
      </c>
      <c r="U1866">
        <f>IF(Table2_Industry!$D$16="Industry only",Table2_Industry!U82-(Table2_Industry!U61-Table2_Industry!U52),0)</f>
        <v>0</v>
      </c>
      <c r="V1866">
        <f>IF(Table2_Industry!$D$16="Industry only",Table2_Industry!V82-(Table2_Industry!V61-Table2_Industry!V52),0)</f>
        <v>0</v>
      </c>
      <c r="W1866">
        <f>IF(Table2_Industry!$D$16="Industry only",Table2_Industry!W82-(Table2_Industry!W61-Table2_Industry!W52),0)</f>
        <v>0</v>
      </c>
      <c r="X1866">
        <f>IF(Table2_Industry!$D$16="Industry only",Table2_Industry!X82-(Table2_Industry!X61-Table2_Industry!X52),0)</f>
        <v>0</v>
      </c>
      <c r="Y1866">
        <f>IF(Table2_Industry!$D$16="Industry only",Table2_Industry!Y82-(Table2_Industry!Y61-Table2_Industry!Y52),0)</f>
        <v>0</v>
      </c>
      <c r="Z1866">
        <f>IF(Table2_Industry!$D$16="Industry only",Table2_Industry!Z82-(Table2_Industry!Z61-Table2_Industry!Z52),0)</f>
        <v>0</v>
      </c>
      <c r="AA1866">
        <f>IF(Table2_Industry!$D$16="Industry only",Table2_Industry!AA82-(Table2_Industry!AA61-Table2_Industry!AA52),0)</f>
        <v>0</v>
      </c>
      <c r="AB1866">
        <f>IF(Table2_Industry!$D$16="Industry only",Table2_Industry!AB82-(Table2_Industry!AB61-Table2_Industry!AB52),0)</f>
        <v>0</v>
      </c>
      <c r="AC1866">
        <f>IF(Table2_Industry!$D$16="Industry only",Table2_Industry!AC82-(Table2_Industry!AC61-Table2_Industry!AC52),0)</f>
        <v>0</v>
      </c>
      <c r="AD1866">
        <f>IF(Table2_Industry!$D$16="Industry only",Table2_Industry!AD82-(Table2_Industry!AD61-Table2_Industry!AD52),0)</f>
        <v>0</v>
      </c>
      <c r="AE1866">
        <f>IF(Table2_Industry!$D$16="Industry only",Table2_Industry!AE82-(Table2_Industry!AE61-Table2_Industry!AE52),0)</f>
        <v>0</v>
      </c>
    </row>
    <row r="1867" spans="1:35" x14ac:dyDescent="0.45">
      <c r="A1867" t="s">
        <v>3627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45">
      <c r="A1868" t="s">
        <v>3628</v>
      </c>
      <c r="D1868">
        <v>2</v>
      </c>
      <c r="E1868" t="s">
        <v>2193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45">
      <c r="A1869" t="s">
        <v>3629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45">
      <c r="A1871" s="52" t="s">
        <v>3631</v>
      </c>
    </row>
    <row r="1872" spans="1:35" x14ac:dyDescent="0.45">
      <c r="A1872" t="s">
        <v>3632</v>
      </c>
      <c r="D1872">
        <v>2</v>
      </c>
      <c r="E1872" t="s">
        <v>3277</v>
      </c>
      <c r="F1872" s="134">
        <f>Table2_Industry!S103</f>
        <v>3.8670437982194947</v>
      </c>
    </row>
    <row r="1873" spans="1:6" x14ac:dyDescent="0.45">
      <c r="A1873" t="s">
        <v>3633</v>
      </c>
      <c r="D1873">
        <v>2</v>
      </c>
      <c r="E1873" t="s">
        <v>3277</v>
      </c>
      <c r="F1873" s="134">
        <f>Table2_Industry!S104</f>
        <v>1.9578065949195604</v>
      </c>
    </row>
    <row r="1874" spans="1:6" x14ac:dyDescent="0.45">
      <c r="A1874" t="s">
        <v>3634</v>
      </c>
      <c r="D1874">
        <v>2</v>
      </c>
      <c r="E1874" t="s">
        <v>3277</v>
      </c>
      <c r="F1874" s="134">
        <f>Table2_Industry!S105</f>
        <v>2.2526998916410612</v>
      </c>
    </row>
    <row r="1875" spans="1:6" x14ac:dyDescent="0.45">
      <c r="A1875" t="s">
        <v>3635</v>
      </c>
      <c r="D1875">
        <v>2</v>
      </c>
      <c r="E1875" t="s">
        <v>3277</v>
      </c>
      <c r="F1875" s="134">
        <f>Table2_Industry!S106</f>
        <v>8.2919106339348119</v>
      </c>
    </row>
    <row r="1876" spans="1:6" x14ac:dyDescent="0.45">
      <c r="A1876" t="s">
        <v>3636</v>
      </c>
      <c r="D1876">
        <v>2</v>
      </c>
      <c r="E1876" t="s">
        <v>3277</v>
      </c>
      <c r="F1876" s="134">
        <f>Table2_Industry!S107</f>
        <v>6.212379894828798</v>
      </c>
    </row>
    <row r="1877" spans="1:6" x14ac:dyDescent="0.45">
      <c r="A1877" t="s">
        <v>3637</v>
      </c>
      <c r="D1877">
        <v>2</v>
      </c>
      <c r="E1877" t="s">
        <v>3277</v>
      </c>
      <c r="F1877" s="134">
        <f>Table2_Industry!S108</f>
        <v>5.0601311739208299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CPAT_National</vt:lpstr>
      <vt:lpstr>Table2_Industry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2026-10-02T23:01:10Z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